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5000" windowHeight="7320" activeTab="1"/>
  </bookViews>
  <sheets>
    <sheet name="About" sheetId="1" r:id="rId1"/>
    <sheet name="E3 CA Pathways Data" sheetId="51" r:id="rId2"/>
    <sheet name="MPNVbT-LDVs-psgr" sheetId="2" r:id="rId3"/>
    <sheet name="LDV psg calculations" sheetId="30" r:id="rId4"/>
    <sheet name="Chart composite and inputs" sheetId="50" r:id="rId5"/>
    <sheet name="META analysis" sheetId="44" r:id="rId6"/>
    <sheet name="CARB minimum compliance" sheetId="43" r:id="rId7"/>
    <sheet name="ARB ZEV credit calculator" sheetId="49" r:id="rId8"/>
    <sheet name="JP Morgan" sheetId="33" r:id="rId9"/>
    <sheet name="EIA - Pacific region" sheetId="46" r:id="rId10"/>
    <sheet name="Next 10" sheetId="34" r:id="rId11"/>
    <sheet name="RBC extension" sheetId="48" r:id="rId12"/>
    <sheet name="RBC Capital Markets" sheetId="42" r:id="rId13"/>
    <sheet name="Acceture" sheetId="47" r:id="rId14"/>
    <sheet name="BNEF" sheetId="39" r:id="rId15"/>
    <sheet name="BNEF time series imputed" sheetId="45" r:id="rId16"/>
    <sheet name="Empirical trends" sheetId="32" r:id="rId17"/>
    <sheet name="BP outlook" sheetId="38" r:id="rId18"/>
    <sheet name="IEA" sheetId="40" r:id="rId19"/>
    <sheet name="AEO 2019 Table 39.9 - Pacific" sheetId="26" r:id="rId20"/>
    <sheet name="AEO 2019 US national" sheetId="37" r:id="rId21"/>
    <sheet name="Data" sheetId="3" r:id="rId22"/>
    <sheet name="MPNVbT-LDVs-frgt" sheetId="8" r:id="rId23"/>
    <sheet name="MPNVbT-HDVs-psgr" sheetId="9" r:id="rId24"/>
    <sheet name="MPNVbT-HDVs-frgt" sheetId="10" r:id="rId25"/>
    <sheet name="MPNVbT-aircraft-psgr" sheetId="11" r:id="rId26"/>
    <sheet name="MPNVbT-aircraft-frgt" sheetId="12" r:id="rId27"/>
    <sheet name="MPNVbT-rail-psgr" sheetId="13" r:id="rId28"/>
    <sheet name="MPNVbT-rail-frgt" sheetId="14" r:id="rId29"/>
    <sheet name="MPNVbT-ships-psgr" sheetId="15" r:id="rId30"/>
    <sheet name="MPNVbT-ships-frgt" sheetId="16" r:id="rId31"/>
    <sheet name="MPNVbT-motorbikes-psgr" sheetId="17" r:id="rId32"/>
    <sheet name="MPNVbT-motorbikes-frgt" sheetId="18" r:id="rId33"/>
  </sheets>
  <calcPr calcId="145621"/>
</workbook>
</file>

<file path=xl/calcChain.xml><?xml version="1.0" encoding="utf-8"?>
<calcChain xmlns="http://schemas.openxmlformats.org/spreadsheetml/2006/main">
  <c r="D20" i="3" l="1"/>
  <c r="B2" i="9" l="1"/>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AJ2" i="9"/>
  <c r="B3"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X79" i="51"/>
  <c r="Y79" i="51" s="1"/>
  <c r="Z79" i="51" s="1"/>
  <c r="AA79" i="51" s="1"/>
  <c r="AB79" i="51" s="1"/>
  <c r="AC79" i="51" s="1"/>
  <c r="AD79" i="51" s="1"/>
  <c r="AE79" i="51" s="1"/>
  <c r="AF79" i="51" s="1"/>
  <c r="AG79" i="51" s="1"/>
  <c r="AH79" i="51" s="1"/>
  <c r="AI79" i="51" s="1"/>
  <c r="AJ79" i="51" s="1"/>
  <c r="AK79" i="51" s="1"/>
  <c r="W79" i="51"/>
  <c r="K78" i="51"/>
  <c r="L78" i="51"/>
  <c r="M78" i="51"/>
  <c r="N78" i="51"/>
  <c r="O78" i="51"/>
  <c r="P78" i="51"/>
  <c r="Q78" i="51"/>
  <c r="R78" i="51"/>
  <c r="S78" i="51"/>
  <c r="T78" i="51"/>
  <c r="U78" i="51"/>
  <c r="V78" i="51"/>
  <c r="W78" i="51"/>
  <c r="X78" i="51"/>
  <c r="Y78" i="51"/>
  <c r="Z78" i="51"/>
  <c r="AA78" i="51"/>
  <c r="AB78" i="51"/>
  <c r="AC78" i="51"/>
  <c r="AD78" i="51"/>
  <c r="AE78" i="51"/>
  <c r="AF78" i="51"/>
  <c r="AG78" i="51"/>
  <c r="AH78" i="51"/>
  <c r="AI78" i="51"/>
  <c r="AJ78" i="51"/>
  <c r="AK78" i="51"/>
  <c r="J78" i="51"/>
  <c r="C73" i="51"/>
  <c r="V73" i="51"/>
  <c r="E79" i="51"/>
  <c r="F79" i="51" s="1"/>
  <c r="G79" i="51" s="1"/>
  <c r="H79" i="51" s="1"/>
  <c r="I79" i="51" s="1"/>
  <c r="J79" i="51" s="1"/>
  <c r="K79" i="51" s="1"/>
  <c r="L79" i="51" s="1"/>
  <c r="M79" i="51" s="1"/>
  <c r="N79" i="51" s="1"/>
  <c r="O79" i="51" s="1"/>
  <c r="P79" i="51" s="1"/>
  <c r="Q79" i="51" s="1"/>
  <c r="R79" i="51" s="1"/>
  <c r="S79" i="51" s="1"/>
  <c r="T79" i="51" s="1"/>
  <c r="U79" i="51" s="1"/>
  <c r="D79" i="51"/>
  <c r="C72" i="51"/>
  <c r="E78" i="51"/>
  <c r="F78" i="51"/>
  <c r="G78" i="51" s="1"/>
  <c r="H78" i="51" s="1"/>
  <c r="I78" i="51" s="1"/>
  <c r="D78" i="51"/>
  <c r="V79" i="51"/>
  <c r="C78" i="51"/>
  <c r="C79" i="51"/>
  <c r="B3"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B2" i="10"/>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AJ2" i="10"/>
  <c r="B2" i="8"/>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B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AJ3" i="8"/>
  <c r="C41" i="51"/>
  <c r="D41" i="51"/>
  <c r="E41" i="51"/>
  <c r="F41" i="51"/>
  <c r="G41" i="51"/>
  <c r="H41" i="51"/>
  <c r="I41" i="51"/>
  <c r="D40" i="51"/>
  <c r="E40" i="51" s="1"/>
  <c r="F40" i="51" s="1"/>
  <c r="G40" i="51" s="1"/>
  <c r="H40" i="51" s="1"/>
  <c r="I40" i="51" s="1"/>
  <c r="C40" i="51"/>
  <c r="B40" i="51"/>
  <c r="R39" i="51"/>
  <c r="J39" i="51"/>
  <c r="C54" i="51" l="1"/>
  <c r="D54" i="51"/>
  <c r="E54" i="51"/>
  <c r="F54" i="51"/>
  <c r="G54" i="51"/>
  <c r="H54" i="51"/>
  <c r="I54" i="51"/>
  <c r="J54" i="51"/>
  <c r="K54" i="51"/>
  <c r="L54" i="51"/>
  <c r="M54" i="51"/>
  <c r="N54" i="51"/>
  <c r="O54" i="51"/>
  <c r="P54" i="51"/>
  <c r="Q54" i="51"/>
  <c r="R54" i="51"/>
  <c r="S54" i="51"/>
  <c r="T54" i="51"/>
  <c r="U54" i="51"/>
  <c r="V54" i="51"/>
  <c r="W54" i="51"/>
  <c r="X54" i="51"/>
  <c r="Y54" i="51"/>
  <c r="Z54" i="51"/>
  <c r="AA54" i="51"/>
  <c r="AB54" i="51"/>
  <c r="AC54" i="51"/>
  <c r="AD54" i="51"/>
  <c r="AE54" i="51"/>
  <c r="AF54" i="51"/>
  <c r="AG54" i="51"/>
  <c r="AH54" i="51"/>
  <c r="AI54" i="51"/>
  <c r="AJ54" i="51"/>
  <c r="AK54" i="51"/>
  <c r="C55" i="51"/>
  <c r="D55" i="51"/>
  <c r="E55" i="51"/>
  <c r="F55" i="51"/>
  <c r="G55" i="51"/>
  <c r="H55" i="51"/>
  <c r="I55" i="51"/>
  <c r="J55" i="51"/>
  <c r="K55" i="51"/>
  <c r="L55" i="51"/>
  <c r="M55" i="51"/>
  <c r="N55" i="51"/>
  <c r="O55" i="51"/>
  <c r="P55" i="51"/>
  <c r="Q55" i="51"/>
  <c r="R55" i="51"/>
  <c r="S55" i="51"/>
  <c r="T55" i="51"/>
  <c r="U55" i="51"/>
  <c r="V55" i="51"/>
  <c r="W55" i="51"/>
  <c r="X55" i="51"/>
  <c r="Y55" i="51"/>
  <c r="Z55" i="51"/>
  <c r="AA55" i="51"/>
  <c r="AB55" i="51"/>
  <c r="AC55" i="51"/>
  <c r="AD55" i="51"/>
  <c r="AE55" i="51"/>
  <c r="AF55" i="51"/>
  <c r="AG55" i="51"/>
  <c r="AH55" i="51"/>
  <c r="AI55" i="51"/>
  <c r="AJ55" i="51"/>
  <c r="AK55" i="51"/>
  <c r="C56" i="51"/>
  <c r="D56" i="51"/>
  <c r="E56" i="51"/>
  <c r="F56" i="51"/>
  <c r="G56" i="51"/>
  <c r="H56" i="51"/>
  <c r="I56" i="51"/>
  <c r="J56" i="51"/>
  <c r="K56" i="51"/>
  <c r="L56" i="51"/>
  <c r="M56" i="51"/>
  <c r="N56" i="51"/>
  <c r="O56" i="51"/>
  <c r="P56" i="51"/>
  <c r="Q56" i="51"/>
  <c r="R56" i="51"/>
  <c r="S56" i="51"/>
  <c r="T56" i="51"/>
  <c r="U56" i="51"/>
  <c r="V56" i="51"/>
  <c r="W56" i="51"/>
  <c r="X56" i="51"/>
  <c r="Y56" i="51"/>
  <c r="Z56" i="51"/>
  <c r="AA56" i="51"/>
  <c r="AB56" i="51"/>
  <c r="AC56" i="51"/>
  <c r="AD56" i="51"/>
  <c r="AE56" i="51"/>
  <c r="AF56" i="51"/>
  <c r="AG56" i="51"/>
  <c r="AH56" i="51"/>
  <c r="AI56" i="51"/>
  <c r="AJ56" i="51"/>
  <c r="AK56" i="51"/>
  <c r="C57" i="51"/>
  <c r="D57" i="51"/>
  <c r="E57" i="51"/>
  <c r="F57" i="51"/>
  <c r="G57" i="51"/>
  <c r="H57" i="51"/>
  <c r="I57" i="51"/>
  <c r="J57" i="51"/>
  <c r="K57" i="51"/>
  <c r="L57" i="51"/>
  <c r="M57" i="51"/>
  <c r="N57" i="51"/>
  <c r="O57" i="51"/>
  <c r="P57" i="51"/>
  <c r="Q57" i="51"/>
  <c r="R57" i="51"/>
  <c r="S57" i="51"/>
  <c r="T57" i="51"/>
  <c r="U57" i="51"/>
  <c r="V57" i="51"/>
  <c r="W57" i="51"/>
  <c r="X57" i="51"/>
  <c r="Y57" i="51"/>
  <c r="Z57" i="51"/>
  <c r="AA57" i="51"/>
  <c r="AB57" i="51"/>
  <c r="AC57" i="51"/>
  <c r="AD57" i="51"/>
  <c r="AE57" i="51"/>
  <c r="AF57" i="51"/>
  <c r="AG57" i="51"/>
  <c r="AH57" i="51"/>
  <c r="AI57" i="51"/>
  <c r="AJ57" i="51"/>
  <c r="AK57" i="51"/>
  <c r="B57" i="51"/>
  <c r="B56" i="51"/>
  <c r="B55" i="51"/>
  <c r="B54" i="51"/>
  <c r="E36" i="51"/>
  <c r="U36" i="51"/>
  <c r="AK36" i="51"/>
  <c r="C31" i="51"/>
  <c r="C33" i="51" s="1"/>
  <c r="D31" i="51"/>
  <c r="D34" i="51" s="1"/>
  <c r="E31" i="51"/>
  <c r="E35" i="51" s="1"/>
  <c r="F31" i="51"/>
  <c r="F36" i="51" s="1"/>
  <c r="G31" i="51"/>
  <c r="G33" i="51" s="1"/>
  <c r="H31" i="51"/>
  <c r="H34" i="51" s="1"/>
  <c r="I31" i="51"/>
  <c r="I35" i="51" s="1"/>
  <c r="J31" i="51"/>
  <c r="J36" i="51" s="1"/>
  <c r="K31" i="51"/>
  <c r="K33" i="51" s="1"/>
  <c r="L31" i="51"/>
  <c r="L34" i="51" s="1"/>
  <c r="M31" i="51"/>
  <c r="M35" i="51" s="1"/>
  <c r="N31" i="51"/>
  <c r="N36" i="51" s="1"/>
  <c r="O31" i="51"/>
  <c r="O33" i="51" s="1"/>
  <c r="P31" i="51"/>
  <c r="P34" i="51" s="1"/>
  <c r="Q31" i="51"/>
  <c r="Q35" i="51" s="1"/>
  <c r="R31" i="51"/>
  <c r="R36" i="51" s="1"/>
  <c r="S31" i="51"/>
  <c r="S33" i="51" s="1"/>
  <c r="T31" i="51"/>
  <c r="T34" i="51" s="1"/>
  <c r="U31" i="51"/>
  <c r="U35" i="51" s="1"/>
  <c r="U41" i="51" s="1"/>
  <c r="V31" i="51"/>
  <c r="V36" i="51" s="1"/>
  <c r="W31" i="51"/>
  <c r="W33" i="51" s="1"/>
  <c r="X31" i="51"/>
  <c r="X34" i="51" s="1"/>
  <c r="Y31" i="51"/>
  <c r="Y35" i="51" s="1"/>
  <c r="Y41" i="51" s="1"/>
  <c r="Z31" i="51"/>
  <c r="Z36" i="51" s="1"/>
  <c r="AA31" i="51"/>
  <c r="AA33" i="51" s="1"/>
  <c r="AB31" i="51"/>
  <c r="AB34" i="51" s="1"/>
  <c r="AC31" i="51"/>
  <c r="AC35" i="51" s="1"/>
  <c r="AC41" i="51" s="1"/>
  <c r="AD31" i="51"/>
  <c r="AD36" i="51" s="1"/>
  <c r="AE31" i="51"/>
  <c r="AE33" i="51" s="1"/>
  <c r="AF31" i="51"/>
  <c r="AF34" i="51" s="1"/>
  <c r="AG31" i="51"/>
  <c r="AG35" i="51" s="1"/>
  <c r="AG41" i="51" s="1"/>
  <c r="AH31" i="51"/>
  <c r="AH36" i="51" s="1"/>
  <c r="AI31" i="51"/>
  <c r="AI33" i="51" s="1"/>
  <c r="AJ31" i="51"/>
  <c r="AJ34" i="51" s="1"/>
  <c r="AK31" i="51"/>
  <c r="AK35" i="51" s="1"/>
  <c r="AK41" i="51" s="1"/>
  <c r="B31" i="51"/>
  <c r="B36" i="51" s="1"/>
  <c r="C13" i="51"/>
  <c r="C15" i="51" s="1"/>
  <c r="D13" i="51"/>
  <c r="E13" i="51"/>
  <c r="F13" i="51"/>
  <c r="F18" i="51" s="1"/>
  <c r="G13" i="51"/>
  <c r="H13" i="51"/>
  <c r="I13" i="51"/>
  <c r="J13" i="51"/>
  <c r="K13" i="51"/>
  <c r="L13" i="51"/>
  <c r="M13" i="51"/>
  <c r="N13" i="51"/>
  <c r="N18" i="51" s="1"/>
  <c r="O13" i="51"/>
  <c r="P13" i="51"/>
  <c r="Q13" i="51"/>
  <c r="R13" i="51"/>
  <c r="R18" i="51" s="1"/>
  <c r="S13" i="51"/>
  <c r="T13" i="51"/>
  <c r="T18" i="51" s="1"/>
  <c r="U13" i="51"/>
  <c r="V13" i="51"/>
  <c r="V18" i="51" s="1"/>
  <c r="W13" i="51"/>
  <c r="W18" i="51" s="1"/>
  <c r="X13" i="51"/>
  <c r="X17" i="51" s="1"/>
  <c r="Y13" i="51"/>
  <c r="Z13" i="51"/>
  <c r="Z18" i="51" s="1"/>
  <c r="AA13" i="51"/>
  <c r="AA18" i="51" s="1"/>
  <c r="AB13" i="51"/>
  <c r="AB18" i="51" s="1"/>
  <c r="AC13" i="51"/>
  <c r="AD13" i="51"/>
  <c r="AD18" i="51" s="1"/>
  <c r="AE13" i="51"/>
  <c r="AE18" i="51" s="1"/>
  <c r="AF13" i="51"/>
  <c r="AF18" i="51" s="1"/>
  <c r="AG13" i="51"/>
  <c r="AH13" i="51"/>
  <c r="AH18" i="51" s="1"/>
  <c r="AI13" i="51"/>
  <c r="AI18" i="51" s="1"/>
  <c r="AJ13" i="51"/>
  <c r="AJ17" i="51" s="1"/>
  <c r="AK13" i="51"/>
  <c r="B13" i="51"/>
  <c r="B15" i="51" s="1"/>
  <c r="Y36" i="51" l="1"/>
  <c r="C17" i="51"/>
  <c r="I36" i="51"/>
  <c r="AG36" i="51"/>
  <c r="Q36" i="51"/>
  <c r="C16" i="51"/>
  <c r="AC36" i="51"/>
  <c r="M36" i="51"/>
  <c r="AC15" i="51"/>
  <c r="AC17" i="51"/>
  <c r="AC16" i="51"/>
  <c r="Y15" i="51"/>
  <c r="Y17" i="51"/>
  <c r="Y16" i="51"/>
  <c r="U15" i="51"/>
  <c r="U17" i="51"/>
  <c r="U16" i="51"/>
  <c r="Q15" i="51"/>
  <c r="Q17" i="51"/>
  <c r="Q16" i="51"/>
  <c r="M15" i="51"/>
  <c r="M17" i="51"/>
  <c r="M16" i="51"/>
  <c r="I15" i="51"/>
  <c r="I17" i="51"/>
  <c r="I19" i="51" s="1"/>
  <c r="I16" i="51"/>
  <c r="I18" i="51"/>
  <c r="E15" i="51"/>
  <c r="E17" i="51"/>
  <c r="E19" i="51" s="1"/>
  <c r="E16" i="51"/>
  <c r="E18" i="51"/>
  <c r="B18" i="51"/>
  <c r="AJ18" i="51"/>
  <c r="AJ19" i="51" s="1"/>
  <c r="X18" i="51"/>
  <c r="X19" i="51" s="1"/>
  <c r="AF16" i="51"/>
  <c r="AF15" i="51"/>
  <c r="T16" i="51"/>
  <c r="T15" i="51"/>
  <c r="P16" i="51"/>
  <c r="P15" i="51"/>
  <c r="L16" i="51"/>
  <c r="L15" i="51"/>
  <c r="L17" i="51"/>
  <c r="H16" i="51"/>
  <c r="H18" i="51"/>
  <c r="H15" i="51"/>
  <c r="H17" i="51"/>
  <c r="D16" i="51"/>
  <c r="D18" i="51"/>
  <c r="D15" i="51"/>
  <c r="D17" i="51"/>
  <c r="B17" i="51"/>
  <c r="B19" i="51" s="1"/>
  <c r="M18" i="51"/>
  <c r="T17" i="51"/>
  <c r="T19" i="51" s="1"/>
  <c r="AG15" i="51"/>
  <c r="AG17" i="51"/>
  <c r="AG16" i="51"/>
  <c r="AB16" i="51"/>
  <c r="AB15" i="51"/>
  <c r="AI16" i="51"/>
  <c r="AI15" i="51"/>
  <c r="AI17" i="51"/>
  <c r="AI19" i="51" s="1"/>
  <c r="AE16" i="51"/>
  <c r="AE15" i="51"/>
  <c r="AE17" i="51"/>
  <c r="AE19" i="51" s="1"/>
  <c r="AA16" i="51"/>
  <c r="AA15" i="51"/>
  <c r="AA17" i="51"/>
  <c r="AA19" i="51" s="1"/>
  <c r="W16" i="51"/>
  <c r="W15" i="51"/>
  <c r="W17" i="51"/>
  <c r="W19" i="51" s="1"/>
  <c r="S16" i="51"/>
  <c r="S18" i="51"/>
  <c r="S15" i="51"/>
  <c r="S17" i="51"/>
  <c r="O16" i="51"/>
  <c r="O18" i="51"/>
  <c r="O15" i="51"/>
  <c r="O17" i="51"/>
  <c r="K16" i="51"/>
  <c r="K18" i="51"/>
  <c r="K15" i="51"/>
  <c r="K17" i="51"/>
  <c r="K19" i="51" s="1"/>
  <c r="G16" i="51"/>
  <c r="G18" i="51"/>
  <c r="G15" i="51"/>
  <c r="G17" i="51"/>
  <c r="G19" i="51" s="1"/>
  <c r="B16" i="51"/>
  <c r="C18" i="51"/>
  <c r="C19" i="51" s="1"/>
  <c r="Q18" i="51"/>
  <c r="L18" i="51"/>
  <c r="AF17" i="51"/>
  <c r="AF19" i="51" s="1"/>
  <c r="P17" i="51"/>
  <c r="AK15" i="51"/>
  <c r="AK17" i="51"/>
  <c r="AK16" i="51"/>
  <c r="AJ16" i="51"/>
  <c r="AJ15" i="51"/>
  <c r="X16" i="51"/>
  <c r="X15" i="51"/>
  <c r="AH15" i="51"/>
  <c r="AH17" i="51"/>
  <c r="AH19" i="51" s="1"/>
  <c r="AH16" i="51"/>
  <c r="AD15" i="51"/>
  <c r="AD17" i="51"/>
  <c r="AD19" i="51" s="1"/>
  <c r="AD16" i="51"/>
  <c r="Z15" i="51"/>
  <c r="Z17" i="51"/>
  <c r="Z19" i="51" s="1"/>
  <c r="Z16" i="51"/>
  <c r="V15" i="51"/>
  <c r="V17" i="51"/>
  <c r="V19" i="51" s="1"/>
  <c r="V16" i="51"/>
  <c r="R15" i="51"/>
  <c r="R17" i="51"/>
  <c r="R19" i="51" s="1"/>
  <c r="R16" i="51"/>
  <c r="N15" i="51"/>
  <c r="N17" i="51"/>
  <c r="N19" i="51" s="1"/>
  <c r="N16" i="51"/>
  <c r="J15" i="51"/>
  <c r="J17" i="51"/>
  <c r="J16" i="51"/>
  <c r="F15" i="51"/>
  <c r="F17" i="51"/>
  <c r="F19" i="51" s="1"/>
  <c r="F16" i="51"/>
  <c r="AK18" i="51"/>
  <c r="AG18" i="51"/>
  <c r="AC18" i="51"/>
  <c r="Y18" i="51"/>
  <c r="U18" i="51"/>
  <c r="P18" i="51"/>
  <c r="J18" i="51"/>
  <c r="AB17" i="51"/>
  <c r="AB19" i="51" s="1"/>
  <c r="AJ35" i="51"/>
  <c r="AJ41" i="51" s="1"/>
  <c r="AF35" i="51"/>
  <c r="AF41" i="51" s="1"/>
  <c r="AB35" i="51"/>
  <c r="AB41" i="51" s="1"/>
  <c r="X35" i="51"/>
  <c r="X41" i="51" s="1"/>
  <c r="T35" i="51"/>
  <c r="T41" i="51" s="1"/>
  <c r="P35" i="51"/>
  <c r="L35" i="51"/>
  <c r="H35" i="51"/>
  <c r="D35" i="51"/>
  <c r="AI34" i="51"/>
  <c r="AE34" i="51"/>
  <c r="AA34" i="51"/>
  <c r="W34" i="51"/>
  <c r="S34" i="51"/>
  <c r="O34" i="51"/>
  <c r="K34" i="51"/>
  <c r="G34" i="51"/>
  <c r="C34" i="51"/>
  <c r="AH33" i="51"/>
  <c r="AD33" i="51"/>
  <c r="Z33" i="51"/>
  <c r="V33" i="51"/>
  <c r="R33" i="51"/>
  <c r="N33" i="51"/>
  <c r="J33" i="51"/>
  <c r="F33" i="51"/>
  <c r="B33" i="51"/>
  <c r="AJ36" i="51"/>
  <c r="AF36" i="51"/>
  <c r="AB36" i="51"/>
  <c r="X36" i="51"/>
  <c r="T36" i="51"/>
  <c r="P36" i="51"/>
  <c r="L36" i="51"/>
  <c r="H36" i="51"/>
  <c r="D36" i="51"/>
  <c r="AI35" i="51"/>
  <c r="AI41" i="51" s="1"/>
  <c r="AE35" i="51"/>
  <c r="AE41" i="51" s="1"/>
  <c r="AA35" i="51"/>
  <c r="AA41" i="51" s="1"/>
  <c r="W35" i="51"/>
  <c r="W41" i="51" s="1"/>
  <c r="S35" i="51"/>
  <c r="S41" i="51" s="1"/>
  <c r="O35" i="51"/>
  <c r="K35" i="51"/>
  <c r="G35" i="51"/>
  <c r="C35" i="51"/>
  <c r="AH34" i="51"/>
  <c r="AD34" i="51"/>
  <c r="Z34" i="51"/>
  <c r="V34" i="51"/>
  <c r="R34" i="51"/>
  <c r="N34" i="51"/>
  <c r="J34" i="51"/>
  <c r="F34" i="51"/>
  <c r="AK33" i="51"/>
  <c r="AG33" i="51"/>
  <c r="AC33" i="51"/>
  <c r="Y33" i="51"/>
  <c r="U33" i="51"/>
  <c r="Q33" i="51"/>
  <c r="M33" i="51"/>
  <c r="I33" i="51"/>
  <c r="E33" i="51"/>
  <c r="B34" i="51"/>
  <c r="AI36" i="51"/>
  <c r="AE36" i="51"/>
  <c r="AA36" i="51"/>
  <c r="W36" i="51"/>
  <c r="S36" i="51"/>
  <c r="O36" i="51"/>
  <c r="K36" i="51"/>
  <c r="G36" i="51"/>
  <c r="C36" i="51"/>
  <c r="AH35" i="51"/>
  <c r="AH41" i="51" s="1"/>
  <c r="AD35" i="51"/>
  <c r="AD41" i="51" s="1"/>
  <c r="Z35" i="51"/>
  <c r="Z41" i="51" s="1"/>
  <c r="V35" i="51"/>
  <c r="V41" i="51" s="1"/>
  <c r="R35" i="51"/>
  <c r="R40" i="51" s="1"/>
  <c r="R41" i="51" s="1"/>
  <c r="N35" i="51"/>
  <c r="J35" i="51"/>
  <c r="J40" i="51" s="1"/>
  <c r="J41" i="51" s="1"/>
  <c r="F35" i="51"/>
  <c r="AK34" i="51"/>
  <c r="AG34" i="51"/>
  <c r="AC34" i="51"/>
  <c r="Y34" i="51"/>
  <c r="U34" i="51"/>
  <c r="Q34" i="51"/>
  <c r="M34" i="51"/>
  <c r="I34" i="51"/>
  <c r="E34" i="51"/>
  <c r="AJ33" i="51"/>
  <c r="AF33" i="51"/>
  <c r="AB33" i="51"/>
  <c r="X33" i="51"/>
  <c r="T33" i="51"/>
  <c r="P33" i="51"/>
  <c r="L33" i="51"/>
  <c r="H33" i="51"/>
  <c r="D33" i="51"/>
  <c r="B35" i="51"/>
  <c r="B41" i="51" s="1"/>
  <c r="O19" i="51" l="1"/>
  <c r="AK19" i="51"/>
  <c r="S19" i="51"/>
  <c r="P19" i="51"/>
  <c r="M19" i="51"/>
  <c r="AC19" i="51"/>
  <c r="J19" i="51"/>
  <c r="AG19" i="51"/>
  <c r="Y19" i="51"/>
  <c r="U19" i="51"/>
  <c r="D19" i="51"/>
  <c r="H19" i="51"/>
  <c r="L19" i="51"/>
  <c r="Q19" i="51"/>
  <c r="C25" i="44" l="1"/>
  <c r="D25" i="44"/>
  <c r="E25" i="44"/>
  <c r="F25" i="44"/>
  <c r="G25" i="44"/>
  <c r="H25" i="44"/>
  <c r="I25" i="44"/>
  <c r="J25" i="44"/>
  <c r="K25" i="44"/>
  <c r="L25" i="44"/>
  <c r="M25" i="44"/>
  <c r="N25" i="44"/>
  <c r="O25" i="44"/>
  <c r="A61" i="30"/>
  <c r="A62" i="30"/>
  <c r="A63" i="30"/>
  <c r="C63" i="30"/>
  <c r="R59" i="30"/>
  <c r="S59" i="30" s="1"/>
  <c r="T59" i="30" s="1"/>
  <c r="U59" i="30" s="1"/>
  <c r="V59" i="30" s="1"/>
  <c r="W59" i="30" s="1"/>
  <c r="X59" i="30" s="1"/>
  <c r="Y59" i="30" s="1"/>
  <c r="Z59" i="30" s="1"/>
  <c r="AA59" i="30" s="1"/>
  <c r="AB59" i="30" s="1"/>
  <c r="AC59" i="30" s="1"/>
  <c r="AD59" i="30" s="1"/>
  <c r="AE59" i="30" s="1"/>
  <c r="B2" i="2"/>
  <c r="B58" i="30"/>
  <c r="B63" i="30" s="1"/>
  <c r="C58" i="30"/>
  <c r="B57" i="30"/>
  <c r="B62" i="30" s="1"/>
  <c r="C57" i="30"/>
  <c r="C2" i="2" s="1"/>
  <c r="C6" i="2" l="1"/>
  <c r="C62" i="30"/>
  <c r="B6" i="2"/>
  <c r="B2" i="43"/>
  <c r="C2" i="43"/>
  <c r="D2" i="43" s="1"/>
  <c r="E2" i="43" s="1"/>
  <c r="F2" i="43" s="1"/>
  <c r="G2" i="43" s="1"/>
  <c r="H2" i="43" s="1"/>
  <c r="I2" i="43" s="1"/>
  <c r="J2" i="43" s="1"/>
  <c r="A3" i="43"/>
  <c r="D4" i="43"/>
  <c r="E4" i="43"/>
  <c r="F4" i="43"/>
  <c r="G4" i="43"/>
  <c r="H4" i="43"/>
  <c r="I4" i="43"/>
  <c r="J4" i="43"/>
  <c r="A8" i="49"/>
  <c r="J168" i="49"/>
  <c r="I166" i="49"/>
  <c r="H166" i="49"/>
  <c r="G166" i="49"/>
  <c r="F166" i="49"/>
  <c r="E166" i="49"/>
  <c r="D166" i="49"/>
  <c r="C166" i="49"/>
  <c r="B166" i="49"/>
  <c r="I147" i="49"/>
  <c r="H147" i="49"/>
  <c r="G147" i="49"/>
  <c r="F147" i="49"/>
  <c r="E147" i="49"/>
  <c r="D147" i="49"/>
  <c r="C147" i="49"/>
  <c r="B147" i="49"/>
  <c r="I145" i="49"/>
  <c r="H145" i="49"/>
  <c r="H148" i="49" s="1"/>
  <c r="H149" i="49" s="1"/>
  <c r="G145" i="49"/>
  <c r="F145" i="49"/>
  <c r="E145" i="49"/>
  <c r="D145" i="49"/>
  <c r="D148" i="49" s="1"/>
  <c r="D149" i="49" s="1"/>
  <c r="C145" i="49"/>
  <c r="B145" i="49"/>
  <c r="I141" i="49"/>
  <c r="H141" i="49"/>
  <c r="G141" i="49"/>
  <c r="F141" i="49"/>
  <c r="E141" i="49"/>
  <c r="D141" i="49"/>
  <c r="C141" i="49"/>
  <c r="B141" i="49"/>
  <c r="I139" i="49"/>
  <c r="H139" i="49"/>
  <c r="H142" i="49" s="1"/>
  <c r="H143" i="49" s="1"/>
  <c r="G139" i="49"/>
  <c r="F139" i="49"/>
  <c r="E139" i="49"/>
  <c r="D139" i="49"/>
  <c r="D142" i="49" s="1"/>
  <c r="D143" i="49" s="1"/>
  <c r="C139" i="49"/>
  <c r="B139" i="49"/>
  <c r="H137" i="49"/>
  <c r="F137" i="49"/>
  <c r="D137" i="49"/>
  <c r="B137" i="49"/>
  <c r="I136" i="49"/>
  <c r="H136" i="49"/>
  <c r="G136" i="49"/>
  <c r="E136" i="49"/>
  <c r="D136" i="49"/>
  <c r="C136" i="49"/>
  <c r="H135" i="49"/>
  <c r="G135" i="49"/>
  <c r="F135" i="49"/>
  <c r="D135" i="49"/>
  <c r="C135" i="49"/>
  <c r="D133" i="49"/>
  <c r="H131" i="49"/>
  <c r="H133" i="49" s="1"/>
  <c r="F131" i="49"/>
  <c r="F133" i="49" s="1"/>
  <c r="D131" i="49"/>
  <c r="B131" i="49"/>
  <c r="B133" i="49" s="1"/>
  <c r="I129" i="49"/>
  <c r="I131" i="49" s="1"/>
  <c r="I133" i="49" s="1"/>
  <c r="H129" i="49"/>
  <c r="G129" i="49"/>
  <c r="G131" i="49" s="1"/>
  <c r="G133" i="49" s="1"/>
  <c r="E129" i="49"/>
  <c r="E131" i="49" s="1"/>
  <c r="E133" i="49" s="1"/>
  <c r="D129" i="49"/>
  <c r="C129" i="49"/>
  <c r="C131" i="49" s="1"/>
  <c r="C133" i="49" s="1"/>
  <c r="I130" i="49"/>
  <c r="I132" i="49" s="1"/>
  <c r="H130" i="49"/>
  <c r="H132" i="49" s="1"/>
  <c r="G130" i="49"/>
  <c r="G132" i="49" s="1"/>
  <c r="F130" i="49"/>
  <c r="F132" i="49" s="1"/>
  <c r="E130" i="49"/>
  <c r="E132" i="49" s="1"/>
  <c r="D130" i="49"/>
  <c r="D132" i="49" s="1"/>
  <c r="C130" i="49"/>
  <c r="C132" i="49" s="1"/>
  <c r="B130" i="49"/>
  <c r="B132" i="49" s="1"/>
  <c r="H127" i="49"/>
  <c r="F127" i="49"/>
  <c r="D127" i="49"/>
  <c r="B127" i="49"/>
  <c r="I126" i="49"/>
  <c r="I127" i="49" s="1"/>
  <c r="H126" i="49"/>
  <c r="G126" i="49"/>
  <c r="G127" i="49" s="1"/>
  <c r="E126" i="49"/>
  <c r="E127" i="49" s="1"/>
  <c r="D126" i="49"/>
  <c r="C126" i="49"/>
  <c r="C127" i="49" s="1"/>
  <c r="I125" i="49"/>
  <c r="H125" i="49"/>
  <c r="G125" i="49"/>
  <c r="F125" i="49"/>
  <c r="E125" i="49"/>
  <c r="D125" i="49"/>
  <c r="C125" i="49"/>
  <c r="B125" i="49"/>
  <c r="H123" i="49"/>
  <c r="F123" i="49"/>
  <c r="D123" i="49"/>
  <c r="B123" i="49"/>
  <c r="I122" i="49"/>
  <c r="I123" i="49" s="1"/>
  <c r="H122" i="49"/>
  <c r="G122" i="49"/>
  <c r="G123" i="49" s="1"/>
  <c r="E122" i="49"/>
  <c r="E123" i="49" s="1"/>
  <c r="D122" i="49"/>
  <c r="C122" i="49"/>
  <c r="C123" i="49" s="1"/>
  <c r="I112" i="49"/>
  <c r="G112" i="49"/>
  <c r="E112" i="49"/>
  <c r="C112" i="49"/>
  <c r="B112" i="49"/>
  <c r="H112" i="49" s="1"/>
  <c r="I111" i="49"/>
  <c r="H111" i="49"/>
  <c r="G111" i="49"/>
  <c r="F111" i="49"/>
  <c r="E111" i="49"/>
  <c r="D111" i="49"/>
  <c r="C111" i="49"/>
  <c r="B110" i="49"/>
  <c r="I109" i="49"/>
  <c r="H109" i="49"/>
  <c r="G109" i="49"/>
  <c r="F109" i="49"/>
  <c r="E109" i="49"/>
  <c r="D109" i="49"/>
  <c r="C109" i="49"/>
  <c r="I95" i="49"/>
  <c r="G95" i="49"/>
  <c r="E95" i="49"/>
  <c r="C95" i="49"/>
  <c r="B95" i="49"/>
  <c r="F95" i="49" s="1"/>
  <c r="I94" i="49"/>
  <c r="H94" i="49"/>
  <c r="G94" i="49"/>
  <c r="F94" i="49"/>
  <c r="E94" i="49"/>
  <c r="D94" i="49"/>
  <c r="C94" i="49"/>
  <c r="H93" i="49"/>
  <c r="F93" i="49"/>
  <c r="D93" i="49"/>
  <c r="B93" i="49"/>
  <c r="I92" i="49"/>
  <c r="H92" i="49"/>
  <c r="G92" i="49"/>
  <c r="F92" i="49"/>
  <c r="E92" i="49"/>
  <c r="D92" i="49"/>
  <c r="C92" i="49"/>
  <c r="E79" i="49"/>
  <c r="E70" i="49"/>
  <c r="I67" i="49"/>
  <c r="H67" i="49"/>
  <c r="G67" i="49"/>
  <c r="F67" i="49"/>
  <c r="E67" i="49"/>
  <c r="D67" i="49"/>
  <c r="C67" i="49"/>
  <c r="B67" i="49"/>
  <c r="I65" i="49"/>
  <c r="H65" i="49"/>
  <c r="G65" i="49"/>
  <c r="F65" i="49"/>
  <c r="E65" i="49"/>
  <c r="D65" i="49"/>
  <c r="C65" i="49"/>
  <c r="B65" i="49"/>
  <c r="I59" i="49"/>
  <c r="H59" i="49"/>
  <c r="G59" i="49"/>
  <c r="F59" i="49"/>
  <c r="E59" i="49"/>
  <c r="D59" i="49"/>
  <c r="C59" i="49"/>
  <c r="I58" i="49"/>
  <c r="H58" i="49"/>
  <c r="G58" i="49"/>
  <c r="F58" i="49"/>
  <c r="E58" i="49"/>
  <c r="D58" i="49"/>
  <c r="C58" i="49"/>
  <c r="E45" i="49"/>
  <c r="D45" i="49"/>
  <c r="C45" i="49"/>
  <c r="C44" i="49"/>
  <c r="D44" i="49" s="1"/>
  <c r="E44" i="49" s="1"/>
  <c r="J37" i="49"/>
  <c r="F37" i="49"/>
  <c r="B37" i="49"/>
  <c r="J36" i="49"/>
  <c r="I36" i="49"/>
  <c r="H36" i="49"/>
  <c r="G36" i="49"/>
  <c r="G37" i="49" s="1"/>
  <c r="F36" i="49"/>
  <c r="E36" i="49"/>
  <c r="D36" i="49"/>
  <c r="C36" i="49"/>
  <c r="C37" i="49" s="1"/>
  <c r="B36" i="49"/>
  <c r="J34" i="49"/>
  <c r="I34" i="49"/>
  <c r="I37" i="49" s="1"/>
  <c r="H34" i="49"/>
  <c r="G34" i="49"/>
  <c r="F34" i="49"/>
  <c r="E34" i="49"/>
  <c r="E37" i="49" s="1"/>
  <c r="D34" i="49"/>
  <c r="C34" i="49"/>
  <c r="B34" i="49"/>
  <c r="D32" i="49"/>
  <c r="C32" i="49"/>
  <c r="I13" i="49"/>
  <c r="J13" i="49"/>
  <c r="J16" i="49" s="1"/>
  <c r="I12" i="49"/>
  <c r="G13" i="49"/>
  <c r="F13" i="49"/>
  <c r="E12" i="49"/>
  <c r="C13" i="49"/>
  <c r="C16" i="49" s="1"/>
  <c r="B12" i="49"/>
  <c r="B21" i="49" s="1"/>
  <c r="B41" i="49" s="1"/>
  <c r="E21" i="49" l="1"/>
  <c r="E41" i="49" s="1"/>
  <c r="B142" i="49"/>
  <c r="B143" i="49" s="1"/>
  <c r="F142" i="49"/>
  <c r="F143" i="49" s="1"/>
  <c r="F17" i="49"/>
  <c r="F29" i="49" s="1"/>
  <c r="F63" i="49" s="1"/>
  <c r="F16" i="49"/>
  <c r="F27" i="49" s="1"/>
  <c r="J12" i="49"/>
  <c r="G17" i="49"/>
  <c r="G29" i="49" s="1"/>
  <c r="G63" i="49" s="1"/>
  <c r="B13" i="49"/>
  <c r="B16" i="49" s="1"/>
  <c r="B27" i="49" s="1"/>
  <c r="C12" i="49"/>
  <c r="C20" i="49" s="1"/>
  <c r="E13" i="49"/>
  <c r="C17" i="49"/>
  <c r="C29" i="49" s="1"/>
  <c r="F12" i="49"/>
  <c r="F21" i="49" s="1"/>
  <c r="F41" i="49" s="1"/>
  <c r="E68" i="49"/>
  <c r="E56" i="49"/>
  <c r="J26" i="49"/>
  <c r="J27" i="49"/>
  <c r="H13" i="49"/>
  <c r="H12" i="49"/>
  <c r="C26" i="49"/>
  <c r="B68" i="49"/>
  <c r="B56" i="49"/>
  <c r="I20" i="49"/>
  <c r="I38" i="49" s="1"/>
  <c r="E16" i="49"/>
  <c r="E17" i="49"/>
  <c r="E29" i="49" s="1"/>
  <c r="G12" i="49"/>
  <c r="G16" i="49"/>
  <c r="C27" i="49"/>
  <c r="D13" i="49"/>
  <c r="D12" i="49"/>
  <c r="J17" i="49"/>
  <c r="J29" i="49" s="1"/>
  <c r="F70" i="49" s="1"/>
  <c r="D37" i="49"/>
  <c r="H37" i="49"/>
  <c r="E20" i="49"/>
  <c r="E38" i="49" s="1"/>
  <c r="C50" i="49"/>
  <c r="C63" i="49"/>
  <c r="I16" i="49"/>
  <c r="I17" i="49"/>
  <c r="I29" i="49" s="1"/>
  <c r="B20" i="49"/>
  <c r="B38" i="49" s="1"/>
  <c r="I21" i="49"/>
  <c r="I41" i="49" s="1"/>
  <c r="G110" i="49"/>
  <c r="C110" i="49"/>
  <c r="I110" i="49"/>
  <c r="E110" i="49"/>
  <c r="F110" i="49"/>
  <c r="D110" i="49"/>
  <c r="H110" i="49"/>
  <c r="C142" i="49"/>
  <c r="C143" i="49" s="1"/>
  <c r="G142" i="49"/>
  <c r="G143" i="49" s="1"/>
  <c r="E148" i="49"/>
  <c r="E149" i="49" s="1"/>
  <c r="I148" i="49"/>
  <c r="I149" i="49" s="1"/>
  <c r="I93" i="49"/>
  <c r="E93" i="49"/>
  <c r="G93" i="49"/>
  <c r="C93" i="49"/>
  <c r="B148" i="49"/>
  <c r="B149" i="49" s="1"/>
  <c r="F148" i="49"/>
  <c r="F149" i="49" s="1"/>
  <c r="E142" i="49"/>
  <c r="E143" i="49" s="1"/>
  <c r="I142" i="49"/>
  <c r="I143" i="49" s="1"/>
  <c r="C148" i="49"/>
  <c r="C149" i="49" s="1"/>
  <c r="G148" i="49"/>
  <c r="G149" i="49" s="1"/>
  <c r="D95" i="49"/>
  <c r="H95" i="49"/>
  <c r="F112" i="49"/>
  <c r="B135" i="49"/>
  <c r="C137" i="49"/>
  <c r="D112" i="49"/>
  <c r="E137" i="49"/>
  <c r="E135" i="49"/>
  <c r="I135" i="49"/>
  <c r="G137" i="49"/>
  <c r="I137" i="49"/>
  <c r="B39" i="49" l="1"/>
  <c r="B66" i="49" s="1"/>
  <c r="F20" i="49"/>
  <c r="B26" i="49"/>
  <c r="B28" i="49" s="1"/>
  <c r="C21" i="49"/>
  <c r="C41" i="49" s="1"/>
  <c r="C56" i="49" s="1"/>
  <c r="C39" i="49"/>
  <c r="C38" i="49"/>
  <c r="C54" i="49" s="1"/>
  <c r="F26" i="49"/>
  <c r="F161" i="49" s="1"/>
  <c r="B17" i="49"/>
  <c r="B29" i="49" s="1"/>
  <c r="B50" i="49" s="1"/>
  <c r="I39" i="49"/>
  <c r="J20" i="49"/>
  <c r="J21" i="49"/>
  <c r="J41" i="49" s="1"/>
  <c r="F79" i="49" s="1"/>
  <c r="C66" i="49"/>
  <c r="I176" i="49"/>
  <c r="I68" i="49"/>
  <c r="E175" i="49"/>
  <c r="E54" i="49"/>
  <c r="D17" i="49"/>
  <c r="D29" i="49" s="1"/>
  <c r="D16" i="49"/>
  <c r="E39" i="49"/>
  <c r="G21" i="49"/>
  <c r="G41" i="49" s="1"/>
  <c r="G20" i="49"/>
  <c r="B175" i="49"/>
  <c r="B54" i="49"/>
  <c r="B40" i="49"/>
  <c r="C68" i="49"/>
  <c r="C162" i="49"/>
  <c r="C61" i="49"/>
  <c r="E27" i="49"/>
  <c r="E26" i="49"/>
  <c r="H21" i="49"/>
  <c r="H41" i="49" s="1"/>
  <c r="H20" i="49"/>
  <c r="C71" i="49"/>
  <c r="B61" i="49"/>
  <c r="C175" i="49"/>
  <c r="C40" i="49"/>
  <c r="I63" i="49"/>
  <c r="F68" i="49"/>
  <c r="E63" i="49"/>
  <c r="E50" i="49"/>
  <c r="B176" i="49"/>
  <c r="H17" i="49"/>
  <c r="H29" i="49" s="1"/>
  <c r="H16" i="49"/>
  <c r="C70" i="49"/>
  <c r="J28" i="49"/>
  <c r="J30" i="49" s="1"/>
  <c r="B48" i="49"/>
  <c r="F162" i="49"/>
  <c r="F61" i="49"/>
  <c r="I27" i="49"/>
  <c r="I26" i="49"/>
  <c r="D21" i="49"/>
  <c r="D41" i="49" s="1"/>
  <c r="D20" i="49"/>
  <c r="I66" i="49"/>
  <c r="G26" i="49"/>
  <c r="G27" i="49"/>
  <c r="I175" i="49"/>
  <c r="I40" i="49"/>
  <c r="I42" i="49" s="1"/>
  <c r="C161" i="49"/>
  <c r="C48" i="49"/>
  <c r="C28" i="49"/>
  <c r="C176" i="49" l="1"/>
  <c r="B63" i="49"/>
  <c r="B162" i="49"/>
  <c r="B161" i="49"/>
  <c r="F38" i="49"/>
  <c r="F39" i="49"/>
  <c r="F28" i="49"/>
  <c r="F30" i="49" s="1"/>
  <c r="J38" i="49"/>
  <c r="J39" i="49"/>
  <c r="C80" i="49" s="1"/>
  <c r="G162" i="49"/>
  <c r="G61" i="49"/>
  <c r="H27" i="49"/>
  <c r="H26" i="49"/>
  <c r="E66" i="49"/>
  <c r="E176" i="49"/>
  <c r="D38" i="49"/>
  <c r="D39" i="49"/>
  <c r="D176" i="49" s="1"/>
  <c r="I162" i="49"/>
  <c r="I61" i="49"/>
  <c r="B47" i="49"/>
  <c r="B49" i="49" s="1"/>
  <c r="B30" i="49"/>
  <c r="G39" i="49"/>
  <c r="G38" i="49"/>
  <c r="C47" i="49"/>
  <c r="C49" i="49" s="1"/>
  <c r="C30" i="49"/>
  <c r="D56" i="49"/>
  <c r="D68" i="49"/>
  <c r="K41" i="49"/>
  <c r="B85" i="49" s="1"/>
  <c r="H39" i="49"/>
  <c r="H38" i="49"/>
  <c r="E162" i="49"/>
  <c r="E61" i="49"/>
  <c r="G176" i="49"/>
  <c r="G68" i="49"/>
  <c r="D63" i="49"/>
  <c r="D50" i="49"/>
  <c r="I161" i="49"/>
  <c r="I28" i="49"/>
  <c r="I30" i="49" s="1"/>
  <c r="G161" i="49"/>
  <c r="G28" i="49"/>
  <c r="G30" i="49" s="1"/>
  <c r="H63" i="49"/>
  <c r="E161" i="49"/>
  <c r="E48" i="49"/>
  <c r="E28" i="49"/>
  <c r="D27" i="49"/>
  <c r="D26" i="49"/>
  <c r="C53" i="49"/>
  <c r="C55" i="49" s="1"/>
  <c r="C42" i="49"/>
  <c r="H176" i="49"/>
  <c r="H68" i="49"/>
  <c r="B53" i="49"/>
  <c r="B55" i="49" s="1"/>
  <c r="B42" i="49"/>
  <c r="K29" i="49"/>
  <c r="E40" i="49"/>
  <c r="J63" i="49" l="1"/>
  <c r="F175" i="49"/>
  <c r="F40" i="49"/>
  <c r="F42" i="49" s="1"/>
  <c r="F66" i="49"/>
  <c r="F176" i="49"/>
  <c r="J40" i="49"/>
  <c r="J42" i="49" s="1"/>
  <c r="C79" i="49"/>
  <c r="H175" i="49"/>
  <c r="H40" i="49"/>
  <c r="H42" i="49" s="1"/>
  <c r="H61" i="49"/>
  <c r="H162" i="49"/>
  <c r="E30" i="49"/>
  <c r="E47" i="49"/>
  <c r="E49" i="49" s="1"/>
  <c r="H66" i="49"/>
  <c r="G175" i="49"/>
  <c r="G40" i="49"/>
  <c r="G42" i="49" s="1"/>
  <c r="F76" i="49"/>
  <c r="F77" i="49" s="1"/>
  <c r="F91" i="49" s="1"/>
  <c r="H76" i="49"/>
  <c r="H77" i="49" s="1"/>
  <c r="H91" i="49" s="1"/>
  <c r="D76" i="49"/>
  <c r="D77" i="49" s="1"/>
  <c r="D91" i="49" s="1"/>
  <c r="E76" i="49"/>
  <c r="E77" i="49" s="1"/>
  <c r="E91" i="49" s="1"/>
  <c r="B76" i="49"/>
  <c r="B77" i="49" s="1"/>
  <c r="G76" i="49"/>
  <c r="G77" i="49" s="1"/>
  <c r="G91" i="49" s="1"/>
  <c r="I76" i="49"/>
  <c r="I77" i="49" s="1"/>
  <c r="I91" i="49" s="1"/>
  <c r="C76" i="49"/>
  <c r="C77" i="49" s="1"/>
  <c r="C91" i="49" s="1"/>
  <c r="D161" i="49"/>
  <c r="D48" i="49"/>
  <c r="D28" i="49"/>
  <c r="K26" i="49"/>
  <c r="B72" i="49" s="1"/>
  <c r="I85" i="49"/>
  <c r="I86" i="49" s="1"/>
  <c r="I108" i="49" s="1"/>
  <c r="E85" i="49"/>
  <c r="E86" i="49" s="1"/>
  <c r="E108" i="49" s="1"/>
  <c r="G85" i="49"/>
  <c r="G86" i="49" s="1"/>
  <c r="G108" i="49" s="1"/>
  <c r="C85" i="49"/>
  <c r="C86" i="49" s="1"/>
  <c r="C108" i="49" s="1"/>
  <c r="D85" i="49"/>
  <c r="D86" i="49" s="1"/>
  <c r="D108" i="49" s="1"/>
  <c r="B86" i="49"/>
  <c r="B108" i="49" s="1"/>
  <c r="F85" i="49"/>
  <c r="F86" i="49" s="1"/>
  <c r="F108" i="49" s="1"/>
  <c r="H85" i="49"/>
  <c r="H86" i="49" s="1"/>
  <c r="H108" i="49" s="1"/>
  <c r="G66" i="49"/>
  <c r="D66" i="49"/>
  <c r="K39" i="49"/>
  <c r="B82" i="49" s="1"/>
  <c r="E53" i="49"/>
  <c r="E55" i="49" s="1"/>
  <c r="E42" i="49"/>
  <c r="D61" i="49"/>
  <c r="J61" i="49" s="1"/>
  <c r="J89" i="49" s="1"/>
  <c r="D162" i="49"/>
  <c r="K27" i="49"/>
  <c r="B73" i="49" s="1"/>
  <c r="D175" i="49"/>
  <c r="D54" i="49"/>
  <c r="D40" i="49"/>
  <c r="K38" i="49"/>
  <c r="B81" i="49" s="1"/>
  <c r="H161" i="49"/>
  <c r="H28" i="49"/>
  <c r="H30" i="49" s="1"/>
  <c r="D118" i="49" l="1"/>
  <c r="D171" i="49" s="1"/>
  <c r="D117" i="49"/>
  <c r="D101" i="49"/>
  <c r="D156" i="49" s="1"/>
  <c r="D100" i="49"/>
  <c r="H118" i="49"/>
  <c r="H171" i="49" s="1"/>
  <c r="H117" i="49"/>
  <c r="I81" i="49"/>
  <c r="I83" i="49" s="1"/>
  <c r="I105" i="49" s="1"/>
  <c r="E81" i="49"/>
  <c r="E83" i="49" s="1"/>
  <c r="E105" i="49" s="1"/>
  <c r="H81" i="49"/>
  <c r="H83" i="49" s="1"/>
  <c r="H105" i="49" s="1"/>
  <c r="D81" i="49"/>
  <c r="D83" i="49" s="1"/>
  <c r="D105" i="49" s="1"/>
  <c r="B83" i="49"/>
  <c r="B105" i="49" s="1"/>
  <c r="F81" i="49"/>
  <c r="F83" i="49" s="1"/>
  <c r="F105" i="49" s="1"/>
  <c r="C81" i="49"/>
  <c r="C83" i="49" s="1"/>
  <c r="C105" i="49" s="1"/>
  <c r="G81" i="49"/>
  <c r="G83" i="49" s="1"/>
  <c r="G105" i="49" s="1"/>
  <c r="I82" i="49"/>
  <c r="I84" i="49" s="1"/>
  <c r="I106" i="49" s="1"/>
  <c r="I116" i="49" s="1"/>
  <c r="E82" i="49"/>
  <c r="E84" i="49" s="1"/>
  <c r="H82" i="49"/>
  <c r="H84" i="49" s="1"/>
  <c r="H106" i="49" s="1"/>
  <c r="H116" i="49" s="1"/>
  <c r="D82" i="49"/>
  <c r="D84" i="49" s="1"/>
  <c r="B84" i="49"/>
  <c r="B106" i="49" s="1"/>
  <c r="B116" i="49" s="1"/>
  <c r="F82" i="49"/>
  <c r="F84" i="49" s="1"/>
  <c r="F106" i="49" s="1"/>
  <c r="F116" i="49" s="1"/>
  <c r="C82" i="49"/>
  <c r="C84" i="49" s="1"/>
  <c r="C106" i="49" s="1"/>
  <c r="C116" i="49" s="1"/>
  <c r="G82" i="49"/>
  <c r="G84" i="49" s="1"/>
  <c r="G106" i="49" s="1"/>
  <c r="G116" i="49" s="1"/>
  <c r="B118" i="49"/>
  <c r="B171" i="49" s="1"/>
  <c r="B117" i="49"/>
  <c r="E118" i="49"/>
  <c r="E171" i="49" s="1"/>
  <c r="E117" i="49"/>
  <c r="I101" i="49"/>
  <c r="I156" i="49" s="1"/>
  <c r="I100" i="49"/>
  <c r="D42" i="49"/>
  <c r="K42" i="49" s="1"/>
  <c r="D53" i="49"/>
  <c r="D55" i="49" s="1"/>
  <c r="D106" i="49" s="1"/>
  <c r="D116" i="49" s="1"/>
  <c r="K40" i="49"/>
  <c r="B75" i="49"/>
  <c r="B89" i="49" s="1"/>
  <c r="B99" i="49" s="1"/>
  <c r="G73" i="49"/>
  <c r="C73" i="49"/>
  <c r="C75" i="49" s="1"/>
  <c r="C89" i="49" s="1"/>
  <c r="C99" i="49" s="1"/>
  <c r="F73" i="49"/>
  <c r="F75" i="49" s="1"/>
  <c r="F89" i="49" s="1"/>
  <c r="F99" i="49" s="1"/>
  <c r="E73" i="49"/>
  <c r="E75" i="49" s="1"/>
  <c r="E89" i="49" s="1"/>
  <c r="E99" i="49" s="1"/>
  <c r="D73" i="49"/>
  <c r="D75" i="49" s="1"/>
  <c r="I118" i="49"/>
  <c r="I171" i="49" s="1"/>
  <c r="I117" i="49"/>
  <c r="G101" i="49"/>
  <c r="G156" i="49" s="1"/>
  <c r="G100" i="49"/>
  <c r="H101" i="49"/>
  <c r="H156" i="49" s="1"/>
  <c r="H100" i="49"/>
  <c r="C118" i="49"/>
  <c r="C171" i="49" s="1"/>
  <c r="C117" i="49"/>
  <c r="G72" i="49"/>
  <c r="C72" i="49"/>
  <c r="C74" i="49" s="1"/>
  <c r="C88" i="49" s="1"/>
  <c r="B74" i="49"/>
  <c r="F72" i="49"/>
  <c r="F74" i="49" s="1"/>
  <c r="F88" i="49" s="1"/>
  <c r="E72" i="49"/>
  <c r="E74" i="49" s="1"/>
  <c r="E88" i="49" s="1"/>
  <c r="D72" i="49"/>
  <c r="D74" i="49" s="1"/>
  <c r="D88" i="49" s="1"/>
  <c r="J77" i="49"/>
  <c r="B91" i="49"/>
  <c r="F101" i="49"/>
  <c r="F156" i="49" s="1"/>
  <c r="F100" i="49"/>
  <c r="E106" i="49"/>
  <c r="E116" i="49" s="1"/>
  <c r="F118" i="49"/>
  <c r="F171" i="49" s="1"/>
  <c r="F117" i="49"/>
  <c r="G118" i="49"/>
  <c r="G171" i="49" s="1"/>
  <c r="G117" i="49"/>
  <c r="D47" i="49"/>
  <c r="D49" i="49" s="1"/>
  <c r="D89" i="49" s="1"/>
  <c r="D99" i="49" s="1"/>
  <c r="D30" i="49"/>
  <c r="K30" i="49" s="1"/>
  <c r="K28" i="49"/>
  <c r="C101" i="49"/>
  <c r="C156" i="49" s="1"/>
  <c r="C100" i="49"/>
  <c r="E101" i="49"/>
  <c r="E156" i="49" s="1"/>
  <c r="E100" i="49"/>
  <c r="E103" i="49" l="1"/>
  <c r="E153" i="49"/>
  <c r="E159" i="49" s="1"/>
  <c r="G120" i="49"/>
  <c r="G169" i="49"/>
  <c r="G173" i="49" s="1"/>
  <c r="D107" i="49"/>
  <c r="D113" i="49" s="1"/>
  <c r="D114" i="49"/>
  <c r="H169" i="49"/>
  <c r="H173" i="49" s="1"/>
  <c r="H120" i="49"/>
  <c r="E90" i="49"/>
  <c r="E96" i="49" s="1"/>
  <c r="E97" i="49"/>
  <c r="G74" i="49"/>
  <c r="G88" i="49" s="1"/>
  <c r="H72" i="49"/>
  <c r="E155" i="49"/>
  <c r="E170" i="49" s="1"/>
  <c r="E154" i="49"/>
  <c r="F155" i="49"/>
  <c r="F154" i="49"/>
  <c r="D90" i="49"/>
  <c r="D96" i="49" s="1"/>
  <c r="D97" i="49"/>
  <c r="C90" i="49"/>
  <c r="C96" i="49" s="1"/>
  <c r="C97" i="49"/>
  <c r="H155" i="49"/>
  <c r="H154" i="49"/>
  <c r="F103" i="49"/>
  <c r="F153" i="49"/>
  <c r="F159" i="49" s="1"/>
  <c r="I155" i="49"/>
  <c r="I170" i="49" s="1"/>
  <c r="I154" i="49"/>
  <c r="F169" i="49"/>
  <c r="F173" i="49" s="1"/>
  <c r="F120" i="49"/>
  <c r="F107" i="49"/>
  <c r="F113" i="49" s="1"/>
  <c r="F114" i="49"/>
  <c r="E107" i="49"/>
  <c r="E113" i="49" s="1"/>
  <c r="E114" i="49"/>
  <c r="C103" i="49"/>
  <c r="C153" i="49"/>
  <c r="C159" i="49" s="1"/>
  <c r="D169" i="49"/>
  <c r="D173" i="49" s="1"/>
  <c r="D120" i="49"/>
  <c r="B169" i="49"/>
  <c r="B173" i="49" s="1"/>
  <c r="B120" i="49"/>
  <c r="I120" i="49"/>
  <c r="I169" i="49"/>
  <c r="I173" i="49" s="1"/>
  <c r="B107" i="49"/>
  <c r="B113" i="49" s="1"/>
  <c r="B114" i="49"/>
  <c r="I107" i="49"/>
  <c r="I113" i="49" s="1"/>
  <c r="I114" i="49"/>
  <c r="H170" i="49"/>
  <c r="D103" i="49"/>
  <c r="D153" i="49"/>
  <c r="D159" i="49" s="1"/>
  <c r="B101" i="49"/>
  <c r="B156" i="49" s="1"/>
  <c r="B100" i="49"/>
  <c r="F90" i="49"/>
  <c r="F96" i="49" s="1"/>
  <c r="F97" i="49"/>
  <c r="G155" i="49"/>
  <c r="G170" i="49" s="1"/>
  <c r="G154" i="49"/>
  <c r="G75" i="49"/>
  <c r="G89" i="49" s="1"/>
  <c r="G99" i="49" s="1"/>
  <c r="H73" i="49"/>
  <c r="G107" i="49"/>
  <c r="G113" i="49" s="1"/>
  <c r="G114" i="49"/>
  <c r="F170" i="49"/>
  <c r="C155" i="49"/>
  <c r="C170" i="49" s="1"/>
  <c r="C154" i="49"/>
  <c r="E120" i="49"/>
  <c r="E169" i="49"/>
  <c r="E173" i="49" s="1"/>
  <c r="B88" i="49"/>
  <c r="B153" i="49"/>
  <c r="C120" i="49"/>
  <c r="C169" i="49"/>
  <c r="C173" i="49" s="1"/>
  <c r="C107" i="49"/>
  <c r="C113" i="49" s="1"/>
  <c r="C114" i="49"/>
  <c r="H107" i="49"/>
  <c r="H113" i="49" s="1"/>
  <c r="H114" i="49"/>
  <c r="D155" i="49"/>
  <c r="D170" i="49" s="1"/>
  <c r="D154" i="49"/>
  <c r="B115" i="49" l="1"/>
  <c r="B119" i="49" s="1"/>
  <c r="F115" i="49"/>
  <c r="G115" i="49"/>
  <c r="H115" i="49"/>
  <c r="C115" i="49"/>
  <c r="B103" i="49"/>
  <c r="I115" i="49"/>
  <c r="E115" i="49"/>
  <c r="B159" i="49"/>
  <c r="B155" i="49"/>
  <c r="B170" i="49" s="1"/>
  <c r="B154" i="49"/>
  <c r="I72" i="49"/>
  <c r="I74" i="49" s="1"/>
  <c r="I88" i="49" s="1"/>
  <c r="H74" i="49"/>
  <c r="C119" i="49"/>
  <c r="F119" i="49"/>
  <c r="C152" i="49"/>
  <c r="C158" i="49" s="1"/>
  <c r="C151" i="49"/>
  <c r="C157" i="49" s="1"/>
  <c r="C98" i="49"/>
  <c r="C102" i="49" s="1"/>
  <c r="G90" i="49"/>
  <c r="G96" i="49" s="1"/>
  <c r="G97" i="49"/>
  <c r="H75" i="49"/>
  <c r="H89" i="49" s="1"/>
  <c r="H99" i="49" s="1"/>
  <c r="I73" i="49"/>
  <c r="I75" i="49" s="1"/>
  <c r="I89" i="49" s="1"/>
  <c r="I99" i="49" s="1"/>
  <c r="B90" i="49"/>
  <c r="B96" i="49" s="1"/>
  <c r="B97" i="49"/>
  <c r="G103" i="49"/>
  <c r="G153" i="49"/>
  <c r="G159" i="49" s="1"/>
  <c r="H119" i="49"/>
  <c r="G119" i="49"/>
  <c r="F98" i="49"/>
  <c r="F102" i="49" s="1"/>
  <c r="F152" i="49"/>
  <c r="F158" i="49" s="1"/>
  <c r="F151" i="49"/>
  <c r="F157" i="49" s="1"/>
  <c r="I119" i="49"/>
  <c r="E119" i="49"/>
  <c r="D98" i="49"/>
  <c r="D102" i="49" s="1"/>
  <c r="D151" i="49"/>
  <c r="D157" i="49" s="1"/>
  <c r="D152" i="49"/>
  <c r="D158" i="49" s="1"/>
  <c r="E152" i="49"/>
  <c r="E158" i="49" s="1"/>
  <c r="E151" i="49"/>
  <c r="E157" i="49" s="1"/>
  <c r="E98" i="49"/>
  <c r="E102" i="49" s="1"/>
  <c r="D115" i="49"/>
  <c r="E160" i="49" l="1"/>
  <c r="E8" i="49" s="1"/>
  <c r="C168" i="49"/>
  <c r="C172" i="49" s="1"/>
  <c r="C160" i="49"/>
  <c r="C8" i="49" s="1"/>
  <c r="F160" i="49"/>
  <c r="F8" i="49" s="1"/>
  <c r="F168" i="49"/>
  <c r="F172" i="49" s="1"/>
  <c r="E168" i="49"/>
  <c r="E172" i="49" s="1"/>
  <c r="I90" i="49"/>
  <c r="I96" i="49" s="1"/>
  <c r="I97" i="49"/>
  <c r="H103" i="49"/>
  <c r="H153" i="49"/>
  <c r="H159" i="49" s="1"/>
  <c r="D168" i="49"/>
  <c r="D172" i="49" s="1"/>
  <c r="D119" i="49"/>
  <c r="D160" i="49"/>
  <c r="D8" i="49" s="1"/>
  <c r="B152" i="49"/>
  <c r="B151" i="49"/>
  <c r="B157" i="49" s="1"/>
  <c r="B98" i="49"/>
  <c r="B102" i="49" s="1"/>
  <c r="G152" i="49"/>
  <c r="G151" i="49"/>
  <c r="G157" i="49" s="1"/>
  <c r="G98" i="49"/>
  <c r="G102" i="49" s="1"/>
  <c r="I103" i="49"/>
  <c r="I153" i="49"/>
  <c r="I159" i="49" s="1"/>
  <c r="H88" i="49"/>
  <c r="J74" i="49"/>
  <c r="F174" i="49" l="1"/>
  <c r="D174" i="49"/>
  <c r="E174" i="49"/>
  <c r="C174" i="49"/>
  <c r="G158" i="49"/>
  <c r="G160" i="49" s="1"/>
  <c r="G8" i="49" s="1"/>
  <c r="G168" i="49"/>
  <c r="G172" i="49" s="1"/>
  <c r="I152" i="49"/>
  <c r="I151" i="49"/>
  <c r="I157" i="49" s="1"/>
  <c r="I98" i="49"/>
  <c r="I102" i="49" s="1"/>
  <c r="H90" i="49"/>
  <c r="H96" i="49" s="1"/>
  <c r="H97" i="49"/>
  <c r="B158" i="49"/>
  <c r="B160" i="49" s="1"/>
  <c r="B8" i="49" s="1"/>
  <c r="B168" i="49"/>
  <c r="B172" i="49" s="1"/>
  <c r="B174" i="49" l="1"/>
  <c r="G174" i="49"/>
  <c r="I158" i="49"/>
  <c r="I160" i="49" s="1"/>
  <c r="I8" i="49" s="1"/>
  <c r="I168" i="49"/>
  <c r="I172" i="49" s="1"/>
  <c r="H98" i="49"/>
  <c r="H102" i="49" s="1"/>
  <c r="H151" i="49"/>
  <c r="H157" i="49" s="1"/>
  <c r="H152" i="49"/>
  <c r="I174" i="49" l="1"/>
  <c r="H158" i="49"/>
  <c r="H160" i="49" s="1"/>
  <c r="H8" i="49" s="1"/>
  <c r="H168" i="49"/>
  <c r="H172" i="49" s="1"/>
  <c r="H174" i="49" l="1"/>
  <c r="C9" i="44" l="1"/>
  <c r="C5" i="44"/>
  <c r="B1" i="48"/>
  <c r="C1" i="48"/>
  <c r="A2" i="48"/>
  <c r="H14" i="48"/>
  <c r="I14" i="48"/>
  <c r="J14" i="48"/>
  <c r="H15" i="48"/>
  <c r="H16" i="48"/>
  <c r="H17" i="48"/>
  <c r="I17" i="48"/>
  <c r="J17" i="48"/>
  <c r="H18" i="48"/>
  <c r="I18" i="48"/>
  <c r="J18" i="48"/>
  <c r="H19" i="48"/>
  <c r="H20" i="48"/>
  <c r="I20" i="48"/>
  <c r="J20" i="48"/>
  <c r="H21" i="48"/>
  <c r="H22" i="48"/>
  <c r="I22" i="48"/>
  <c r="J22" i="48"/>
  <c r="H23" i="48"/>
  <c r="I23" i="48"/>
  <c r="J23" i="48"/>
  <c r="H24" i="48"/>
  <c r="I24" i="48"/>
  <c r="J24" i="48"/>
  <c r="H25" i="48"/>
  <c r="D22" i="44"/>
  <c r="E22" i="44"/>
  <c r="F22" i="44"/>
  <c r="G22" i="44"/>
  <c r="H22" i="44"/>
  <c r="I22" i="44"/>
  <c r="J22" i="44"/>
  <c r="C22" i="44"/>
  <c r="D23" i="44"/>
  <c r="E23" i="44"/>
  <c r="F23" i="44"/>
  <c r="G23" i="44"/>
  <c r="H23" i="44"/>
  <c r="I23" i="44"/>
  <c r="J23" i="44"/>
  <c r="K23" i="44"/>
  <c r="L23" i="44"/>
  <c r="M23" i="44"/>
  <c r="N23" i="44"/>
  <c r="O23" i="44"/>
  <c r="C23" i="44"/>
  <c r="C21" i="44"/>
  <c r="C3" i="43" s="1"/>
  <c r="D5" i="43" s="1"/>
  <c r="E5" i="43" s="1"/>
  <c r="F5" i="43" s="1"/>
  <c r="G5" i="43" s="1"/>
  <c r="H5" i="43" s="1"/>
  <c r="I5" i="43" s="1"/>
  <c r="J5" i="43" s="1"/>
  <c r="B21" i="44"/>
  <c r="J11" i="33"/>
  <c r="E11" i="33"/>
  <c r="F11" i="33" s="1"/>
  <c r="G11" i="33" s="1"/>
  <c r="H11" i="33" s="1"/>
  <c r="I11" i="33" s="1"/>
  <c r="B7" i="33"/>
  <c r="D11" i="33"/>
  <c r="C24" i="44"/>
  <c r="D24" i="44"/>
  <c r="E24" i="44"/>
  <c r="F24" i="44"/>
  <c r="G24" i="44"/>
  <c r="H24" i="44"/>
  <c r="I24" i="44"/>
  <c r="J24" i="44"/>
  <c r="K24" i="44"/>
  <c r="L24" i="44"/>
  <c r="M24" i="44"/>
  <c r="N24" i="44"/>
  <c r="O24" i="44"/>
  <c r="F27" i="34"/>
  <c r="G27" i="34"/>
  <c r="H27" i="34"/>
  <c r="I27" i="34"/>
  <c r="J27" i="34"/>
  <c r="K27" i="34"/>
  <c r="L27" i="34"/>
  <c r="E27" i="34"/>
  <c r="C4" i="44"/>
  <c r="L26" i="34"/>
  <c r="I5" i="46"/>
  <c r="H5" i="46" s="1"/>
  <c r="G5" i="46" s="1"/>
  <c r="F5" i="46" s="1"/>
  <c r="E5" i="46" s="1"/>
  <c r="J5" i="46"/>
  <c r="F16" i="47"/>
  <c r="G16" i="47"/>
  <c r="H16" i="47"/>
  <c r="I16" i="47"/>
  <c r="J16" i="47"/>
  <c r="K16" i="47"/>
  <c r="L16" i="47"/>
  <c r="M16" i="47"/>
  <c r="N16" i="47"/>
  <c r="O16" i="47"/>
  <c r="P16" i="47"/>
  <c r="Q16" i="47"/>
  <c r="F17" i="47"/>
  <c r="G17" i="47" s="1"/>
  <c r="H17" i="47" s="1"/>
  <c r="I17" i="47" s="1"/>
  <c r="J17" i="47" s="1"/>
  <c r="K17" i="47" s="1"/>
  <c r="L17" i="47" s="1"/>
  <c r="M17" i="47" s="1"/>
  <c r="N17" i="47" s="1"/>
  <c r="O17" i="47" s="1"/>
  <c r="P17" i="47" s="1"/>
  <c r="Q17" i="47" s="1"/>
  <c r="E17" i="47"/>
  <c r="E16" i="47"/>
  <c r="N13" i="47"/>
  <c r="O13" i="47" s="1"/>
  <c r="P13" i="47" s="1"/>
  <c r="M13" i="47"/>
  <c r="L8" i="47"/>
  <c r="M8" i="47" s="1"/>
  <c r="N8" i="47" s="1"/>
  <c r="O8" i="47" s="1"/>
  <c r="P8" i="47" s="1"/>
  <c r="Q8" i="47" s="1"/>
  <c r="K8" i="47"/>
  <c r="J8" i="47"/>
  <c r="I8" i="47"/>
  <c r="H8" i="47"/>
  <c r="G8" i="47"/>
  <c r="F8" i="47"/>
  <c r="K3" i="47"/>
  <c r="J3" i="47"/>
  <c r="I3" i="47"/>
  <c r="H3" i="47" s="1"/>
  <c r="G3" i="47" s="1"/>
  <c r="F3" i="47" s="1"/>
  <c r="E3" i="47" s="1"/>
  <c r="D5" i="44" l="1"/>
  <c r="B12" i="33"/>
  <c r="C9" i="33" s="1"/>
  <c r="B3" i="43"/>
  <c r="B2" i="48"/>
  <c r="C2" i="48"/>
  <c r="J20" i="34"/>
  <c r="K20" i="34" s="1"/>
  <c r="L20" i="34" s="1"/>
  <c r="I20" i="34"/>
  <c r="H20" i="34"/>
  <c r="G22" i="34"/>
  <c r="H22" i="34" s="1"/>
  <c r="F22" i="34"/>
  <c r="G20" i="34"/>
  <c r="F20" i="34"/>
  <c r="E22" i="34"/>
  <c r="E20" i="34"/>
  <c r="G10" i="34"/>
  <c r="H10" i="34" s="1"/>
  <c r="I10" i="34" s="1"/>
  <c r="J10" i="34" s="1"/>
  <c r="K10" i="34" s="1"/>
  <c r="L10" i="34" s="1"/>
  <c r="F10" i="34"/>
  <c r="E10" i="34"/>
  <c r="E13" i="34" s="1"/>
  <c r="B5" i="34"/>
  <c r="E4" i="34"/>
  <c r="F4" i="34" s="1"/>
  <c r="G4" i="34" s="1"/>
  <c r="H4" i="34" s="1"/>
  <c r="I4" i="34" s="1"/>
  <c r="J4" i="34" s="1"/>
  <c r="K4" i="34" s="1"/>
  <c r="L4" i="34" s="1"/>
  <c r="C5" i="34"/>
  <c r="C6" i="34" s="1"/>
  <c r="D5" i="34"/>
  <c r="D6" i="34" s="1"/>
  <c r="E12" i="34" s="1"/>
  <c r="E24" i="34" s="1"/>
  <c r="D20" i="44"/>
  <c r="C26" i="44"/>
  <c r="D26" i="44"/>
  <c r="E26" i="44"/>
  <c r="F26" i="44"/>
  <c r="G26" i="44"/>
  <c r="H26" i="44"/>
  <c r="I26" i="44"/>
  <c r="J26" i="44"/>
  <c r="K26" i="44"/>
  <c r="L26" i="44"/>
  <c r="M26" i="44"/>
  <c r="N26" i="44"/>
  <c r="O26" i="44"/>
  <c r="P6" i="46"/>
  <c r="D7" i="44" s="1"/>
  <c r="O6" i="46"/>
  <c r="N6" i="46"/>
  <c r="M6" i="46"/>
  <c r="L6" i="46"/>
  <c r="K6" i="46"/>
  <c r="J6" i="46"/>
  <c r="I6" i="46"/>
  <c r="H6" i="46"/>
  <c r="G6" i="46"/>
  <c r="F6" i="46"/>
  <c r="E6" i="46"/>
  <c r="D6" i="46"/>
  <c r="C6" i="46"/>
  <c r="B6" i="46"/>
  <c r="C11" i="45"/>
  <c r="R39" i="32"/>
  <c r="S39" i="32" s="1"/>
  <c r="Q39" i="32"/>
  <c r="O39" i="32"/>
  <c r="P39" i="32"/>
  <c r="P38" i="32"/>
  <c r="Q38" i="32"/>
  <c r="R38" i="32"/>
  <c r="S38" i="32"/>
  <c r="O38" i="32"/>
  <c r="C10" i="45"/>
  <c r="D10" i="45"/>
  <c r="E10" i="45"/>
  <c r="F10" i="45"/>
  <c r="G10" i="45"/>
  <c r="H10" i="45"/>
  <c r="I10" i="45"/>
  <c r="J10" i="45"/>
  <c r="K10" i="45"/>
  <c r="L10" i="45"/>
  <c r="M10" i="45"/>
  <c r="N10" i="45"/>
  <c r="O10" i="45"/>
  <c r="B10" i="45"/>
  <c r="E9" i="45"/>
  <c r="F9" i="45" s="1"/>
  <c r="G9" i="45" s="1"/>
  <c r="H9" i="45" s="1"/>
  <c r="I9" i="45" s="1"/>
  <c r="J9" i="45" s="1"/>
  <c r="K9" i="45" s="1"/>
  <c r="L9" i="45" s="1"/>
  <c r="M9" i="45" s="1"/>
  <c r="N9" i="45" s="1"/>
  <c r="O9" i="45" s="1"/>
  <c r="D9" i="45"/>
  <c r="D8" i="45"/>
  <c r="E8" i="45" s="1"/>
  <c r="F8" i="45" s="1"/>
  <c r="G8" i="45" s="1"/>
  <c r="H8" i="45" s="1"/>
  <c r="I8" i="45" s="1"/>
  <c r="J8" i="45" s="1"/>
  <c r="K8" i="45" s="1"/>
  <c r="L8" i="45" s="1"/>
  <c r="M8" i="45" s="1"/>
  <c r="N8" i="45" s="1"/>
  <c r="O8" i="45" s="1"/>
  <c r="C9" i="45"/>
  <c r="D23" i="30"/>
  <c r="E23" i="30" s="1"/>
  <c r="F23" i="30" s="1"/>
  <c r="G23" i="30" s="1"/>
  <c r="H23" i="30" s="1"/>
  <c r="I23" i="30" s="1"/>
  <c r="J23" i="30" s="1"/>
  <c r="K23" i="30" s="1"/>
  <c r="L23" i="30" s="1"/>
  <c r="M23" i="30" s="1"/>
  <c r="N23" i="30" s="1"/>
  <c r="O23" i="30" s="1"/>
  <c r="P23" i="30" s="1"/>
  <c r="Q23" i="30" s="1"/>
  <c r="R23" i="30" s="1"/>
  <c r="S23" i="30" s="1"/>
  <c r="T23" i="30" s="1"/>
  <c r="U23" i="30" s="1"/>
  <c r="V23" i="30" s="1"/>
  <c r="W23" i="30" s="1"/>
  <c r="X23" i="30" s="1"/>
  <c r="Y23" i="30" s="1"/>
  <c r="Z23" i="30" s="1"/>
  <c r="AA23" i="30" s="1"/>
  <c r="AB23" i="30" s="1"/>
  <c r="AC23" i="30" s="1"/>
  <c r="AD23" i="30" s="1"/>
  <c r="AE23" i="30" s="1"/>
  <c r="AF23" i="30" s="1"/>
  <c r="AG23" i="30" s="1"/>
  <c r="AH23" i="30" s="1"/>
  <c r="AI23" i="30" s="1"/>
  <c r="AJ23" i="30" s="1"/>
  <c r="AK23" i="30" s="1"/>
  <c r="AL23" i="30" s="1"/>
  <c r="AM23" i="30" s="1"/>
  <c r="AN23" i="30" s="1"/>
  <c r="AO23" i="30" s="1"/>
  <c r="AP23" i="30" s="1"/>
  <c r="E22" i="30"/>
  <c r="F22" i="30" s="1"/>
  <c r="G22" i="30" s="1"/>
  <c r="H22" i="30" s="1"/>
  <c r="I22" i="30" s="1"/>
  <c r="J22" i="30" s="1"/>
  <c r="K22" i="30" s="1"/>
  <c r="L22" i="30" s="1"/>
  <c r="M22" i="30" s="1"/>
  <c r="N22" i="30" s="1"/>
  <c r="O22" i="30" s="1"/>
  <c r="P22" i="30" s="1"/>
  <c r="Q22" i="30" s="1"/>
  <c r="R22" i="30" s="1"/>
  <c r="S22" i="30" s="1"/>
  <c r="T22" i="30" s="1"/>
  <c r="U22" i="30" s="1"/>
  <c r="V22" i="30" s="1"/>
  <c r="W22" i="30" s="1"/>
  <c r="X22" i="30" s="1"/>
  <c r="Y22" i="30" s="1"/>
  <c r="Z22" i="30" s="1"/>
  <c r="AA22" i="30" s="1"/>
  <c r="AB22" i="30" s="1"/>
  <c r="AC22" i="30" s="1"/>
  <c r="P18" i="34"/>
  <c r="C7" i="44"/>
  <c r="B7" i="43" l="1"/>
  <c r="B8" i="43"/>
  <c r="E20" i="44"/>
  <c r="D1" i="48"/>
  <c r="C12" i="33"/>
  <c r="C28" i="44" s="1"/>
  <c r="C4" i="48"/>
  <c r="I22" i="34"/>
  <c r="J22" i="34" s="1"/>
  <c r="K22" i="34" s="1"/>
  <c r="L22" i="34" s="1"/>
  <c r="E23" i="34"/>
  <c r="F12" i="34"/>
  <c r="G12" i="34" s="1"/>
  <c r="H12" i="34" s="1"/>
  <c r="I12" i="34" s="1"/>
  <c r="J12" i="34" s="1"/>
  <c r="K12" i="34" s="1"/>
  <c r="L12" i="34" s="1"/>
  <c r="D11" i="45"/>
  <c r="E11" i="45" s="1"/>
  <c r="F11" i="45" s="1"/>
  <c r="G11" i="45" s="1"/>
  <c r="H11" i="45" s="1"/>
  <c r="I11" i="45" s="1"/>
  <c r="J11" i="45" s="1"/>
  <c r="AD22" i="30"/>
  <c r="AE22" i="30" s="1"/>
  <c r="AF22" i="30" s="1"/>
  <c r="AG22" i="30"/>
  <c r="AH22" i="30" s="1"/>
  <c r="AI22" i="30" s="1"/>
  <c r="G14" i="42"/>
  <c r="G10" i="42"/>
  <c r="O11" i="43"/>
  <c r="C8" i="43" l="1"/>
  <c r="C29" i="44" s="1"/>
  <c r="C31" i="44" s="1"/>
  <c r="D38" i="30" s="1"/>
  <c r="D12" i="33"/>
  <c r="D28" i="44" s="1"/>
  <c r="F20" i="44"/>
  <c r="E1" i="48"/>
  <c r="D10" i="44"/>
  <c r="C10" i="44"/>
  <c r="F13" i="34"/>
  <c r="G13" i="34" s="1"/>
  <c r="H13" i="34" s="1"/>
  <c r="I13" i="34" s="1"/>
  <c r="F24" i="34"/>
  <c r="G24" i="34" s="1"/>
  <c r="H24" i="34" s="1"/>
  <c r="I24" i="34" s="1"/>
  <c r="J24" i="34" s="1"/>
  <c r="K24" i="34" s="1"/>
  <c r="L24" i="34" s="1"/>
  <c r="K11" i="45"/>
  <c r="L11" i="45" s="1"/>
  <c r="M11" i="45" s="1"/>
  <c r="N11" i="45" s="1"/>
  <c r="O11" i="45" s="1"/>
  <c r="O12" i="45" s="1"/>
  <c r="D6" i="44" s="1"/>
  <c r="J12" i="45"/>
  <c r="C6" i="44" s="1"/>
  <c r="AJ22" i="30"/>
  <c r="AK22" i="30" s="1"/>
  <c r="AL22" i="30" s="1"/>
  <c r="AM22" i="30"/>
  <c r="AN22" i="30" s="1"/>
  <c r="AO22" i="30" s="1"/>
  <c r="AP22" i="30" s="1"/>
  <c r="B7" i="42"/>
  <c r="C7" i="42"/>
  <c r="B8" i="42"/>
  <c r="I16" i="48" s="1"/>
  <c r="C8" i="42"/>
  <c r="J16" i="48" s="1"/>
  <c r="E4" i="38"/>
  <c r="D4" i="38"/>
  <c r="E3" i="38"/>
  <c r="D3" i="38"/>
  <c r="D2" i="38"/>
  <c r="E2" i="38"/>
  <c r="I5" i="39"/>
  <c r="A10" i="37"/>
  <c r="B10" i="37"/>
  <c r="C10" i="37"/>
  <c r="D10" i="37"/>
  <c r="E10" i="37"/>
  <c r="H5" i="39"/>
  <c r="F109" i="26"/>
  <c r="G109" i="26"/>
  <c r="H109" i="26" s="1"/>
  <c r="I109" i="26" s="1"/>
  <c r="J109" i="26" s="1"/>
  <c r="K109" i="26" s="1"/>
  <c r="L109" i="26" s="1"/>
  <c r="M109" i="26" s="1"/>
  <c r="N109" i="26" s="1"/>
  <c r="O109" i="26" s="1"/>
  <c r="P109" i="26" s="1"/>
  <c r="E109" i="26"/>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L78" i="37"/>
  <c r="K78" i="37"/>
  <c r="J78" i="37"/>
  <c r="I78" i="37"/>
  <c r="H78" i="37"/>
  <c r="G78" i="37"/>
  <c r="F78" i="37"/>
  <c r="E78" i="37"/>
  <c r="A8" i="37"/>
  <c r="A7" i="37"/>
  <c r="AI6" i="37"/>
  <c r="AI8" i="37" s="1"/>
  <c r="AH6" i="37"/>
  <c r="AH8" i="37" s="1"/>
  <c r="AG6" i="37"/>
  <c r="AG8" i="37" s="1"/>
  <c r="AF6" i="37"/>
  <c r="AF8" i="37" s="1"/>
  <c r="AE6" i="37"/>
  <c r="AE8" i="37" s="1"/>
  <c r="AD6" i="37"/>
  <c r="AD8" i="37" s="1"/>
  <c r="AC6" i="37"/>
  <c r="AC8" i="37" s="1"/>
  <c r="AB6" i="37"/>
  <c r="AB8" i="37" s="1"/>
  <c r="AA6" i="37"/>
  <c r="AA8" i="37" s="1"/>
  <c r="Z6" i="37"/>
  <c r="Z8" i="37" s="1"/>
  <c r="Y6" i="37"/>
  <c r="Y8" i="37" s="1"/>
  <c r="X6" i="37"/>
  <c r="X8" i="37" s="1"/>
  <c r="W6" i="37"/>
  <c r="W8" i="37" s="1"/>
  <c r="V6" i="37"/>
  <c r="V8" i="37" s="1"/>
  <c r="U6" i="37"/>
  <c r="U8" i="37" s="1"/>
  <c r="T6" i="37"/>
  <c r="T8" i="37" s="1"/>
  <c r="S6" i="37"/>
  <c r="S8" i="37" s="1"/>
  <c r="R6" i="37"/>
  <c r="R8" i="37" s="1"/>
  <c r="Q6" i="37"/>
  <c r="Q8" i="37" s="1"/>
  <c r="P6" i="37"/>
  <c r="P8" i="37" s="1"/>
  <c r="O6" i="37"/>
  <c r="O8" i="37" s="1"/>
  <c r="N6" i="37"/>
  <c r="N8" i="37" s="1"/>
  <c r="M6" i="37"/>
  <c r="M8" i="37" s="1"/>
  <c r="L6" i="37"/>
  <c r="L8" i="37" s="1"/>
  <c r="K6" i="37"/>
  <c r="K8" i="37" s="1"/>
  <c r="J6" i="37"/>
  <c r="J8" i="37" s="1"/>
  <c r="I6" i="37"/>
  <c r="I8" i="37" s="1"/>
  <c r="H6" i="37"/>
  <c r="H8" i="37" s="1"/>
  <c r="G6" i="37"/>
  <c r="G8" i="37" s="1"/>
  <c r="F6" i="37"/>
  <c r="F8" i="37" s="1"/>
  <c r="E6" i="37"/>
  <c r="E8" i="37" s="1"/>
  <c r="D6" i="37"/>
  <c r="D8" i="37" s="1"/>
  <c r="C6" i="37"/>
  <c r="C8" i="37" s="1"/>
  <c r="B6" i="37"/>
  <c r="B8" i="37" s="1"/>
  <c r="A6" i="37"/>
  <c r="AI5" i="37"/>
  <c r="AH5" i="37"/>
  <c r="AH7" i="37" s="1"/>
  <c r="AG5" i="37"/>
  <c r="AG7" i="37" s="1"/>
  <c r="AF5" i="37"/>
  <c r="AF7" i="37" s="1"/>
  <c r="AE5" i="37"/>
  <c r="AD5" i="37"/>
  <c r="AD7" i="37" s="1"/>
  <c r="AC5" i="37"/>
  <c r="AC7" i="37" s="1"/>
  <c r="AB5" i="37"/>
  <c r="AB7" i="37" s="1"/>
  <c r="AA5" i="37"/>
  <c r="Z5" i="37"/>
  <c r="Z7" i="37" s="1"/>
  <c r="Y5" i="37"/>
  <c r="Y7" i="37" s="1"/>
  <c r="X5" i="37"/>
  <c r="X7" i="37" s="1"/>
  <c r="W5" i="37"/>
  <c r="V5" i="37"/>
  <c r="V7" i="37" s="1"/>
  <c r="U5" i="37"/>
  <c r="U7" i="37" s="1"/>
  <c r="T5" i="37"/>
  <c r="T7" i="37" s="1"/>
  <c r="S5" i="37"/>
  <c r="R5" i="37"/>
  <c r="R7" i="37" s="1"/>
  <c r="R9" i="37" s="1"/>
  <c r="Q5" i="37"/>
  <c r="Q7" i="37" s="1"/>
  <c r="Q9" i="37" s="1"/>
  <c r="P5" i="37"/>
  <c r="P7" i="37" s="1"/>
  <c r="P9" i="37" s="1"/>
  <c r="O5" i="37"/>
  <c r="N5" i="37"/>
  <c r="N7" i="37" s="1"/>
  <c r="N9" i="37" s="1"/>
  <c r="M5" i="37"/>
  <c r="M7" i="37" s="1"/>
  <c r="M9" i="37" s="1"/>
  <c r="L5" i="37"/>
  <c r="L7" i="37" s="1"/>
  <c r="L9" i="37" s="1"/>
  <c r="K5" i="37"/>
  <c r="J5" i="37"/>
  <c r="J7" i="37" s="1"/>
  <c r="J9" i="37" s="1"/>
  <c r="I5" i="37"/>
  <c r="I7" i="37" s="1"/>
  <c r="H5" i="37"/>
  <c r="H7" i="37" s="1"/>
  <c r="G5" i="37"/>
  <c r="F5" i="37"/>
  <c r="F7" i="37" s="1"/>
  <c r="E5" i="37"/>
  <c r="E7" i="37" s="1"/>
  <c r="D5" i="37"/>
  <c r="D7" i="37" s="1"/>
  <c r="C5" i="37"/>
  <c r="B5" i="37"/>
  <c r="B7" i="37" s="1"/>
  <c r="A5" i="37"/>
  <c r="B11" i="42" l="1"/>
  <c r="I15" i="48"/>
  <c r="C11" i="42"/>
  <c r="J15" i="48"/>
  <c r="D8" i="43"/>
  <c r="D29" i="44" s="1"/>
  <c r="E12" i="33"/>
  <c r="E28" i="44" s="1"/>
  <c r="G20" i="44"/>
  <c r="F1" i="48"/>
  <c r="F23" i="34"/>
  <c r="G23" i="34" s="1"/>
  <c r="H23" i="34" s="1"/>
  <c r="I23" i="34" s="1"/>
  <c r="J13" i="34"/>
  <c r="C7" i="37"/>
  <c r="G7" i="37"/>
  <c r="K7" i="37"/>
  <c r="K9" i="37" s="1"/>
  <c r="O7" i="37"/>
  <c r="O9" i="37" s="1"/>
  <c r="S7" i="37"/>
  <c r="W7" i="37"/>
  <c r="AA7" i="37"/>
  <c r="AE7" i="37"/>
  <c r="AI7" i="37"/>
  <c r="E9" i="37"/>
  <c r="B13" i="42" l="1"/>
  <c r="I19" i="48"/>
  <c r="C13" i="42"/>
  <c r="J19" i="48"/>
  <c r="F12" i="33"/>
  <c r="F28" i="44" s="1"/>
  <c r="E8" i="43"/>
  <c r="E29" i="44" s="1"/>
  <c r="H20" i="44"/>
  <c r="G1" i="48"/>
  <c r="G12" i="33"/>
  <c r="G28" i="44" s="1"/>
  <c r="J23" i="34"/>
  <c r="K13" i="34"/>
  <c r="D25" i="30"/>
  <c r="D26" i="30" s="1"/>
  <c r="B26" i="30"/>
  <c r="C26" i="30"/>
  <c r="C27" i="30" s="1"/>
  <c r="C17" i="42" l="1"/>
  <c r="J21" i="48"/>
  <c r="B17" i="42"/>
  <c r="I21" i="48"/>
  <c r="F8" i="43"/>
  <c r="F29" i="44" s="1"/>
  <c r="I20" i="44"/>
  <c r="H1" i="48"/>
  <c r="H12" i="33"/>
  <c r="H28" i="44" s="1"/>
  <c r="K23" i="34"/>
  <c r="L13" i="34"/>
  <c r="D8" i="44" l="1"/>
  <c r="O3" i="48"/>
  <c r="C8" i="44"/>
  <c r="C17" i="44" s="1"/>
  <c r="J3" i="48"/>
  <c r="C6" i="48" s="1"/>
  <c r="G8" i="43"/>
  <c r="G29" i="44" s="1"/>
  <c r="J20" i="44"/>
  <c r="I1" i="48"/>
  <c r="I12" i="33"/>
  <c r="I28" i="44" s="1"/>
  <c r="L23" i="34"/>
  <c r="P54" i="30"/>
  <c r="Q54" i="30"/>
  <c r="R54" i="30"/>
  <c r="S54" i="30"/>
  <c r="T54" i="30"/>
  <c r="U54" i="30"/>
  <c r="V54" i="30"/>
  <c r="W54" i="30"/>
  <c r="X54" i="30"/>
  <c r="Y54" i="30"/>
  <c r="Z54" i="30"/>
  <c r="AA54" i="30"/>
  <c r="AB54" i="30"/>
  <c r="AC54" i="30"/>
  <c r="AD54" i="30"/>
  <c r="AE54" i="30"/>
  <c r="AF54" i="30"/>
  <c r="AG54" i="30"/>
  <c r="AH54" i="30"/>
  <c r="AI54" i="30"/>
  <c r="AJ54" i="30"/>
  <c r="E54" i="30"/>
  <c r="F54" i="30"/>
  <c r="G54" i="30"/>
  <c r="H54" i="30"/>
  <c r="I54" i="30"/>
  <c r="J54" i="30"/>
  <c r="K54" i="30"/>
  <c r="L54" i="30"/>
  <c r="M54" i="30"/>
  <c r="N54" i="30"/>
  <c r="O54" i="30"/>
  <c r="D54" i="30"/>
  <c r="E108" i="26"/>
  <c r="F108" i="26"/>
  <c r="G108" i="26"/>
  <c r="H108" i="26"/>
  <c r="I108" i="26"/>
  <c r="J108" i="26"/>
  <c r="K108" i="26"/>
  <c r="L108" i="26"/>
  <c r="M108" i="26"/>
  <c r="N108" i="26"/>
  <c r="O108" i="26"/>
  <c r="P108" i="26"/>
  <c r="D108" i="26"/>
  <c r="E105" i="26"/>
  <c r="F105" i="26"/>
  <c r="G105" i="26"/>
  <c r="H105" i="26"/>
  <c r="I105" i="26"/>
  <c r="J105" i="26"/>
  <c r="K105" i="26"/>
  <c r="L105" i="26"/>
  <c r="M105" i="26"/>
  <c r="N105" i="26"/>
  <c r="O105" i="26"/>
  <c r="P105" i="26"/>
  <c r="Q105" i="26"/>
  <c r="R105" i="26"/>
  <c r="S105" i="26"/>
  <c r="T105" i="26"/>
  <c r="U105" i="26"/>
  <c r="V105" i="26"/>
  <c r="W105" i="26"/>
  <c r="X105" i="26"/>
  <c r="Y105" i="26"/>
  <c r="Z105" i="26"/>
  <c r="AA105" i="26"/>
  <c r="AB105" i="26"/>
  <c r="AC105" i="26"/>
  <c r="AD105" i="26"/>
  <c r="AE105" i="26"/>
  <c r="AF105" i="26"/>
  <c r="AG105" i="26"/>
  <c r="AH105" i="26"/>
  <c r="AI105" i="26"/>
  <c r="AJ105" i="26"/>
  <c r="E106" i="26"/>
  <c r="F106" i="26"/>
  <c r="G106" i="26"/>
  <c r="H106" i="26"/>
  <c r="I106" i="26"/>
  <c r="J106" i="26"/>
  <c r="K106" i="26"/>
  <c r="L106" i="26"/>
  <c r="M106" i="26"/>
  <c r="N106" i="26"/>
  <c r="O106" i="26"/>
  <c r="P106" i="26"/>
  <c r="Q106" i="26"/>
  <c r="R106" i="26"/>
  <c r="S106" i="26"/>
  <c r="T106" i="26"/>
  <c r="U106" i="26"/>
  <c r="V106" i="26"/>
  <c r="W106" i="26"/>
  <c r="X106" i="26"/>
  <c r="Y106" i="26"/>
  <c r="Z106" i="26"/>
  <c r="AA106" i="26"/>
  <c r="AB106" i="26"/>
  <c r="AC106" i="26"/>
  <c r="AD106" i="26"/>
  <c r="AE106" i="26"/>
  <c r="AF106" i="26"/>
  <c r="AG106" i="26"/>
  <c r="AH106" i="26"/>
  <c r="AI106" i="26"/>
  <c r="AJ106" i="26"/>
  <c r="E107" i="26"/>
  <c r="F107" i="26"/>
  <c r="G107" i="26"/>
  <c r="H107" i="26"/>
  <c r="I107" i="26"/>
  <c r="J107" i="26"/>
  <c r="K107" i="26"/>
  <c r="L107" i="26"/>
  <c r="M107" i="26"/>
  <c r="N107" i="26"/>
  <c r="O107" i="26"/>
  <c r="P107" i="26"/>
  <c r="Q107" i="26"/>
  <c r="R107" i="26"/>
  <c r="S107" i="26"/>
  <c r="T107" i="26"/>
  <c r="U107" i="26"/>
  <c r="V107" i="26"/>
  <c r="W107" i="26"/>
  <c r="X107" i="26"/>
  <c r="Y107" i="26"/>
  <c r="Z107" i="26"/>
  <c r="AA107" i="26"/>
  <c r="AB107" i="26"/>
  <c r="AC107" i="26"/>
  <c r="AD107" i="26"/>
  <c r="AE107" i="26"/>
  <c r="AF107" i="26"/>
  <c r="AG107" i="26"/>
  <c r="AH107" i="26"/>
  <c r="AI107" i="26"/>
  <c r="AJ107" i="26"/>
  <c r="D107" i="26"/>
  <c r="D106" i="26"/>
  <c r="D105" i="26"/>
  <c r="C101" i="26"/>
  <c r="C102" i="26" s="1"/>
  <c r="B5" i="33"/>
  <c r="K6" i="48" l="1"/>
  <c r="L6" i="48" s="1"/>
  <c r="M6" i="48" s="1"/>
  <c r="N6" i="48" s="1"/>
  <c r="O6" i="48" s="1"/>
  <c r="D4" i="48"/>
  <c r="D13" i="44"/>
  <c r="D17" i="44"/>
  <c r="H8" i="43"/>
  <c r="H29" i="44" s="1"/>
  <c r="K20" i="44"/>
  <c r="J1" i="48"/>
  <c r="J12" i="33"/>
  <c r="J28" i="44" s="1"/>
  <c r="C13" i="44"/>
  <c r="A34" i="30"/>
  <c r="C39" i="30" s="1"/>
  <c r="D40" i="30" s="1"/>
  <c r="D41" i="30" s="1"/>
  <c r="D39" i="30" s="1"/>
  <c r="E4" i="48" l="1"/>
  <c r="D27" i="44"/>
  <c r="D31" i="44" s="1"/>
  <c r="E38" i="30" s="1"/>
  <c r="E40" i="30" s="1"/>
  <c r="E41" i="30" s="1"/>
  <c r="I8" i="43"/>
  <c r="I29" i="44" s="1"/>
  <c r="L20" i="44"/>
  <c r="K1" i="48"/>
  <c r="C30" i="30"/>
  <c r="D4" i="32"/>
  <c r="E4" i="32" s="1"/>
  <c r="F4" i="48" l="1"/>
  <c r="E27" i="44"/>
  <c r="E31" i="44" s="1"/>
  <c r="F38" i="30" s="1"/>
  <c r="F40" i="30" s="1"/>
  <c r="F41" i="30" s="1"/>
  <c r="J8" i="43"/>
  <c r="J29" i="44" s="1"/>
  <c r="K29" i="44" s="1"/>
  <c r="L29" i="44" s="1"/>
  <c r="M29" i="44" s="1"/>
  <c r="N29" i="44" s="1"/>
  <c r="O29" i="44" s="1"/>
  <c r="M20" i="44"/>
  <c r="L1" i="48"/>
  <c r="D29" i="30"/>
  <c r="G4" i="48" l="1"/>
  <c r="F27" i="44"/>
  <c r="F31" i="44" s="1"/>
  <c r="G38" i="30" s="1"/>
  <c r="G40" i="30" s="1"/>
  <c r="G41" i="30" s="1"/>
  <c r="N20" i="44"/>
  <c r="M1" i="48"/>
  <c r="D27" i="30"/>
  <c r="D48" i="30"/>
  <c r="E48" i="30" s="1"/>
  <c r="F48" i="30" s="1"/>
  <c r="G48" i="30" s="1"/>
  <c r="H48" i="30" s="1"/>
  <c r="I48" i="30" s="1"/>
  <c r="J48" i="30" s="1"/>
  <c r="K48" i="30" s="1"/>
  <c r="L48" i="30" s="1"/>
  <c r="M48" i="30" s="1"/>
  <c r="N48" i="30" s="1"/>
  <c r="O48" i="30" s="1"/>
  <c r="P48" i="30" s="1"/>
  <c r="Q48" i="30" s="1"/>
  <c r="R48" i="30" s="1"/>
  <c r="S48" i="30" s="1"/>
  <c r="T48" i="30" s="1"/>
  <c r="U48" i="30" s="1"/>
  <c r="V48" i="30" s="1"/>
  <c r="W48" i="30" s="1"/>
  <c r="X48" i="30" s="1"/>
  <c r="Y48" i="30" s="1"/>
  <c r="Z48" i="30" s="1"/>
  <c r="AA48" i="30" s="1"/>
  <c r="AB48" i="30" s="1"/>
  <c r="AC48" i="30" s="1"/>
  <c r="AD48" i="30" s="1"/>
  <c r="AE48" i="30" s="1"/>
  <c r="C48" i="30"/>
  <c r="B48" i="30"/>
  <c r="D49" i="30"/>
  <c r="D30" i="30"/>
  <c r="G27" i="44" l="1"/>
  <c r="G31" i="44" s="1"/>
  <c r="H38" i="30" s="1"/>
  <c r="H40" i="30" s="1"/>
  <c r="H41" i="30" s="1"/>
  <c r="H4" i="48"/>
  <c r="D57" i="30"/>
  <c r="O20" i="44"/>
  <c r="O1" i="48" s="1"/>
  <c r="N1" i="48"/>
  <c r="E49" i="30"/>
  <c r="D50" i="30"/>
  <c r="D58" i="30" s="1"/>
  <c r="D63" i="30" s="1"/>
  <c r="D75" i="30" s="1"/>
  <c r="I4" i="48" l="1"/>
  <c r="H27" i="44"/>
  <c r="H31" i="44" s="1"/>
  <c r="I38" i="30" s="1"/>
  <c r="I40" i="30" s="1"/>
  <c r="I41" i="30" s="1"/>
  <c r="D6" i="2"/>
  <c r="D62" i="30"/>
  <c r="D2" i="2"/>
  <c r="E57" i="30"/>
  <c r="D51" i="30"/>
  <c r="E39" i="30"/>
  <c r="E50" i="30"/>
  <c r="E58" i="30" s="1"/>
  <c r="E63" i="30" s="1"/>
  <c r="F49" i="30"/>
  <c r="I27" i="44" l="1"/>
  <c r="I31" i="44" s="1"/>
  <c r="J38" i="30" s="1"/>
  <c r="J40" i="30" s="1"/>
  <c r="J41" i="30" s="1"/>
  <c r="J4" i="48"/>
  <c r="E6" i="2"/>
  <c r="E62" i="30"/>
  <c r="E2" i="2"/>
  <c r="E75" i="30"/>
  <c r="F57" i="30"/>
  <c r="E51" i="30"/>
  <c r="F39" i="30"/>
  <c r="F50" i="30"/>
  <c r="F58" i="30" s="1"/>
  <c r="F63" i="30" s="1"/>
  <c r="G49" i="30"/>
  <c r="J27" i="44" l="1"/>
  <c r="J31" i="44" s="1"/>
  <c r="K38" i="30" s="1"/>
  <c r="K40" i="30" s="1"/>
  <c r="K41" i="30" s="1"/>
  <c r="K4" i="48"/>
  <c r="F6" i="2"/>
  <c r="F62" i="30"/>
  <c r="F75" i="30"/>
  <c r="F2" i="2"/>
  <c r="G57" i="30"/>
  <c r="F51" i="30"/>
  <c r="H49" i="30"/>
  <c r="G50" i="30"/>
  <c r="G58" i="30" s="1"/>
  <c r="G63" i="30" s="1"/>
  <c r="G39" i="30"/>
  <c r="K27" i="44" l="1"/>
  <c r="K31" i="44" s="1"/>
  <c r="L38" i="30" s="1"/>
  <c r="L40" i="30" s="1"/>
  <c r="L41" i="30" s="1"/>
  <c r="L4" i="48"/>
  <c r="G6" i="2"/>
  <c r="G62" i="30"/>
  <c r="G75" i="30"/>
  <c r="G2" i="2"/>
  <c r="H57" i="30"/>
  <c r="G51" i="30"/>
  <c r="I49" i="30"/>
  <c r="H50" i="30"/>
  <c r="H58" i="30" s="1"/>
  <c r="H63" i="30" s="1"/>
  <c r="H39" i="30"/>
  <c r="M4" i="48" l="1"/>
  <c r="L27" i="44"/>
  <c r="L31" i="44" s="1"/>
  <c r="M38" i="30" s="1"/>
  <c r="M40" i="30" s="1"/>
  <c r="M41" i="30" s="1"/>
  <c r="M42" i="30" s="1"/>
  <c r="H6" i="2"/>
  <c r="H62" i="30"/>
  <c r="H75" i="30"/>
  <c r="H2" i="2"/>
  <c r="H51" i="30"/>
  <c r="I57" i="30"/>
  <c r="I50" i="30"/>
  <c r="I58" i="30" s="1"/>
  <c r="I63" i="30" s="1"/>
  <c r="I39" i="30"/>
  <c r="J49" i="30"/>
  <c r="N4" i="48" l="1"/>
  <c r="M27" i="44"/>
  <c r="M31" i="44" s="1"/>
  <c r="N38" i="30" s="1"/>
  <c r="N40" i="30" s="1"/>
  <c r="N41" i="30" s="1"/>
  <c r="I6" i="2"/>
  <c r="I62" i="30"/>
  <c r="I2" i="2"/>
  <c r="I75" i="30"/>
  <c r="J57" i="30"/>
  <c r="I51" i="30"/>
  <c r="J39" i="30"/>
  <c r="J50" i="30"/>
  <c r="J58" i="30" s="1"/>
  <c r="J63" i="30" s="1"/>
  <c r="K49" i="30"/>
  <c r="K63" i="30" s="1"/>
  <c r="N27" i="44" l="1"/>
  <c r="N31" i="44" s="1"/>
  <c r="O38" i="30" s="1"/>
  <c r="O40" i="30" s="1"/>
  <c r="O41" i="30" s="1"/>
  <c r="O4" i="48"/>
  <c r="O27" i="44" s="1"/>
  <c r="O31" i="44" s="1"/>
  <c r="P38" i="30" s="1"/>
  <c r="P40" i="30" s="1"/>
  <c r="P41" i="30" s="1"/>
  <c r="J6" i="2"/>
  <c r="J62" i="30"/>
  <c r="J2" i="2"/>
  <c r="J75" i="30"/>
  <c r="J51" i="30"/>
  <c r="K57" i="30"/>
  <c r="L49" i="30"/>
  <c r="L63" i="30" s="1"/>
  <c r="K39" i="30"/>
  <c r="K50" i="30"/>
  <c r="K58" i="30" s="1"/>
  <c r="K6" i="2" l="1"/>
  <c r="K62" i="30"/>
  <c r="K75" i="30"/>
  <c r="L75" i="30" s="1"/>
  <c r="M75" i="30" s="1"/>
  <c r="K2" i="2"/>
  <c r="L57" i="30"/>
  <c r="K51" i="30"/>
  <c r="L39" i="30"/>
  <c r="M49" i="30"/>
  <c r="M63" i="30" s="1"/>
  <c r="L50" i="30"/>
  <c r="L58" i="30" s="1"/>
  <c r="L6" i="2" l="1"/>
  <c r="L62" i="30"/>
  <c r="L2" i="2"/>
  <c r="L51" i="30"/>
  <c r="M57" i="30"/>
  <c r="N49" i="30"/>
  <c r="M50" i="30"/>
  <c r="M58" i="30" s="1"/>
  <c r="M39" i="30"/>
  <c r="M6" i="2" l="1"/>
  <c r="M62" i="30"/>
  <c r="M2" i="2"/>
  <c r="N57" i="30"/>
  <c r="M51" i="30"/>
  <c r="N50" i="30"/>
  <c r="N58" i="30" s="1"/>
  <c r="O49" i="30"/>
  <c r="N39" i="30"/>
  <c r="O39" i="30" s="1"/>
  <c r="N63" i="30" l="1"/>
  <c r="N75" i="30"/>
  <c r="N6" i="2"/>
  <c r="N62" i="30"/>
  <c r="N2" i="2"/>
  <c r="O57" i="30"/>
  <c r="O62" i="30" s="1"/>
  <c r="N51" i="30"/>
  <c r="O50" i="30"/>
  <c r="O58" i="30" s="1"/>
  <c r="P49" i="30"/>
  <c r="O63" i="30" l="1"/>
  <c r="O75" i="30"/>
  <c r="O2" i="2"/>
  <c r="O51" i="30"/>
  <c r="O6" i="2"/>
  <c r="P39" i="30"/>
  <c r="P50" i="30"/>
  <c r="P58" i="30" s="1"/>
  <c r="P57" i="30"/>
  <c r="P63" i="30" l="1"/>
  <c r="P75" i="30"/>
  <c r="P6" i="2"/>
  <c r="Q6" i="2" s="1"/>
  <c r="R6" i="2" s="1"/>
  <c r="S6" i="2" s="1"/>
  <c r="T6" i="2" s="1"/>
  <c r="U6" i="2" s="1"/>
  <c r="V6" i="2" s="1"/>
  <c r="W6" i="2" s="1"/>
  <c r="X6" i="2" s="1"/>
  <c r="Y6" i="2" s="1"/>
  <c r="Z6" i="2" s="1"/>
  <c r="AA6" i="2" s="1"/>
  <c r="AB6" i="2" s="1"/>
  <c r="AC6" i="2" s="1"/>
  <c r="AD6" i="2" s="1"/>
  <c r="AE6" i="2" s="1"/>
  <c r="AF6" i="2" s="1"/>
  <c r="AG6" i="2" s="1"/>
  <c r="AH6" i="2" s="1"/>
  <c r="AI6" i="2" s="1"/>
  <c r="AJ6" i="2" s="1"/>
  <c r="P62" i="30"/>
  <c r="Q58" i="30"/>
  <c r="Q63" i="30" s="1"/>
  <c r="P2" i="2"/>
  <c r="P51" i="30"/>
  <c r="Q2" i="2" l="1"/>
  <c r="R58" i="30"/>
  <c r="R63" i="30" s="1"/>
  <c r="R2" i="2" l="1"/>
  <c r="S58" i="30"/>
  <c r="S63" i="30" s="1"/>
  <c r="AE2" i="2"/>
  <c r="AF2" i="2"/>
  <c r="AG2" i="2"/>
  <c r="AH2" i="2"/>
  <c r="AI2" i="2"/>
  <c r="AJ2" i="2"/>
  <c r="T58" i="30" l="1"/>
  <c r="T63" i="30" s="1"/>
  <c r="S2" i="2"/>
  <c r="U58" i="30" l="1"/>
  <c r="U63" i="30" s="1"/>
  <c r="T2" i="2"/>
  <c r="V58" i="30" l="1"/>
  <c r="V63" i="30" s="1"/>
  <c r="U2" i="2"/>
  <c r="W58" i="30" l="1"/>
  <c r="W63" i="30" s="1"/>
  <c r="V2" i="2"/>
  <c r="X58" i="30" l="1"/>
  <c r="X63" i="30" s="1"/>
  <c r="W2" i="2"/>
  <c r="Y58" i="30" l="1"/>
  <c r="Y63" i="30" s="1"/>
  <c r="X2" i="2"/>
  <c r="F8" i="3"/>
  <c r="F9" i="3"/>
  <c r="F10" i="3"/>
  <c r="F11" i="3"/>
  <c r="F12" i="3"/>
  <c r="F13" i="3"/>
  <c r="F14" i="3"/>
  <c r="F15" i="3"/>
  <c r="F16" i="3"/>
  <c r="F17" i="3"/>
  <c r="F18" i="3"/>
  <c r="F19" i="3"/>
  <c r="F22" i="3"/>
  <c r="F25" i="3"/>
  <c r="F26" i="3"/>
  <c r="F27" i="3"/>
  <c r="F28" i="3"/>
  <c r="F29" i="3"/>
  <c r="F30" i="3"/>
  <c r="F31" i="3"/>
  <c r="I8" i="3"/>
  <c r="B2" i="15" s="1"/>
  <c r="J8" i="3"/>
  <c r="C2" i="15" s="1"/>
  <c r="K8" i="3"/>
  <c r="D2" i="15" s="1"/>
  <c r="L8" i="3"/>
  <c r="E2" i="15" s="1"/>
  <c r="M8" i="3"/>
  <c r="F2" i="15" s="1"/>
  <c r="N8" i="3"/>
  <c r="G2" i="15" s="1"/>
  <c r="O8" i="3"/>
  <c r="H2" i="15" s="1"/>
  <c r="P8" i="3"/>
  <c r="I2" i="15" s="1"/>
  <c r="Q8" i="3"/>
  <c r="J2" i="15" s="1"/>
  <c r="R8" i="3"/>
  <c r="K2" i="15" s="1"/>
  <c r="S8" i="3"/>
  <c r="L2" i="15" s="1"/>
  <c r="T8" i="3"/>
  <c r="M2" i="15" s="1"/>
  <c r="U8" i="3"/>
  <c r="N2" i="15" s="1"/>
  <c r="V8" i="3"/>
  <c r="O2" i="15" s="1"/>
  <c r="W8" i="3"/>
  <c r="P2" i="15" s="1"/>
  <c r="X8" i="3"/>
  <c r="Q2" i="15" s="1"/>
  <c r="Y8" i="3"/>
  <c r="R2" i="15" s="1"/>
  <c r="Z8" i="3"/>
  <c r="S2" i="15" s="1"/>
  <c r="AA8" i="3"/>
  <c r="T2" i="15" s="1"/>
  <c r="AB8" i="3"/>
  <c r="U2" i="15" s="1"/>
  <c r="AC8" i="3"/>
  <c r="V2" i="15" s="1"/>
  <c r="AD8" i="3"/>
  <c r="W2" i="15" s="1"/>
  <c r="AE8" i="3"/>
  <c r="X2" i="15" s="1"/>
  <c r="AF8" i="3"/>
  <c r="Y2" i="15" s="1"/>
  <c r="AG8" i="3"/>
  <c r="Z2" i="15" s="1"/>
  <c r="AH8" i="3"/>
  <c r="AA2" i="15" s="1"/>
  <c r="AI8" i="3"/>
  <c r="AB2" i="15" s="1"/>
  <c r="AJ8" i="3"/>
  <c r="AC2" i="15" s="1"/>
  <c r="AK8" i="3"/>
  <c r="AD2" i="15" s="1"/>
  <c r="AL8" i="3"/>
  <c r="AE2" i="15" s="1"/>
  <c r="AM8" i="3"/>
  <c r="AF2" i="15" s="1"/>
  <c r="AN8" i="3"/>
  <c r="AG2" i="15" s="1"/>
  <c r="AO8" i="3"/>
  <c r="AH2" i="15" s="1"/>
  <c r="AP8" i="3"/>
  <c r="AI2" i="15" s="1"/>
  <c r="AQ8" i="3"/>
  <c r="AJ2" i="15" s="1"/>
  <c r="I9" i="3"/>
  <c r="B3" i="15" s="1"/>
  <c r="J9" i="3"/>
  <c r="C3" i="15" s="1"/>
  <c r="K9" i="3"/>
  <c r="D3" i="15" s="1"/>
  <c r="L9" i="3"/>
  <c r="E3" i="15" s="1"/>
  <c r="M9" i="3"/>
  <c r="F3" i="15" s="1"/>
  <c r="N9" i="3"/>
  <c r="G3" i="15" s="1"/>
  <c r="O9" i="3"/>
  <c r="H3" i="15" s="1"/>
  <c r="P9" i="3"/>
  <c r="I3" i="15" s="1"/>
  <c r="Q9" i="3"/>
  <c r="J3" i="15" s="1"/>
  <c r="R9" i="3"/>
  <c r="K3" i="15" s="1"/>
  <c r="S9" i="3"/>
  <c r="L3" i="15" s="1"/>
  <c r="T9" i="3"/>
  <c r="M3" i="15" s="1"/>
  <c r="U9" i="3"/>
  <c r="N3" i="15" s="1"/>
  <c r="V9" i="3"/>
  <c r="O3" i="15" s="1"/>
  <c r="W9" i="3"/>
  <c r="P3" i="15" s="1"/>
  <c r="X9" i="3"/>
  <c r="Q3" i="15" s="1"/>
  <c r="Y9" i="3"/>
  <c r="R3" i="15" s="1"/>
  <c r="Z9" i="3"/>
  <c r="S3" i="15" s="1"/>
  <c r="AA9" i="3"/>
  <c r="T3" i="15" s="1"/>
  <c r="AB9" i="3"/>
  <c r="U3" i="15" s="1"/>
  <c r="AC9" i="3"/>
  <c r="V3" i="15" s="1"/>
  <c r="AD9" i="3"/>
  <c r="W3" i="15" s="1"/>
  <c r="AE9" i="3"/>
  <c r="X3" i="15" s="1"/>
  <c r="AF9" i="3"/>
  <c r="Y3" i="15" s="1"/>
  <c r="AG9" i="3"/>
  <c r="Z3" i="15" s="1"/>
  <c r="AH9" i="3"/>
  <c r="AA3" i="15" s="1"/>
  <c r="AI9" i="3"/>
  <c r="AB3" i="15" s="1"/>
  <c r="AJ9" i="3"/>
  <c r="AC3" i="15" s="1"/>
  <c r="AK9" i="3"/>
  <c r="AD3" i="15" s="1"/>
  <c r="AL9" i="3"/>
  <c r="AE3" i="15" s="1"/>
  <c r="AM9" i="3"/>
  <c r="AF3" i="15" s="1"/>
  <c r="AN9" i="3"/>
  <c r="AG3" i="15" s="1"/>
  <c r="AO9" i="3"/>
  <c r="AH3" i="15" s="1"/>
  <c r="AP9" i="3"/>
  <c r="AI3" i="15" s="1"/>
  <c r="AQ9" i="3"/>
  <c r="AJ3" i="15" s="1"/>
  <c r="I10" i="3"/>
  <c r="B4" i="15"/>
  <c r="J10" i="3"/>
  <c r="C4" i="15" s="1"/>
  <c r="K10" i="3"/>
  <c r="D4" i="15" s="1"/>
  <c r="L10" i="3"/>
  <c r="E4" i="15" s="1"/>
  <c r="M10" i="3"/>
  <c r="F4" i="15" s="1"/>
  <c r="N10" i="3"/>
  <c r="G4" i="15" s="1"/>
  <c r="O10" i="3"/>
  <c r="H4" i="15" s="1"/>
  <c r="P10" i="3"/>
  <c r="I4" i="15" s="1"/>
  <c r="Q10" i="3"/>
  <c r="J4" i="15" s="1"/>
  <c r="R10" i="3"/>
  <c r="K4" i="15" s="1"/>
  <c r="S10" i="3"/>
  <c r="L4" i="15" s="1"/>
  <c r="T10" i="3"/>
  <c r="M4" i="15" s="1"/>
  <c r="U10" i="3"/>
  <c r="N4" i="15" s="1"/>
  <c r="V10" i="3"/>
  <c r="O4" i="15" s="1"/>
  <c r="W10" i="3"/>
  <c r="P4" i="15" s="1"/>
  <c r="X10" i="3"/>
  <c r="Q4" i="15" s="1"/>
  <c r="Y10" i="3"/>
  <c r="R4" i="15" s="1"/>
  <c r="Z10" i="3"/>
  <c r="S4" i="15" s="1"/>
  <c r="AA10" i="3"/>
  <c r="T4" i="15" s="1"/>
  <c r="AB10" i="3"/>
  <c r="U4" i="15" s="1"/>
  <c r="AC10" i="3"/>
  <c r="V4" i="15" s="1"/>
  <c r="AD10" i="3"/>
  <c r="W4" i="15" s="1"/>
  <c r="AE10" i="3"/>
  <c r="X4" i="15" s="1"/>
  <c r="AF10" i="3"/>
  <c r="Y4" i="15" s="1"/>
  <c r="AG10" i="3"/>
  <c r="Z4" i="15" s="1"/>
  <c r="AH10" i="3"/>
  <c r="AA4" i="15" s="1"/>
  <c r="AI10" i="3"/>
  <c r="AB4" i="15" s="1"/>
  <c r="AJ10" i="3"/>
  <c r="AC4" i="15" s="1"/>
  <c r="AK10" i="3"/>
  <c r="AD4" i="15" s="1"/>
  <c r="AL10" i="3"/>
  <c r="AE4" i="15" s="1"/>
  <c r="AM10" i="3"/>
  <c r="AF4" i="15" s="1"/>
  <c r="AN10" i="3"/>
  <c r="AG4" i="15" s="1"/>
  <c r="AO10" i="3"/>
  <c r="AH4" i="15" s="1"/>
  <c r="AP10" i="3"/>
  <c r="AI4" i="15" s="1"/>
  <c r="AQ10" i="3"/>
  <c r="AJ4" i="15" s="1"/>
  <c r="I11" i="3"/>
  <c r="B5" i="15" s="1"/>
  <c r="J11" i="3"/>
  <c r="C5" i="15" s="1"/>
  <c r="K11" i="3"/>
  <c r="D5" i="15" s="1"/>
  <c r="L11" i="3"/>
  <c r="E5" i="15" s="1"/>
  <c r="M11" i="3"/>
  <c r="F5" i="15" s="1"/>
  <c r="N11" i="3"/>
  <c r="G5" i="15" s="1"/>
  <c r="O11" i="3"/>
  <c r="H5" i="15" s="1"/>
  <c r="P11" i="3"/>
  <c r="I5" i="15" s="1"/>
  <c r="Q11" i="3"/>
  <c r="J5" i="15" s="1"/>
  <c r="R11" i="3"/>
  <c r="K5" i="15" s="1"/>
  <c r="S11" i="3"/>
  <c r="L5" i="15" s="1"/>
  <c r="T11" i="3"/>
  <c r="M5" i="15" s="1"/>
  <c r="U11" i="3"/>
  <c r="N5" i="15" s="1"/>
  <c r="V11" i="3"/>
  <c r="O5" i="15" s="1"/>
  <c r="W11" i="3"/>
  <c r="P5" i="15" s="1"/>
  <c r="X11" i="3"/>
  <c r="Q5" i="15" s="1"/>
  <c r="Y11" i="3"/>
  <c r="R5" i="15" s="1"/>
  <c r="Z11" i="3"/>
  <c r="S5" i="15" s="1"/>
  <c r="AA11" i="3"/>
  <c r="T5" i="15" s="1"/>
  <c r="AB11" i="3"/>
  <c r="U5" i="15" s="1"/>
  <c r="AC11" i="3"/>
  <c r="V5" i="15" s="1"/>
  <c r="AD11" i="3"/>
  <c r="W5" i="15" s="1"/>
  <c r="AE11" i="3"/>
  <c r="X5" i="15" s="1"/>
  <c r="AF11" i="3"/>
  <c r="Y5" i="15" s="1"/>
  <c r="AG11" i="3"/>
  <c r="Z5" i="15" s="1"/>
  <c r="AH11" i="3"/>
  <c r="AA5" i="15" s="1"/>
  <c r="AI11" i="3"/>
  <c r="AB5" i="15" s="1"/>
  <c r="AJ11" i="3"/>
  <c r="AC5" i="15" s="1"/>
  <c r="AK11" i="3"/>
  <c r="AD5" i="15" s="1"/>
  <c r="AL11" i="3"/>
  <c r="AE5" i="15" s="1"/>
  <c r="AM11" i="3"/>
  <c r="AF5" i="15" s="1"/>
  <c r="AN11" i="3"/>
  <c r="AG5" i="15" s="1"/>
  <c r="AO11" i="3"/>
  <c r="AH5" i="15" s="1"/>
  <c r="AP11" i="3"/>
  <c r="AI5" i="15" s="1"/>
  <c r="AQ11" i="3"/>
  <c r="AJ5" i="15" s="1"/>
  <c r="I12" i="3"/>
  <c r="B6" i="15" s="1"/>
  <c r="J12" i="3"/>
  <c r="C6" i="15" s="1"/>
  <c r="K12" i="3"/>
  <c r="D6" i="15" s="1"/>
  <c r="L12" i="3"/>
  <c r="E6" i="15" s="1"/>
  <c r="M12" i="3"/>
  <c r="F6" i="15" s="1"/>
  <c r="N12" i="3"/>
  <c r="G6" i="15" s="1"/>
  <c r="O12" i="3"/>
  <c r="H6" i="15" s="1"/>
  <c r="P12" i="3"/>
  <c r="I6" i="15" s="1"/>
  <c r="Q12" i="3"/>
  <c r="J6" i="15" s="1"/>
  <c r="R12" i="3"/>
  <c r="K6" i="15" s="1"/>
  <c r="S12" i="3"/>
  <c r="L6" i="15" s="1"/>
  <c r="T12" i="3"/>
  <c r="M6" i="15" s="1"/>
  <c r="U12" i="3"/>
  <c r="N6" i="15" s="1"/>
  <c r="V12" i="3"/>
  <c r="O6" i="15" s="1"/>
  <c r="W12" i="3"/>
  <c r="P6" i="15" s="1"/>
  <c r="X12" i="3"/>
  <c r="Q6" i="15" s="1"/>
  <c r="Y12" i="3"/>
  <c r="R6" i="15" s="1"/>
  <c r="Z12" i="3"/>
  <c r="S6" i="15" s="1"/>
  <c r="AA12" i="3"/>
  <c r="T6" i="15" s="1"/>
  <c r="AB12" i="3"/>
  <c r="U6" i="15" s="1"/>
  <c r="AC12" i="3"/>
  <c r="V6" i="15" s="1"/>
  <c r="AD12" i="3"/>
  <c r="W6" i="15" s="1"/>
  <c r="AE12" i="3"/>
  <c r="X6" i="15" s="1"/>
  <c r="AF12" i="3"/>
  <c r="Y6" i="15" s="1"/>
  <c r="AG12" i="3"/>
  <c r="Z6" i="15" s="1"/>
  <c r="AH12" i="3"/>
  <c r="AA6" i="15" s="1"/>
  <c r="AI12" i="3"/>
  <c r="AB6" i="15" s="1"/>
  <c r="AJ12" i="3"/>
  <c r="AC6" i="15" s="1"/>
  <c r="AK12" i="3"/>
  <c r="AD6" i="15" s="1"/>
  <c r="AL12" i="3"/>
  <c r="AE6" i="15" s="1"/>
  <c r="AM12" i="3"/>
  <c r="AF6" i="15" s="1"/>
  <c r="AN12" i="3"/>
  <c r="AG6" i="15" s="1"/>
  <c r="AO12" i="3"/>
  <c r="AH6" i="15" s="1"/>
  <c r="AP12" i="3"/>
  <c r="AI6" i="15" s="1"/>
  <c r="AQ12" i="3"/>
  <c r="AJ6" i="15" s="1"/>
  <c r="I13" i="3"/>
  <c r="B7" i="15" s="1"/>
  <c r="J13" i="3"/>
  <c r="C7" i="15" s="1"/>
  <c r="K13" i="3"/>
  <c r="D7" i="15" s="1"/>
  <c r="L13" i="3"/>
  <c r="E7" i="15" s="1"/>
  <c r="M13" i="3"/>
  <c r="F7" i="15" s="1"/>
  <c r="N13" i="3"/>
  <c r="G7" i="15" s="1"/>
  <c r="O13" i="3"/>
  <c r="H7" i="15" s="1"/>
  <c r="P13" i="3"/>
  <c r="I7" i="15" s="1"/>
  <c r="Q13" i="3"/>
  <c r="J7" i="15" s="1"/>
  <c r="R13" i="3"/>
  <c r="K7" i="15" s="1"/>
  <c r="S13" i="3"/>
  <c r="L7" i="15" s="1"/>
  <c r="T13" i="3"/>
  <c r="M7" i="15" s="1"/>
  <c r="U13" i="3"/>
  <c r="N7" i="15" s="1"/>
  <c r="V13" i="3"/>
  <c r="O7" i="15" s="1"/>
  <c r="W13" i="3"/>
  <c r="P7" i="15" s="1"/>
  <c r="X13" i="3"/>
  <c r="Q7" i="15" s="1"/>
  <c r="Y13" i="3"/>
  <c r="R7" i="15" s="1"/>
  <c r="Z13" i="3"/>
  <c r="S7" i="15" s="1"/>
  <c r="AA13" i="3"/>
  <c r="T7" i="15" s="1"/>
  <c r="AB13" i="3"/>
  <c r="U7" i="15" s="1"/>
  <c r="AC13" i="3"/>
  <c r="V7" i="15" s="1"/>
  <c r="AD13" i="3"/>
  <c r="W7" i="15" s="1"/>
  <c r="AE13" i="3"/>
  <c r="X7" i="15" s="1"/>
  <c r="AF13" i="3"/>
  <c r="Y7" i="15" s="1"/>
  <c r="AG13" i="3"/>
  <c r="Z7" i="15" s="1"/>
  <c r="AH13" i="3"/>
  <c r="AA7" i="15" s="1"/>
  <c r="AI13" i="3"/>
  <c r="AB7" i="15" s="1"/>
  <c r="AJ13" i="3"/>
  <c r="AC7" i="15" s="1"/>
  <c r="AK13" i="3"/>
  <c r="AD7" i="15" s="1"/>
  <c r="AL13" i="3"/>
  <c r="AE7" i="15" s="1"/>
  <c r="AM13" i="3"/>
  <c r="AF7" i="15" s="1"/>
  <c r="AN13" i="3"/>
  <c r="AG7" i="15" s="1"/>
  <c r="AO13" i="3"/>
  <c r="AH7" i="15" s="1"/>
  <c r="AP13" i="3"/>
  <c r="AI7" i="15" s="1"/>
  <c r="AQ13" i="3"/>
  <c r="AJ7" i="15" s="1"/>
  <c r="I14" i="3"/>
  <c r="B2" i="16" s="1"/>
  <c r="J14" i="3"/>
  <c r="C2" i="16" s="1"/>
  <c r="K14" i="3"/>
  <c r="D2" i="16" s="1"/>
  <c r="L14" i="3"/>
  <c r="E2" i="16" s="1"/>
  <c r="M14" i="3"/>
  <c r="F2" i="16" s="1"/>
  <c r="N14" i="3"/>
  <c r="G2" i="16" s="1"/>
  <c r="O14" i="3"/>
  <c r="H2" i="16" s="1"/>
  <c r="P14" i="3"/>
  <c r="I2" i="16" s="1"/>
  <c r="Q14" i="3"/>
  <c r="J2" i="16" s="1"/>
  <c r="R14" i="3"/>
  <c r="K2" i="16" s="1"/>
  <c r="S14" i="3"/>
  <c r="L2" i="16" s="1"/>
  <c r="T14" i="3"/>
  <c r="M2" i="16" s="1"/>
  <c r="U14" i="3"/>
  <c r="N2" i="16" s="1"/>
  <c r="V14" i="3"/>
  <c r="O2" i="16" s="1"/>
  <c r="W14" i="3"/>
  <c r="P2" i="16" s="1"/>
  <c r="X14" i="3"/>
  <c r="Q2" i="16" s="1"/>
  <c r="Y14" i="3"/>
  <c r="R2" i="16" s="1"/>
  <c r="Z14" i="3"/>
  <c r="S2" i="16" s="1"/>
  <c r="AA14" i="3"/>
  <c r="T2" i="16" s="1"/>
  <c r="AB14" i="3"/>
  <c r="U2" i="16" s="1"/>
  <c r="AC14" i="3"/>
  <c r="V2" i="16" s="1"/>
  <c r="AD14" i="3"/>
  <c r="W2" i="16" s="1"/>
  <c r="AE14" i="3"/>
  <c r="X2" i="16" s="1"/>
  <c r="AF14" i="3"/>
  <c r="Y2" i="16" s="1"/>
  <c r="AG14" i="3"/>
  <c r="Z2" i="16" s="1"/>
  <c r="AH14" i="3"/>
  <c r="AA2" i="16" s="1"/>
  <c r="AI14" i="3"/>
  <c r="AB2" i="16" s="1"/>
  <c r="AJ14" i="3"/>
  <c r="AC2" i="16" s="1"/>
  <c r="AK14" i="3"/>
  <c r="AD2" i="16" s="1"/>
  <c r="AL14" i="3"/>
  <c r="AE2" i="16" s="1"/>
  <c r="AM14" i="3"/>
  <c r="AF2" i="16" s="1"/>
  <c r="AN14" i="3"/>
  <c r="AG2" i="16" s="1"/>
  <c r="AO14" i="3"/>
  <c r="AH2" i="16" s="1"/>
  <c r="AP14" i="3"/>
  <c r="AI2" i="16" s="1"/>
  <c r="AQ14" i="3"/>
  <c r="AJ2" i="16" s="1"/>
  <c r="I15" i="3"/>
  <c r="B3" i="16" s="1"/>
  <c r="J15" i="3"/>
  <c r="C3" i="16" s="1"/>
  <c r="K15" i="3"/>
  <c r="D3" i="16" s="1"/>
  <c r="L15" i="3"/>
  <c r="E3" i="16" s="1"/>
  <c r="M15" i="3"/>
  <c r="F3" i="16" s="1"/>
  <c r="N15" i="3"/>
  <c r="G3" i="16" s="1"/>
  <c r="O15" i="3"/>
  <c r="H3" i="16" s="1"/>
  <c r="P15" i="3"/>
  <c r="I3" i="16" s="1"/>
  <c r="Q15" i="3"/>
  <c r="J3" i="16" s="1"/>
  <c r="R15" i="3"/>
  <c r="K3" i="16" s="1"/>
  <c r="S15" i="3"/>
  <c r="L3" i="16" s="1"/>
  <c r="T15" i="3"/>
  <c r="M3" i="16" s="1"/>
  <c r="U15" i="3"/>
  <c r="N3" i="16" s="1"/>
  <c r="V15" i="3"/>
  <c r="O3" i="16" s="1"/>
  <c r="W15" i="3"/>
  <c r="P3" i="16" s="1"/>
  <c r="X15" i="3"/>
  <c r="Q3" i="16" s="1"/>
  <c r="Y15" i="3"/>
  <c r="R3" i="16" s="1"/>
  <c r="Z15" i="3"/>
  <c r="S3" i="16" s="1"/>
  <c r="AA15" i="3"/>
  <c r="T3" i="16" s="1"/>
  <c r="AB15" i="3"/>
  <c r="U3" i="16" s="1"/>
  <c r="AC15" i="3"/>
  <c r="V3" i="16" s="1"/>
  <c r="AD15" i="3"/>
  <c r="W3" i="16" s="1"/>
  <c r="AE15" i="3"/>
  <c r="X3" i="16" s="1"/>
  <c r="AF15" i="3"/>
  <c r="Y3" i="16" s="1"/>
  <c r="AG15" i="3"/>
  <c r="Z3" i="16" s="1"/>
  <c r="AH15" i="3"/>
  <c r="AA3" i="16" s="1"/>
  <c r="AI15" i="3"/>
  <c r="AB3" i="16" s="1"/>
  <c r="AJ15" i="3"/>
  <c r="AC3" i="16" s="1"/>
  <c r="AK15" i="3"/>
  <c r="AD3" i="16" s="1"/>
  <c r="AL15" i="3"/>
  <c r="AE3" i="16" s="1"/>
  <c r="AM15" i="3"/>
  <c r="AF3" i="16" s="1"/>
  <c r="AN15" i="3"/>
  <c r="AG3" i="16" s="1"/>
  <c r="AO15" i="3"/>
  <c r="AH3" i="16" s="1"/>
  <c r="AP15" i="3"/>
  <c r="AI3" i="16" s="1"/>
  <c r="AQ15" i="3"/>
  <c r="AJ3" i="16" s="1"/>
  <c r="I16" i="3"/>
  <c r="B4" i="16" s="1"/>
  <c r="J16" i="3"/>
  <c r="C4" i="16" s="1"/>
  <c r="K16" i="3"/>
  <c r="D4" i="16" s="1"/>
  <c r="L16" i="3"/>
  <c r="E4" i="16" s="1"/>
  <c r="M16" i="3"/>
  <c r="F4" i="16" s="1"/>
  <c r="N16" i="3"/>
  <c r="G4" i="16" s="1"/>
  <c r="O16" i="3"/>
  <c r="H4" i="16" s="1"/>
  <c r="P16" i="3"/>
  <c r="I4" i="16" s="1"/>
  <c r="Q16" i="3"/>
  <c r="J4" i="16" s="1"/>
  <c r="R16" i="3"/>
  <c r="K4" i="16" s="1"/>
  <c r="S16" i="3"/>
  <c r="L4" i="16" s="1"/>
  <c r="T16" i="3"/>
  <c r="M4" i="16" s="1"/>
  <c r="U16" i="3"/>
  <c r="N4" i="16" s="1"/>
  <c r="V16" i="3"/>
  <c r="O4" i="16" s="1"/>
  <c r="W16" i="3"/>
  <c r="P4" i="16" s="1"/>
  <c r="X16" i="3"/>
  <c r="Q4" i="16" s="1"/>
  <c r="Y16" i="3"/>
  <c r="R4" i="16" s="1"/>
  <c r="Z16" i="3"/>
  <c r="S4" i="16" s="1"/>
  <c r="AA16" i="3"/>
  <c r="T4" i="16" s="1"/>
  <c r="AB16" i="3"/>
  <c r="U4" i="16" s="1"/>
  <c r="AC16" i="3"/>
  <c r="V4" i="16" s="1"/>
  <c r="AD16" i="3"/>
  <c r="W4" i="16" s="1"/>
  <c r="AE16" i="3"/>
  <c r="X4" i="16" s="1"/>
  <c r="AF16" i="3"/>
  <c r="Y4" i="16" s="1"/>
  <c r="AG16" i="3"/>
  <c r="Z4" i="16" s="1"/>
  <c r="AH16" i="3"/>
  <c r="AA4" i="16" s="1"/>
  <c r="AI16" i="3"/>
  <c r="AB4" i="16" s="1"/>
  <c r="AJ16" i="3"/>
  <c r="AC4" i="16" s="1"/>
  <c r="AK16" i="3"/>
  <c r="AD4" i="16" s="1"/>
  <c r="AL16" i="3"/>
  <c r="AE4" i="16" s="1"/>
  <c r="AM16" i="3"/>
  <c r="AF4" i="16" s="1"/>
  <c r="AN16" i="3"/>
  <c r="AG4" i="16" s="1"/>
  <c r="AO16" i="3"/>
  <c r="AH4" i="16" s="1"/>
  <c r="AP16" i="3"/>
  <c r="AI4" i="16" s="1"/>
  <c r="AQ16" i="3"/>
  <c r="AJ4" i="16" s="1"/>
  <c r="I17" i="3"/>
  <c r="B5" i="16" s="1"/>
  <c r="J17" i="3"/>
  <c r="C5" i="16" s="1"/>
  <c r="K17" i="3"/>
  <c r="D5" i="16" s="1"/>
  <c r="L17" i="3"/>
  <c r="E5" i="16" s="1"/>
  <c r="M17" i="3"/>
  <c r="F5" i="16" s="1"/>
  <c r="N17" i="3"/>
  <c r="G5" i="16" s="1"/>
  <c r="O17" i="3"/>
  <c r="H5" i="16" s="1"/>
  <c r="P17" i="3"/>
  <c r="I5" i="16" s="1"/>
  <c r="Q17" i="3"/>
  <c r="J5" i="16" s="1"/>
  <c r="R17" i="3"/>
  <c r="K5" i="16" s="1"/>
  <c r="S17" i="3"/>
  <c r="L5" i="16" s="1"/>
  <c r="T17" i="3"/>
  <c r="M5" i="16" s="1"/>
  <c r="U17" i="3"/>
  <c r="N5" i="16" s="1"/>
  <c r="V17" i="3"/>
  <c r="O5" i="16" s="1"/>
  <c r="W17" i="3"/>
  <c r="P5" i="16" s="1"/>
  <c r="X17" i="3"/>
  <c r="Q5" i="16" s="1"/>
  <c r="Y17" i="3"/>
  <c r="R5" i="16" s="1"/>
  <c r="Z17" i="3"/>
  <c r="S5" i="16" s="1"/>
  <c r="AA17" i="3"/>
  <c r="T5" i="16" s="1"/>
  <c r="AB17" i="3"/>
  <c r="U5" i="16" s="1"/>
  <c r="AC17" i="3"/>
  <c r="V5" i="16" s="1"/>
  <c r="AD17" i="3"/>
  <c r="W5" i="16" s="1"/>
  <c r="AE17" i="3"/>
  <c r="X5" i="16" s="1"/>
  <c r="AF17" i="3"/>
  <c r="Y5" i="16" s="1"/>
  <c r="AG17" i="3"/>
  <c r="Z5" i="16" s="1"/>
  <c r="AH17" i="3"/>
  <c r="AA5" i="16" s="1"/>
  <c r="AI17" i="3"/>
  <c r="AB5" i="16" s="1"/>
  <c r="AJ17" i="3"/>
  <c r="AC5" i="16" s="1"/>
  <c r="AK17" i="3"/>
  <c r="AD5" i="16" s="1"/>
  <c r="AL17" i="3"/>
  <c r="AE5" i="16" s="1"/>
  <c r="AM17" i="3"/>
  <c r="AF5" i="16" s="1"/>
  <c r="AN17" i="3"/>
  <c r="AG5" i="16" s="1"/>
  <c r="AO17" i="3"/>
  <c r="AH5" i="16" s="1"/>
  <c r="AP17" i="3"/>
  <c r="AI5" i="16" s="1"/>
  <c r="AQ17" i="3"/>
  <c r="AJ5" i="16" s="1"/>
  <c r="I18" i="3"/>
  <c r="B6" i="16" s="1"/>
  <c r="J18" i="3"/>
  <c r="C6" i="16" s="1"/>
  <c r="K18" i="3"/>
  <c r="D6" i="16" s="1"/>
  <c r="L18" i="3"/>
  <c r="E6" i="16" s="1"/>
  <c r="M18" i="3"/>
  <c r="F6" i="16" s="1"/>
  <c r="N18" i="3"/>
  <c r="G6" i="16" s="1"/>
  <c r="O18" i="3"/>
  <c r="H6" i="16" s="1"/>
  <c r="P18" i="3"/>
  <c r="I6" i="16" s="1"/>
  <c r="Q18" i="3"/>
  <c r="J6" i="16" s="1"/>
  <c r="R18" i="3"/>
  <c r="K6" i="16" s="1"/>
  <c r="S18" i="3"/>
  <c r="L6" i="16" s="1"/>
  <c r="T18" i="3"/>
  <c r="M6" i="16" s="1"/>
  <c r="U18" i="3"/>
  <c r="N6" i="16" s="1"/>
  <c r="V18" i="3"/>
  <c r="O6" i="16" s="1"/>
  <c r="W18" i="3"/>
  <c r="P6" i="16" s="1"/>
  <c r="X18" i="3"/>
  <c r="Q6" i="16" s="1"/>
  <c r="Y18" i="3"/>
  <c r="R6" i="16" s="1"/>
  <c r="Z18" i="3"/>
  <c r="S6" i="16" s="1"/>
  <c r="AA18" i="3"/>
  <c r="T6" i="16" s="1"/>
  <c r="AB18" i="3"/>
  <c r="U6" i="16" s="1"/>
  <c r="AC18" i="3"/>
  <c r="V6" i="16" s="1"/>
  <c r="AD18" i="3"/>
  <c r="W6" i="16" s="1"/>
  <c r="AE18" i="3"/>
  <c r="X6" i="16" s="1"/>
  <c r="AF18" i="3"/>
  <c r="Y6" i="16" s="1"/>
  <c r="AG18" i="3"/>
  <c r="Z6" i="16" s="1"/>
  <c r="AH18" i="3"/>
  <c r="AA6" i="16" s="1"/>
  <c r="AI18" i="3"/>
  <c r="AB6" i="16" s="1"/>
  <c r="AJ18" i="3"/>
  <c r="AC6" i="16" s="1"/>
  <c r="AK18" i="3"/>
  <c r="AD6" i="16" s="1"/>
  <c r="AL18" i="3"/>
  <c r="AE6" i="16" s="1"/>
  <c r="AM18" i="3"/>
  <c r="AF6" i="16" s="1"/>
  <c r="AN18" i="3"/>
  <c r="AG6" i="16" s="1"/>
  <c r="AO18" i="3"/>
  <c r="AH6" i="16" s="1"/>
  <c r="AP18" i="3"/>
  <c r="AI6" i="16" s="1"/>
  <c r="AQ18" i="3"/>
  <c r="AJ6" i="16" s="1"/>
  <c r="I19" i="3"/>
  <c r="B7" i="16" s="1"/>
  <c r="J19" i="3"/>
  <c r="C7" i="16" s="1"/>
  <c r="K19" i="3"/>
  <c r="D7" i="16" s="1"/>
  <c r="L19" i="3"/>
  <c r="E7" i="16" s="1"/>
  <c r="M19" i="3"/>
  <c r="F7" i="16" s="1"/>
  <c r="N19" i="3"/>
  <c r="G7" i="16" s="1"/>
  <c r="O19" i="3"/>
  <c r="H7" i="16" s="1"/>
  <c r="P19" i="3"/>
  <c r="I7" i="16" s="1"/>
  <c r="Q19" i="3"/>
  <c r="J7" i="16" s="1"/>
  <c r="R19" i="3"/>
  <c r="K7" i="16" s="1"/>
  <c r="S19" i="3"/>
  <c r="L7" i="16" s="1"/>
  <c r="T19" i="3"/>
  <c r="M7" i="16" s="1"/>
  <c r="U19" i="3"/>
  <c r="N7" i="16" s="1"/>
  <c r="V19" i="3"/>
  <c r="O7" i="16" s="1"/>
  <c r="W19" i="3"/>
  <c r="P7" i="16" s="1"/>
  <c r="X19" i="3"/>
  <c r="Q7" i="16" s="1"/>
  <c r="Y19" i="3"/>
  <c r="R7" i="16" s="1"/>
  <c r="Z19" i="3"/>
  <c r="S7" i="16" s="1"/>
  <c r="AA19" i="3"/>
  <c r="T7" i="16" s="1"/>
  <c r="AB19" i="3"/>
  <c r="U7" i="16" s="1"/>
  <c r="AC19" i="3"/>
  <c r="V7" i="16" s="1"/>
  <c r="AD19" i="3"/>
  <c r="W7" i="16" s="1"/>
  <c r="AE19" i="3"/>
  <c r="X7" i="16" s="1"/>
  <c r="AF19" i="3"/>
  <c r="Y7" i="16" s="1"/>
  <c r="AG19" i="3"/>
  <c r="Z7" i="16" s="1"/>
  <c r="AH19" i="3"/>
  <c r="AA7" i="16" s="1"/>
  <c r="AI19" i="3"/>
  <c r="AB7" i="16" s="1"/>
  <c r="AJ19" i="3"/>
  <c r="AC7" i="16" s="1"/>
  <c r="AK19" i="3"/>
  <c r="AD7" i="16" s="1"/>
  <c r="AL19" i="3"/>
  <c r="AE7" i="16" s="1"/>
  <c r="AM19" i="3"/>
  <c r="AF7" i="16" s="1"/>
  <c r="AN19" i="3"/>
  <c r="AG7" i="16" s="1"/>
  <c r="AO19" i="3"/>
  <c r="AH7" i="16" s="1"/>
  <c r="AP19" i="3"/>
  <c r="AI7" i="16" s="1"/>
  <c r="AQ19" i="3"/>
  <c r="AJ7" i="16" s="1"/>
  <c r="I22" i="3"/>
  <c r="B4" i="17" s="1"/>
  <c r="J22" i="3"/>
  <c r="C4" i="17" s="1"/>
  <c r="K22" i="3"/>
  <c r="D4" i="17" s="1"/>
  <c r="L22" i="3"/>
  <c r="E4" i="17" s="1"/>
  <c r="M22" i="3"/>
  <c r="F4" i="17" s="1"/>
  <c r="N22" i="3"/>
  <c r="G4" i="17" s="1"/>
  <c r="O22" i="3"/>
  <c r="H4" i="17" s="1"/>
  <c r="P22" i="3"/>
  <c r="I4" i="17" s="1"/>
  <c r="Q22" i="3"/>
  <c r="J4" i="17" s="1"/>
  <c r="R22" i="3"/>
  <c r="K4" i="17" s="1"/>
  <c r="S22" i="3"/>
  <c r="L4" i="17" s="1"/>
  <c r="T22" i="3"/>
  <c r="M4" i="17" s="1"/>
  <c r="U22" i="3"/>
  <c r="N4" i="17" s="1"/>
  <c r="V22" i="3"/>
  <c r="O4" i="17" s="1"/>
  <c r="W22" i="3"/>
  <c r="P4" i="17" s="1"/>
  <c r="X22" i="3"/>
  <c r="Q4" i="17" s="1"/>
  <c r="Y22" i="3"/>
  <c r="R4" i="17" s="1"/>
  <c r="Z22" i="3"/>
  <c r="S4" i="17" s="1"/>
  <c r="AA22" i="3"/>
  <c r="T4" i="17" s="1"/>
  <c r="AB22" i="3"/>
  <c r="U4" i="17" s="1"/>
  <c r="AC22" i="3"/>
  <c r="V4" i="17" s="1"/>
  <c r="AD22" i="3"/>
  <c r="W4" i="17" s="1"/>
  <c r="AE22" i="3"/>
  <c r="X4" i="17" s="1"/>
  <c r="AF22" i="3"/>
  <c r="Y4" i="17" s="1"/>
  <c r="AG22" i="3"/>
  <c r="Z4" i="17" s="1"/>
  <c r="AH22" i="3"/>
  <c r="AA4" i="17" s="1"/>
  <c r="AI22" i="3"/>
  <c r="AB4" i="17" s="1"/>
  <c r="AJ22" i="3"/>
  <c r="AC4" i="17" s="1"/>
  <c r="AK22" i="3"/>
  <c r="AD4" i="17" s="1"/>
  <c r="AL22" i="3"/>
  <c r="AE4" i="17" s="1"/>
  <c r="AM22" i="3"/>
  <c r="AF4" i="17" s="1"/>
  <c r="AN22" i="3"/>
  <c r="AG4" i="17" s="1"/>
  <c r="AO22" i="3"/>
  <c r="AH4" i="17" s="1"/>
  <c r="AP22" i="3"/>
  <c r="AI4" i="17" s="1"/>
  <c r="AQ22" i="3"/>
  <c r="AJ4" i="17" s="1"/>
  <c r="I25" i="3"/>
  <c r="B7" i="17" s="1"/>
  <c r="J25" i="3"/>
  <c r="C7" i="17" s="1"/>
  <c r="K25" i="3"/>
  <c r="D7" i="17" s="1"/>
  <c r="L25" i="3"/>
  <c r="E7" i="17" s="1"/>
  <c r="M25" i="3"/>
  <c r="F7" i="17" s="1"/>
  <c r="N25" i="3"/>
  <c r="G7" i="17" s="1"/>
  <c r="O25" i="3"/>
  <c r="H7" i="17" s="1"/>
  <c r="P25" i="3"/>
  <c r="I7" i="17" s="1"/>
  <c r="Q25" i="3"/>
  <c r="J7" i="17" s="1"/>
  <c r="R25" i="3"/>
  <c r="K7" i="17" s="1"/>
  <c r="S25" i="3"/>
  <c r="L7" i="17" s="1"/>
  <c r="T25" i="3"/>
  <c r="M7" i="17" s="1"/>
  <c r="U25" i="3"/>
  <c r="N7" i="17" s="1"/>
  <c r="V25" i="3"/>
  <c r="O7" i="17" s="1"/>
  <c r="W25" i="3"/>
  <c r="P7" i="17" s="1"/>
  <c r="X25" i="3"/>
  <c r="Q7" i="17" s="1"/>
  <c r="Y25" i="3"/>
  <c r="R7" i="17" s="1"/>
  <c r="Z25" i="3"/>
  <c r="S7" i="17" s="1"/>
  <c r="AA25" i="3"/>
  <c r="T7" i="17" s="1"/>
  <c r="AB25" i="3"/>
  <c r="U7" i="17" s="1"/>
  <c r="AC25" i="3"/>
  <c r="V7" i="17" s="1"/>
  <c r="AD25" i="3"/>
  <c r="W7" i="17" s="1"/>
  <c r="AE25" i="3"/>
  <c r="X7" i="17" s="1"/>
  <c r="AF25" i="3"/>
  <c r="Y7" i="17" s="1"/>
  <c r="AG25" i="3"/>
  <c r="Z7" i="17" s="1"/>
  <c r="AH25" i="3"/>
  <c r="AA7" i="17" s="1"/>
  <c r="AI25" i="3"/>
  <c r="AB7" i="17" s="1"/>
  <c r="AJ25" i="3"/>
  <c r="AC7" i="17" s="1"/>
  <c r="AK25" i="3"/>
  <c r="AD7" i="17" s="1"/>
  <c r="AL25" i="3"/>
  <c r="AE7" i="17" s="1"/>
  <c r="AM25" i="3"/>
  <c r="AF7" i="17" s="1"/>
  <c r="AN25" i="3"/>
  <c r="AG7" i="17" s="1"/>
  <c r="AO25" i="3"/>
  <c r="AH7" i="17" s="1"/>
  <c r="AP25" i="3"/>
  <c r="AI7" i="17" s="1"/>
  <c r="AQ25" i="3"/>
  <c r="AJ7" i="17" s="1"/>
  <c r="I26" i="3"/>
  <c r="B2" i="18" s="1"/>
  <c r="J26" i="3"/>
  <c r="C2" i="18" s="1"/>
  <c r="K26" i="3"/>
  <c r="D2" i="18" s="1"/>
  <c r="L26" i="3"/>
  <c r="E2" i="18" s="1"/>
  <c r="M26" i="3"/>
  <c r="F2" i="18" s="1"/>
  <c r="N26" i="3"/>
  <c r="G2" i="18" s="1"/>
  <c r="O26" i="3"/>
  <c r="H2" i="18" s="1"/>
  <c r="P26" i="3"/>
  <c r="I2" i="18" s="1"/>
  <c r="Q26" i="3"/>
  <c r="J2" i="18" s="1"/>
  <c r="R26" i="3"/>
  <c r="K2" i="18" s="1"/>
  <c r="S26" i="3"/>
  <c r="L2" i="18" s="1"/>
  <c r="T26" i="3"/>
  <c r="M2" i="18" s="1"/>
  <c r="U26" i="3"/>
  <c r="N2" i="18" s="1"/>
  <c r="V26" i="3"/>
  <c r="O2" i="18" s="1"/>
  <c r="W26" i="3"/>
  <c r="P2" i="18" s="1"/>
  <c r="X26" i="3"/>
  <c r="Q2" i="18" s="1"/>
  <c r="Y26" i="3"/>
  <c r="R2" i="18" s="1"/>
  <c r="Z26" i="3"/>
  <c r="S2" i="18" s="1"/>
  <c r="AA26" i="3"/>
  <c r="T2" i="18" s="1"/>
  <c r="AB26" i="3"/>
  <c r="U2" i="18" s="1"/>
  <c r="AC26" i="3"/>
  <c r="V2" i="18" s="1"/>
  <c r="AD26" i="3"/>
  <c r="W2" i="18" s="1"/>
  <c r="AE26" i="3"/>
  <c r="X2" i="18" s="1"/>
  <c r="AF26" i="3"/>
  <c r="Y2" i="18" s="1"/>
  <c r="AG26" i="3"/>
  <c r="Z2" i="18" s="1"/>
  <c r="AH26" i="3"/>
  <c r="AA2" i="18" s="1"/>
  <c r="AI26" i="3"/>
  <c r="AB2" i="18" s="1"/>
  <c r="AJ26" i="3"/>
  <c r="AC2" i="18" s="1"/>
  <c r="AK26" i="3"/>
  <c r="AD2" i="18" s="1"/>
  <c r="AL26" i="3"/>
  <c r="AE2" i="18" s="1"/>
  <c r="AM26" i="3"/>
  <c r="AF2" i="18" s="1"/>
  <c r="AN26" i="3"/>
  <c r="AG2" i="18" s="1"/>
  <c r="AO26" i="3"/>
  <c r="AH2" i="18" s="1"/>
  <c r="AP26" i="3"/>
  <c r="AI2" i="18" s="1"/>
  <c r="AQ26" i="3"/>
  <c r="AJ2" i="18" s="1"/>
  <c r="I27" i="3"/>
  <c r="B3" i="18" s="1"/>
  <c r="J27" i="3"/>
  <c r="C3" i="18" s="1"/>
  <c r="K27" i="3"/>
  <c r="D3" i="18" s="1"/>
  <c r="L27" i="3"/>
  <c r="E3" i="18" s="1"/>
  <c r="M27" i="3"/>
  <c r="F3" i="18" s="1"/>
  <c r="N27" i="3"/>
  <c r="G3" i="18" s="1"/>
  <c r="O27" i="3"/>
  <c r="H3" i="18" s="1"/>
  <c r="P27" i="3"/>
  <c r="I3" i="18" s="1"/>
  <c r="Q27" i="3"/>
  <c r="J3" i="18" s="1"/>
  <c r="R27" i="3"/>
  <c r="K3" i="18" s="1"/>
  <c r="S27" i="3"/>
  <c r="L3" i="18" s="1"/>
  <c r="T27" i="3"/>
  <c r="M3" i="18" s="1"/>
  <c r="U27" i="3"/>
  <c r="N3" i="18" s="1"/>
  <c r="V27" i="3"/>
  <c r="O3" i="18" s="1"/>
  <c r="W27" i="3"/>
  <c r="P3" i="18" s="1"/>
  <c r="X27" i="3"/>
  <c r="Q3" i="18" s="1"/>
  <c r="Y27" i="3"/>
  <c r="R3" i="18" s="1"/>
  <c r="Z27" i="3"/>
  <c r="S3" i="18" s="1"/>
  <c r="AA27" i="3"/>
  <c r="T3" i="18" s="1"/>
  <c r="AB27" i="3"/>
  <c r="U3" i="18" s="1"/>
  <c r="AC27" i="3"/>
  <c r="V3" i="18" s="1"/>
  <c r="AD27" i="3"/>
  <c r="W3" i="18" s="1"/>
  <c r="AE27" i="3"/>
  <c r="X3" i="18" s="1"/>
  <c r="AF27" i="3"/>
  <c r="Y3" i="18" s="1"/>
  <c r="AG27" i="3"/>
  <c r="Z3" i="18" s="1"/>
  <c r="AH27" i="3"/>
  <c r="AA3" i="18" s="1"/>
  <c r="AI27" i="3"/>
  <c r="AB3" i="18" s="1"/>
  <c r="AJ27" i="3"/>
  <c r="AC3" i="18" s="1"/>
  <c r="AK27" i="3"/>
  <c r="AD3" i="18" s="1"/>
  <c r="AL27" i="3"/>
  <c r="AE3" i="18" s="1"/>
  <c r="AM27" i="3"/>
  <c r="AF3" i="18" s="1"/>
  <c r="AN27" i="3"/>
  <c r="AG3" i="18" s="1"/>
  <c r="AO27" i="3"/>
  <c r="AH3" i="18" s="1"/>
  <c r="AP27" i="3"/>
  <c r="AI3" i="18" s="1"/>
  <c r="AQ27" i="3"/>
  <c r="AJ3" i="18" s="1"/>
  <c r="I28" i="3"/>
  <c r="B4" i="18" s="1"/>
  <c r="J28" i="3"/>
  <c r="C4" i="18" s="1"/>
  <c r="K28" i="3"/>
  <c r="D4" i="18" s="1"/>
  <c r="L28" i="3"/>
  <c r="E4" i="18" s="1"/>
  <c r="M28" i="3"/>
  <c r="F4" i="18" s="1"/>
  <c r="N28" i="3"/>
  <c r="G4" i="18" s="1"/>
  <c r="O28" i="3"/>
  <c r="H4" i="18" s="1"/>
  <c r="P28" i="3"/>
  <c r="I4" i="18" s="1"/>
  <c r="Q28" i="3"/>
  <c r="J4" i="18" s="1"/>
  <c r="R28" i="3"/>
  <c r="K4" i="18" s="1"/>
  <c r="S28" i="3"/>
  <c r="L4" i="18" s="1"/>
  <c r="T28" i="3"/>
  <c r="M4" i="18" s="1"/>
  <c r="U28" i="3"/>
  <c r="N4" i="18" s="1"/>
  <c r="V28" i="3"/>
  <c r="O4" i="18" s="1"/>
  <c r="W28" i="3"/>
  <c r="P4" i="18" s="1"/>
  <c r="X28" i="3"/>
  <c r="Q4" i="18" s="1"/>
  <c r="Y28" i="3"/>
  <c r="R4" i="18" s="1"/>
  <c r="Z28" i="3"/>
  <c r="S4" i="18" s="1"/>
  <c r="AA28" i="3"/>
  <c r="T4" i="18" s="1"/>
  <c r="AB28" i="3"/>
  <c r="U4" i="18" s="1"/>
  <c r="AC28" i="3"/>
  <c r="V4" i="18" s="1"/>
  <c r="AD28" i="3"/>
  <c r="W4" i="18" s="1"/>
  <c r="AE28" i="3"/>
  <c r="X4" i="18" s="1"/>
  <c r="AF28" i="3"/>
  <c r="Y4" i="18" s="1"/>
  <c r="AG28" i="3"/>
  <c r="Z4" i="18" s="1"/>
  <c r="AH28" i="3"/>
  <c r="AA4" i="18" s="1"/>
  <c r="AI28" i="3"/>
  <c r="AB4" i="18" s="1"/>
  <c r="AJ28" i="3"/>
  <c r="AC4" i="18" s="1"/>
  <c r="AK28" i="3"/>
  <c r="AD4" i="18" s="1"/>
  <c r="AL28" i="3"/>
  <c r="AE4" i="18" s="1"/>
  <c r="AM28" i="3"/>
  <c r="AF4" i="18" s="1"/>
  <c r="AN28" i="3"/>
  <c r="AG4" i="18" s="1"/>
  <c r="AO28" i="3"/>
  <c r="AH4" i="18" s="1"/>
  <c r="AP28" i="3"/>
  <c r="AI4" i="18" s="1"/>
  <c r="AQ28" i="3"/>
  <c r="AJ4" i="18" s="1"/>
  <c r="I29" i="3"/>
  <c r="B5" i="18" s="1"/>
  <c r="J29" i="3"/>
  <c r="C5" i="18" s="1"/>
  <c r="K29" i="3"/>
  <c r="D5" i="18" s="1"/>
  <c r="L29" i="3"/>
  <c r="E5" i="18" s="1"/>
  <c r="M29" i="3"/>
  <c r="F5" i="18" s="1"/>
  <c r="N29" i="3"/>
  <c r="G5" i="18" s="1"/>
  <c r="O29" i="3"/>
  <c r="H5" i="18" s="1"/>
  <c r="P29" i="3"/>
  <c r="I5" i="18" s="1"/>
  <c r="Q29" i="3"/>
  <c r="J5" i="18" s="1"/>
  <c r="R29" i="3"/>
  <c r="K5" i="18" s="1"/>
  <c r="S29" i="3"/>
  <c r="L5" i="18" s="1"/>
  <c r="T29" i="3"/>
  <c r="M5" i="18" s="1"/>
  <c r="U29" i="3"/>
  <c r="N5" i="18" s="1"/>
  <c r="V29" i="3"/>
  <c r="O5" i="18" s="1"/>
  <c r="W29" i="3"/>
  <c r="P5" i="18" s="1"/>
  <c r="X29" i="3"/>
  <c r="Q5" i="18" s="1"/>
  <c r="Y29" i="3"/>
  <c r="R5" i="18" s="1"/>
  <c r="Z29" i="3"/>
  <c r="S5" i="18" s="1"/>
  <c r="AA29" i="3"/>
  <c r="T5" i="18" s="1"/>
  <c r="AB29" i="3"/>
  <c r="U5" i="18" s="1"/>
  <c r="AC29" i="3"/>
  <c r="V5" i="18" s="1"/>
  <c r="AD29" i="3"/>
  <c r="W5" i="18" s="1"/>
  <c r="AE29" i="3"/>
  <c r="X5" i="18" s="1"/>
  <c r="AF29" i="3"/>
  <c r="Y5" i="18" s="1"/>
  <c r="AG29" i="3"/>
  <c r="Z5" i="18" s="1"/>
  <c r="AH29" i="3"/>
  <c r="AA5" i="18" s="1"/>
  <c r="AI29" i="3"/>
  <c r="AB5" i="18" s="1"/>
  <c r="AJ29" i="3"/>
  <c r="AC5" i="18" s="1"/>
  <c r="AK29" i="3"/>
  <c r="AD5" i="18" s="1"/>
  <c r="AL29" i="3"/>
  <c r="AE5" i="18" s="1"/>
  <c r="AM29" i="3"/>
  <c r="AF5" i="18" s="1"/>
  <c r="AN29" i="3"/>
  <c r="AG5" i="18" s="1"/>
  <c r="AO29" i="3"/>
  <c r="AH5" i="18" s="1"/>
  <c r="AP29" i="3"/>
  <c r="AI5" i="18" s="1"/>
  <c r="AQ29" i="3"/>
  <c r="AJ5" i="18" s="1"/>
  <c r="I30" i="3"/>
  <c r="B6" i="18" s="1"/>
  <c r="J30" i="3"/>
  <c r="C6" i="18" s="1"/>
  <c r="K30" i="3"/>
  <c r="D6" i="18" s="1"/>
  <c r="L30" i="3"/>
  <c r="E6" i="18" s="1"/>
  <c r="M30" i="3"/>
  <c r="F6" i="18" s="1"/>
  <c r="N30" i="3"/>
  <c r="G6" i="18" s="1"/>
  <c r="O30" i="3"/>
  <c r="H6" i="18" s="1"/>
  <c r="P30" i="3"/>
  <c r="I6" i="18" s="1"/>
  <c r="Q30" i="3"/>
  <c r="J6" i="18" s="1"/>
  <c r="R30" i="3"/>
  <c r="K6" i="18" s="1"/>
  <c r="S30" i="3"/>
  <c r="L6" i="18" s="1"/>
  <c r="T30" i="3"/>
  <c r="M6" i="18" s="1"/>
  <c r="U30" i="3"/>
  <c r="N6" i="18" s="1"/>
  <c r="V30" i="3"/>
  <c r="O6" i="18" s="1"/>
  <c r="W30" i="3"/>
  <c r="P6" i="18" s="1"/>
  <c r="X30" i="3"/>
  <c r="Q6" i="18" s="1"/>
  <c r="Y30" i="3"/>
  <c r="R6" i="18" s="1"/>
  <c r="Z30" i="3"/>
  <c r="S6" i="18" s="1"/>
  <c r="AA30" i="3"/>
  <c r="T6" i="18" s="1"/>
  <c r="AB30" i="3"/>
  <c r="U6" i="18" s="1"/>
  <c r="AC30" i="3"/>
  <c r="V6" i="18" s="1"/>
  <c r="AD30" i="3"/>
  <c r="W6" i="18" s="1"/>
  <c r="AE30" i="3"/>
  <c r="X6" i="18" s="1"/>
  <c r="AF30" i="3"/>
  <c r="Y6" i="18" s="1"/>
  <c r="AG30" i="3"/>
  <c r="Z6" i="18" s="1"/>
  <c r="AH30" i="3"/>
  <c r="AA6" i="18" s="1"/>
  <c r="AI30" i="3"/>
  <c r="AB6" i="18" s="1"/>
  <c r="AJ30" i="3"/>
  <c r="AC6" i="18" s="1"/>
  <c r="AK30" i="3"/>
  <c r="AD6" i="18" s="1"/>
  <c r="AL30" i="3"/>
  <c r="AE6" i="18" s="1"/>
  <c r="AM30" i="3"/>
  <c r="AF6" i="18" s="1"/>
  <c r="AN30" i="3"/>
  <c r="AG6" i="18" s="1"/>
  <c r="AO30" i="3"/>
  <c r="AH6" i="18" s="1"/>
  <c r="AP30" i="3"/>
  <c r="AI6" i="18" s="1"/>
  <c r="AQ30" i="3"/>
  <c r="AJ6" i="18" s="1"/>
  <c r="I31" i="3"/>
  <c r="B7" i="18" s="1"/>
  <c r="J31" i="3"/>
  <c r="C7" i="18" s="1"/>
  <c r="K31" i="3"/>
  <c r="D7" i="18" s="1"/>
  <c r="L31" i="3"/>
  <c r="E7" i="18" s="1"/>
  <c r="M31" i="3"/>
  <c r="F7" i="18" s="1"/>
  <c r="N31" i="3"/>
  <c r="G7" i="18" s="1"/>
  <c r="O31" i="3"/>
  <c r="H7" i="18" s="1"/>
  <c r="P31" i="3"/>
  <c r="I7" i="18" s="1"/>
  <c r="Q31" i="3"/>
  <c r="J7" i="18" s="1"/>
  <c r="R31" i="3"/>
  <c r="K7" i="18" s="1"/>
  <c r="S31" i="3"/>
  <c r="L7" i="18" s="1"/>
  <c r="T31" i="3"/>
  <c r="M7" i="18" s="1"/>
  <c r="U31" i="3"/>
  <c r="N7" i="18" s="1"/>
  <c r="V31" i="3"/>
  <c r="O7" i="18" s="1"/>
  <c r="W31" i="3"/>
  <c r="P7" i="18" s="1"/>
  <c r="X31" i="3"/>
  <c r="Q7" i="18" s="1"/>
  <c r="Y31" i="3"/>
  <c r="R7" i="18" s="1"/>
  <c r="Z31" i="3"/>
  <c r="S7" i="18" s="1"/>
  <c r="AA31" i="3"/>
  <c r="T7" i="18" s="1"/>
  <c r="AB31" i="3"/>
  <c r="U7" i="18" s="1"/>
  <c r="AC31" i="3"/>
  <c r="V7" i="18" s="1"/>
  <c r="AD31" i="3"/>
  <c r="W7" i="18" s="1"/>
  <c r="AE31" i="3"/>
  <c r="X7" i="18" s="1"/>
  <c r="AF31" i="3"/>
  <c r="Y7" i="18" s="1"/>
  <c r="AG31" i="3"/>
  <c r="Z7" i="18" s="1"/>
  <c r="AH31" i="3"/>
  <c r="AA7" i="18" s="1"/>
  <c r="AI31" i="3"/>
  <c r="AB7" i="18" s="1"/>
  <c r="AJ31" i="3"/>
  <c r="AC7" i="18" s="1"/>
  <c r="AK31" i="3"/>
  <c r="AD7" i="18" s="1"/>
  <c r="AL31" i="3"/>
  <c r="AE7" i="18" s="1"/>
  <c r="AM31" i="3"/>
  <c r="AF7" i="18" s="1"/>
  <c r="AN31" i="3"/>
  <c r="AG7" i="18" s="1"/>
  <c r="AO31" i="3"/>
  <c r="AH7" i="18" s="1"/>
  <c r="AP31" i="3"/>
  <c r="AI7" i="18" s="1"/>
  <c r="AQ31" i="3"/>
  <c r="AJ7" i="18" s="1"/>
  <c r="I24" i="3"/>
  <c r="B6" i="17" s="1"/>
  <c r="I21" i="3"/>
  <c r="B3" i="17" s="1"/>
  <c r="F20" i="3"/>
  <c r="Z20" i="3" l="1"/>
  <c r="S2" i="17" s="1"/>
  <c r="AO20" i="3"/>
  <c r="AH2" i="17" s="1"/>
  <c r="AA20" i="3"/>
  <c r="T2" i="17" s="1"/>
  <c r="U20" i="3"/>
  <c r="N2" i="17" s="1"/>
  <c r="I20" i="3"/>
  <c r="B2" i="17" s="1"/>
  <c r="Z58" i="30"/>
  <c r="Z63" i="30" s="1"/>
  <c r="Y2" i="2"/>
  <c r="AQ20" i="3"/>
  <c r="AJ2" i="17" s="1"/>
  <c r="R24" i="3"/>
  <c r="K6" i="17" s="1"/>
  <c r="AB20" i="3"/>
  <c r="U2" i="17" s="1"/>
  <c r="K20" i="3"/>
  <c r="D2" i="17" s="1"/>
  <c r="AO21" i="3"/>
  <c r="AH3" i="17" s="1"/>
  <c r="W23" i="3"/>
  <c r="P5" i="17" s="1"/>
  <c r="AM23" i="3"/>
  <c r="AF5" i="17" s="1"/>
  <c r="T23" i="3"/>
  <c r="M5" i="17" s="1"/>
  <c r="AJ23" i="3"/>
  <c r="AC5" i="17" s="1"/>
  <c r="U23" i="3"/>
  <c r="N5" i="17" s="1"/>
  <c r="AK23" i="3"/>
  <c r="AD5" i="17" s="1"/>
  <c r="R23" i="3"/>
  <c r="K5" i="17" s="1"/>
  <c r="AH23" i="3"/>
  <c r="AA5" i="17" s="1"/>
  <c r="K23" i="3"/>
  <c r="D5" i="17" s="1"/>
  <c r="AE23" i="3"/>
  <c r="X5" i="17" s="1"/>
  <c r="P23" i="3"/>
  <c r="I5" i="17" s="1"/>
  <c r="AN23" i="3"/>
  <c r="AG5" i="17" s="1"/>
  <c r="AC23" i="3"/>
  <c r="V5" i="17" s="1"/>
  <c r="N23" i="3"/>
  <c r="G5" i="17" s="1"/>
  <c r="AL23" i="3"/>
  <c r="AE5" i="17" s="1"/>
  <c r="S23" i="3"/>
  <c r="L5" i="17" s="1"/>
  <c r="L23" i="3"/>
  <c r="E5" i="17" s="1"/>
  <c r="M23" i="3"/>
  <c r="F5" i="17" s="1"/>
  <c r="AO23" i="3"/>
  <c r="AH5" i="17" s="1"/>
  <c r="AD23" i="3"/>
  <c r="W5" i="17" s="1"/>
  <c r="AQ23" i="3"/>
  <c r="AJ5" i="17" s="1"/>
  <c r="AG23" i="3"/>
  <c r="Z5" i="17" s="1"/>
  <c r="AA23" i="3"/>
  <c r="T5" i="17" s="1"/>
  <c r="X23" i="3"/>
  <c r="Q5" i="17" s="1"/>
  <c r="Q23" i="3"/>
  <c r="J5" i="17" s="1"/>
  <c r="J23" i="3"/>
  <c r="C5" i="17" s="1"/>
  <c r="AP23" i="3"/>
  <c r="AI5" i="17" s="1"/>
  <c r="AB23" i="3"/>
  <c r="U5" i="17" s="1"/>
  <c r="V23" i="3"/>
  <c r="O5" i="17" s="1"/>
  <c r="O23" i="3"/>
  <c r="H5" i="17" s="1"/>
  <c r="AF23" i="3"/>
  <c r="Y5" i="17" s="1"/>
  <c r="Z23" i="3"/>
  <c r="S5" i="17" s="1"/>
  <c r="AI23" i="3"/>
  <c r="AB5" i="17" s="1"/>
  <c r="Y23" i="3"/>
  <c r="R5" i="17" s="1"/>
  <c r="P20" i="3"/>
  <c r="I2" i="17" s="1"/>
  <c r="AF20" i="3"/>
  <c r="Y2" i="17" s="1"/>
  <c r="Q20" i="3"/>
  <c r="J2" i="17" s="1"/>
  <c r="AG20" i="3"/>
  <c r="Z2" i="17" s="1"/>
  <c r="N20" i="3"/>
  <c r="G2" i="17" s="1"/>
  <c r="AD20" i="3"/>
  <c r="W2" i="17" s="1"/>
  <c r="X24" i="3"/>
  <c r="Q6" i="17" s="1"/>
  <c r="W20" i="3"/>
  <c r="P2" i="17" s="1"/>
  <c r="AP20" i="3"/>
  <c r="AI2" i="17" s="1"/>
  <c r="V20" i="3"/>
  <c r="O2" i="17" s="1"/>
  <c r="AK20" i="3"/>
  <c r="AD2" i="17" s="1"/>
  <c r="M20" i="3"/>
  <c r="F2" i="17" s="1"/>
  <c r="X20" i="3"/>
  <c r="Q2" i="17" s="1"/>
  <c r="O21" i="3"/>
  <c r="H3" i="17" s="1"/>
  <c r="AI20" i="3"/>
  <c r="AB2" i="17" s="1"/>
  <c r="S20" i="3"/>
  <c r="L2" i="17" s="1"/>
  <c r="AL20" i="3"/>
  <c r="AE2" i="17" s="1"/>
  <c r="R20" i="3"/>
  <c r="K2" i="17" s="1"/>
  <c r="AC20" i="3"/>
  <c r="V2" i="17" s="1"/>
  <c r="AN20" i="3"/>
  <c r="AG2" i="17" s="1"/>
  <c r="T20" i="3"/>
  <c r="M2" i="17" s="1"/>
  <c r="AP21" i="3"/>
  <c r="AI3" i="17" s="1"/>
  <c r="J24" i="3"/>
  <c r="C6" i="17" s="1"/>
  <c r="I23" i="3"/>
  <c r="B5" i="17" s="1"/>
  <c r="M21" i="3"/>
  <c r="F3" i="17" s="1"/>
  <c r="Q21" i="3"/>
  <c r="J3" i="17" s="1"/>
  <c r="K21" i="3"/>
  <c r="D3" i="17" s="1"/>
  <c r="X21" i="3"/>
  <c r="Q3" i="17" s="1"/>
  <c r="AN21" i="3"/>
  <c r="AG3" i="17" s="1"/>
  <c r="AM20" i="3"/>
  <c r="AF2" i="17" s="1"/>
  <c r="Z21" i="3"/>
  <c r="S3" i="17" s="1"/>
  <c r="U21" i="3"/>
  <c r="N3" i="17" s="1"/>
  <c r="AE20" i="3"/>
  <c r="X2" i="17" s="1"/>
  <c r="O20" i="3"/>
  <c r="H2" i="17" s="1"/>
  <c r="AH20" i="3"/>
  <c r="AA2" i="17" s="1"/>
  <c r="J20" i="3"/>
  <c r="C2" i="17" s="1"/>
  <c r="Y20" i="3"/>
  <c r="R2" i="17" s="1"/>
  <c r="AJ20" i="3"/>
  <c r="AC2" i="17" s="1"/>
  <c r="L20" i="3"/>
  <c r="E2" i="17" s="1"/>
  <c r="AF21" i="3"/>
  <c r="Y3" i="17" s="1"/>
  <c r="L21" i="3"/>
  <c r="E3" i="17" s="1"/>
  <c r="AC21" i="3"/>
  <c r="V3" i="17" s="1"/>
  <c r="R21" i="3" l="1"/>
  <c r="K3" i="17" s="1"/>
  <c r="AD21" i="3"/>
  <c r="W3" i="17" s="1"/>
  <c r="AJ24" i="3"/>
  <c r="AC6" i="17" s="1"/>
  <c r="U24" i="3"/>
  <c r="N6" i="17" s="1"/>
  <c r="K24" i="3"/>
  <c r="D6" i="17" s="1"/>
  <c r="AF24" i="3"/>
  <c r="Y6" i="17" s="1"/>
  <c r="AB24" i="3"/>
  <c r="U6" i="17" s="1"/>
  <c r="W24" i="3"/>
  <c r="P6" i="17" s="1"/>
  <c r="L24" i="3"/>
  <c r="E6" i="17" s="1"/>
  <c r="V24" i="3"/>
  <c r="O6" i="17" s="1"/>
  <c r="AH24" i="3"/>
  <c r="AA6" i="17" s="1"/>
  <c r="N24" i="3"/>
  <c r="G6" i="17" s="1"/>
  <c r="Z24" i="3"/>
  <c r="S6" i="17" s="1"/>
  <c r="AI24" i="3"/>
  <c r="AB6" i="17" s="1"/>
  <c r="AO24" i="3"/>
  <c r="AH6" i="17" s="1"/>
  <c r="AG24" i="3"/>
  <c r="Z6" i="17" s="1"/>
  <c r="AD24" i="3"/>
  <c r="W6" i="17" s="1"/>
  <c r="P24" i="3"/>
  <c r="I6" i="17" s="1"/>
  <c r="AA24" i="3"/>
  <c r="T6" i="17" s="1"/>
  <c r="AP24" i="3"/>
  <c r="AI6" i="17" s="1"/>
  <c r="AK24" i="3"/>
  <c r="AD6" i="17" s="1"/>
  <c r="S24" i="3"/>
  <c r="L6" i="17" s="1"/>
  <c r="Y24" i="3"/>
  <c r="R6" i="17" s="1"/>
  <c r="M24" i="3"/>
  <c r="F6" i="17" s="1"/>
  <c r="T24" i="3"/>
  <c r="M6" i="17" s="1"/>
  <c r="AM24" i="3"/>
  <c r="AF6" i="17" s="1"/>
  <c r="AE24" i="3"/>
  <c r="X6" i="17" s="1"/>
  <c r="Q24" i="3"/>
  <c r="J6" i="17" s="1"/>
  <c r="AL24" i="3"/>
  <c r="AE6" i="17" s="1"/>
  <c r="AN24" i="3"/>
  <c r="AG6" i="17" s="1"/>
  <c r="AA58" i="30"/>
  <c r="AA63" i="30" s="1"/>
  <c r="Z2" i="2"/>
  <c r="AL21" i="3"/>
  <c r="AE3" i="17" s="1"/>
  <c r="AI21" i="3"/>
  <c r="AB3" i="17" s="1"/>
  <c r="AQ21" i="3"/>
  <c r="AJ3" i="17" s="1"/>
  <c r="N21" i="3"/>
  <c r="G3" i="17" s="1"/>
  <c r="AE21" i="3"/>
  <c r="X3" i="17" s="1"/>
  <c r="T21" i="3"/>
  <c r="M3" i="17" s="1"/>
  <c r="W21" i="3"/>
  <c r="P3" i="17" s="1"/>
  <c r="AA21" i="3"/>
  <c r="T3" i="17" s="1"/>
  <c r="AG21" i="3"/>
  <c r="Z3" i="17" s="1"/>
  <c r="P21" i="3"/>
  <c r="I3" i="17" s="1"/>
  <c r="V21" i="3"/>
  <c r="O3" i="17" s="1"/>
  <c r="AJ21" i="3"/>
  <c r="AC3" i="17" s="1"/>
  <c r="AC24" i="3"/>
  <c r="V6" i="17" s="1"/>
  <c r="AQ24" i="3"/>
  <c r="AJ6" i="17" s="1"/>
  <c r="O24" i="3"/>
  <c r="H6" i="17" s="1"/>
  <c r="AK21" i="3"/>
  <c r="AD3" i="17" s="1"/>
  <c r="AH21" i="3"/>
  <c r="AA3" i="17" s="1"/>
  <c r="S21" i="3"/>
  <c r="L3" i="17" s="1"/>
  <c r="J21" i="3"/>
  <c r="C3" i="17" s="1"/>
  <c r="AB21" i="3"/>
  <c r="U3" i="17" s="1"/>
  <c r="Y21" i="3"/>
  <c r="R3" i="17" s="1"/>
  <c r="AM21" i="3"/>
  <c r="AF3" i="17" s="1"/>
  <c r="AB58" i="30" l="1"/>
  <c r="AB63" i="30" s="1"/>
  <c r="AA2" i="2"/>
  <c r="AC58" i="30" l="1"/>
  <c r="AC63" i="30" s="1"/>
  <c r="AB2" i="2"/>
  <c r="AD58" i="30" l="1"/>
  <c r="AD63" i="30" s="1"/>
  <c r="AC2" i="2"/>
  <c r="AE58" i="30" l="1"/>
  <c r="AE63" i="30" s="1"/>
  <c r="AD2" i="2"/>
  <c r="K40" i="51" l="1"/>
  <c r="L40" i="51" l="1"/>
  <c r="K41" i="51"/>
  <c r="L41" i="51" l="1"/>
  <c r="M40" i="51"/>
  <c r="N40" i="51" l="1"/>
  <c r="M41" i="51"/>
  <c r="O40" i="51" l="1"/>
  <c r="N41" i="51"/>
  <c r="P40" i="51" l="1"/>
  <c r="O41" i="51"/>
  <c r="Q40" i="51" l="1"/>
  <c r="Q41" i="51" s="1"/>
  <c r="P41" i="51"/>
</calcChain>
</file>

<file path=xl/sharedStrings.xml><?xml version="1.0" encoding="utf-8"?>
<sst xmlns="http://schemas.openxmlformats.org/spreadsheetml/2006/main" count="1047" uniqueCount="708">
  <si>
    <t>MPNVbT Max Percent New Vehicles by Technology</t>
  </si>
  <si>
    <t>battery electric vehicle</t>
  </si>
  <si>
    <t>natural gas vehicle</t>
  </si>
  <si>
    <t>gasoline vehicle</t>
  </si>
  <si>
    <t>diesel vehicle</t>
  </si>
  <si>
    <t>plugin hybrid vehicle</t>
  </si>
  <si>
    <t>nonroad vehicle</t>
  </si>
  <si>
    <t>Vehicle Type</t>
  </si>
  <si>
    <t>Cargo Type</t>
  </si>
  <si>
    <t>Vehicle Technology</t>
  </si>
  <si>
    <t>ships</t>
  </si>
  <si>
    <t>motorbikes</t>
  </si>
  <si>
    <t>freight</t>
  </si>
  <si>
    <t>passenger</t>
  </si>
  <si>
    <t>Max Potential Sales Share</t>
  </si>
  <si>
    <t xml:space="preserve">   Note:  Totals may not equal sum of components due to independent rounding.</t>
  </si>
  <si>
    <t xml:space="preserve">   - - = Not applicable.</t>
  </si>
  <si>
    <t xml:space="preserve">   ICE = Internal combustion engine.</t>
  </si>
  <si>
    <t xml:space="preserve">     Total Alternative Light Trucks</t>
  </si>
  <si>
    <t xml:space="preserve">   Fuel Cell Hydrogen</t>
  </si>
  <si>
    <t>- -</t>
  </si>
  <si>
    <t xml:space="preserve">   Fuel Cell Methanol</t>
  </si>
  <si>
    <t xml:space="preserve">   Propane Bi-fuel</t>
  </si>
  <si>
    <t xml:space="preserve">   Propane ICE</t>
  </si>
  <si>
    <t xml:space="preserve">   Natural Gas Bi-fuel</t>
  </si>
  <si>
    <t xml:space="preserve">   Natural Gas ICE</t>
  </si>
  <si>
    <t xml:space="preserve">   Electric-Gasoline Hybrid</t>
  </si>
  <si>
    <t xml:space="preserve">   Electric-Diesel Hybrid</t>
  </si>
  <si>
    <t xml:space="preserve">   Plug-in 40 Gasoline Hybrid</t>
  </si>
  <si>
    <t xml:space="preserve">   Plug-in 10 Gasoline Hybrid</t>
  </si>
  <si>
    <t xml:space="preserve">   200 Mile Electric Vehicle</t>
  </si>
  <si>
    <t xml:space="preserve">   100 Mile Electric Vehicle</t>
  </si>
  <si>
    <t xml:space="preserve">   Ethanol-Flex Fuel ICE</t>
  </si>
  <si>
    <t xml:space="preserve"> Alternative-Fuel Light Trucks</t>
  </si>
  <si>
    <t xml:space="preserve">     Total Conventional Light Trucks</t>
  </si>
  <si>
    <t xml:space="preserve">   TDI Diesel ICE</t>
  </si>
  <si>
    <t xml:space="preserve">   Gasoline ICE Vehicles</t>
  </si>
  <si>
    <t xml:space="preserve"> Conventional Light Trucks</t>
  </si>
  <si>
    <t xml:space="preserve">     Total Alternative Cars</t>
  </si>
  <si>
    <t xml:space="preserve"> Alternative-Fuel Cars</t>
  </si>
  <si>
    <t xml:space="preserve">     Total Conventional Cars</t>
  </si>
  <si>
    <t xml:space="preserve"> Conventional Cars</t>
  </si>
  <si>
    <t xml:space="preserve"> Technology Type</t>
  </si>
  <si>
    <t/>
  </si>
  <si>
    <t>Release Date</t>
  </si>
  <si>
    <t>Datekey</t>
  </si>
  <si>
    <t>Reference case</t>
  </si>
  <si>
    <t>Scenario</t>
  </si>
  <si>
    <t>Report</t>
  </si>
  <si>
    <t>Bloomberg New Energy Finance</t>
  </si>
  <si>
    <t>L</t>
  </si>
  <si>
    <t>k</t>
  </si>
  <si>
    <t>Xo</t>
  </si>
  <si>
    <t>Sigmoidal Curve Values for Vehicle Technologies</t>
  </si>
  <si>
    <t>Interpolation Method</t>
  </si>
  <si>
    <t>plugin hybrid vehicles) and linear interpolation for other vehicle technologies.  Technologies with constant values</t>
  </si>
  <si>
    <t>do not require interpolation.</t>
  </si>
  <si>
    <t>The values (to the right) that define the shape of the sigmoidal curve are assumptions, which neatly approach the</t>
  </si>
  <si>
    <t>specified 2050 max sales share with a flattening curve.  (Of course, linear interpolation is similarly an assumption.)</t>
  </si>
  <si>
    <t xml:space="preserve"> </t>
  </si>
  <si>
    <t>BEV</t>
  </si>
  <si>
    <t>Total</t>
  </si>
  <si>
    <t>Baseline MDV-Gasoline</t>
  </si>
  <si>
    <t>SP MDV Gasoline</t>
  </si>
  <si>
    <t>SP MDV Diesel</t>
  </si>
  <si>
    <t>SP MDV CNG</t>
  </si>
  <si>
    <t>SP MDV Hydrogen FCV</t>
  </si>
  <si>
    <t>SP MDV Battery Electric</t>
  </si>
  <si>
    <t>Notes:</t>
  </si>
  <si>
    <t>PHEV</t>
  </si>
  <si>
    <t>ref2019.d111618a</t>
  </si>
  <si>
    <t>Annual Energy Outlook 2019</t>
  </si>
  <si>
    <t>ref2019</t>
  </si>
  <si>
    <t>d111618a</t>
  </si>
  <si>
    <t xml:space="preserve"> January 2019</t>
  </si>
  <si>
    <t>TST009</t>
  </si>
  <si>
    <t>39.9. Light-Duty Vehicle Sales by Technology Type</t>
  </si>
  <si>
    <t>(thousands)</t>
  </si>
  <si>
    <t>Pacific - 09</t>
  </si>
  <si>
    <t>2018-</t>
  </si>
  <si>
    <t>New Car Sales 1/</t>
  </si>
  <si>
    <t>TST009:ba_GasolineICEVe</t>
  </si>
  <si>
    <t>TST009:ba_TDIDieselICE</t>
  </si>
  <si>
    <t>TST009:ba_TotalConventi</t>
  </si>
  <si>
    <t>TST009:ca_Ethanol-FlexF</t>
  </si>
  <si>
    <t>TST009:ca_100mileEV</t>
  </si>
  <si>
    <t>TST009:ca_ElectricVehic</t>
  </si>
  <si>
    <t>TST009:ea_FuelCellGasol</t>
  </si>
  <si>
    <t xml:space="preserve">   300 Mile Electric Vehicle</t>
  </si>
  <si>
    <t>TST009:ca_Plug-inGasoli</t>
  </si>
  <si>
    <t>TST009:ca_Plug-in40Hybd</t>
  </si>
  <si>
    <t>TST009:ca_Electric-Dies</t>
  </si>
  <si>
    <t>TST009:ca_Electric-Gaso</t>
  </si>
  <si>
    <t>TST009:ca_CompressedNat</t>
  </si>
  <si>
    <t>TST009:da_CompressedNat</t>
  </si>
  <si>
    <t>TST009:da_LiquefiedPetr</t>
  </si>
  <si>
    <t>TST009:ea_LiquefiedPetr</t>
  </si>
  <si>
    <t>TST009:ea_FuelCellMetha</t>
  </si>
  <si>
    <t>TST009:ea_FuelCellHydro</t>
  </si>
  <si>
    <t>TST009:ea_TotalAlternat</t>
  </si>
  <si>
    <t>TST009:fa_PercentAltern</t>
  </si>
  <si>
    <t>Percent Alternative Car Sales</t>
  </si>
  <si>
    <t>TST009:fa_TotalNewCarSa</t>
  </si>
  <si>
    <t>Total New Car Sales</t>
  </si>
  <si>
    <t>New Light Truck Sales 2/</t>
  </si>
  <si>
    <t>TST009:ga_GasolineICEVe</t>
  </si>
  <si>
    <t>TST009:ga_TDIDieselICE</t>
  </si>
  <si>
    <t>TST009:ga_TotalConventi</t>
  </si>
  <si>
    <t>TST009:ha_Ethanol-FlexF</t>
  </si>
  <si>
    <t>TST009:ha_100mileEV</t>
  </si>
  <si>
    <t>TST009:ha_ElectricVehic</t>
  </si>
  <si>
    <t>TST009:ja_FuelCellGasol</t>
  </si>
  <si>
    <t>TST009:ha_Plug-inGasoli</t>
  </si>
  <si>
    <t>TST009:ha_Plug-in40Hybd</t>
  </si>
  <si>
    <t>TST009:ha_Electric-Dies</t>
  </si>
  <si>
    <t>TST009:ha_Electric-Gaso</t>
  </si>
  <si>
    <t>TST009:ha_CompressedNat</t>
  </si>
  <si>
    <t>TST009:ia_CompressedNat</t>
  </si>
  <si>
    <t>TST009:ia_LiquefiedPetr</t>
  </si>
  <si>
    <t>TST009:ja_LiquefiedPetr</t>
  </si>
  <si>
    <t>TST009:ja_FuelCellMetha</t>
  </si>
  <si>
    <t>TST009:ja_FuelCellHydro</t>
  </si>
  <si>
    <t>TST009:ja_TotalAlternat</t>
  </si>
  <si>
    <t>TST009:ka_PercentAltern</t>
  </si>
  <si>
    <t>Percent Alternative Light Truck Sales</t>
  </si>
  <si>
    <t>TST009:ka_TotalNewTruck</t>
  </si>
  <si>
    <t>Total New Light Truck Sales</t>
  </si>
  <si>
    <t>TST009:la_PercentTotalA</t>
  </si>
  <si>
    <t>Percent Total Alternative Sales</t>
  </si>
  <si>
    <t>TST009:la_EPACTLegislat</t>
  </si>
  <si>
    <t>EPACT Legislative  Alternative Sales</t>
  </si>
  <si>
    <t>TST009:la_ZEVPLegislati</t>
  </si>
  <si>
    <t>ZEVP Legislative Alternative Sales</t>
  </si>
  <si>
    <t>Total Sales, Cars and Light Trucks</t>
  </si>
  <si>
    <t>TST009:ta_ConventionGas</t>
  </si>
  <si>
    <t xml:space="preserve">   Conventional Gasoline</t>
  </si>
  <si>
    <t>TST009:ta_TDIDiesel</t>
  </si>
  <si>
    <t xml:space="preserve">   TDI Diesel</t>
  </si>
  <si>
    <t>TST009:ta_Flex-Fuel</t>
  </si>
  <si>
    <t xml:space="preserve">   Flex-Fuel</t>
  </si>
  <si>
    <t>TST009:ta_PlugElectric</t>
  </si>
  <si>
    <t xml:space="preserve">   Electric</t>
  </si>
  <si>
    <t>TST009:ta_PluginHybrid</t>
  </si>
  <si>
    <t xml:space="preserve">   Plug-in Electric Hybrid</t>
  </si>
  <si>
    <t>TST009:ta_ElectricHybrd</t>
  </si>
  <si>
    <t xml:space="preserve">   Electric Hybrid</t>
  </si>
  <si>
    <t>TST009:ta_GassyGaseous</t>
  </si>
  <si>
    <t xml:space="preserve">   Gaseous (Propane and Natural Gas)</t>
  </si>
  <si>
    <t>TST009:ta_FuelCell</t>
  </si>
  <si>
    <t xml:space="preserve">   Fuel Cell</t>
  </si>
  <si>
    <t>TST009:ma_TotalVehicles</t>
  </si>
  <si>
    <t>Total Vehicles Sales</t>
  </si>
  <si>
    <t>TST009:mh_ConventionGas</t>
  </si>
  <si>
    <t xml:space="preserve">   Conventional Gasoline Microhybrids</t>
  </si>
  <si>
    <t>TST009:mh_TDIDiesel</t>
  </si>
  <si>
    <t xml:space="preserve">   TDI Diesel Microhybrids</t>
  </si>
  <si>
    <t>TST009:</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</si>
  <si>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</si>
  <si>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</si>
  <si>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</si>
  <si>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</si>
  <si>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</si>
  <si>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</si>
  <si>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</si>
  <si>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</si>
  <si>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</si>
  <si>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</si>
  <si>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Notes</t>
  </si>
  <si>
    <t>We use sigmoidal interpolation for some relatively new technologies (battery electric vehicles, natural gas vehicles, and</t>
  </si>
  <si>
    <t>Years forward for statistical forecast for use as x-axis value in sigmoidal equation)</t>
  </si>
  <si>
    <t>California New Car Dealers Association</t>
  </si>
  <si>
    <t>Vol. 15, No. 1</t>
  </si>
  <si>
    <t>California Auto Outlook (covering Fourth Quarter 2018)</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</si>
  <si>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</si>
  <si>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</si>
  <si>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</si>
  <si>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</si>
  <si>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</si>
  <si>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</si>
  <si>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Sources:</t>
  </si>
  <si>
    <t>LDVs empirical market data</t>
  </si>
  <si>
    <t>LDV psg</t>
  </si>
  <si>
    <t>ZEV cum</t>
  </si>
  <si>
    <t>New vehicle registrations</t>
  </si>
  <si>
    <t xml:space="preserve">Driven by pent up demand, </t>
  </si>
  <si>
    <t>https://evadoption.com/ev-market-share/ev-market-share-california/</t>
  </si>
  <si>
    <t>Tesla, for its part, was first to meet the mark, and the company this week addressed that by announcing price cuts across its product line that go much, though not all, of the way toward offsetting the first step of the phaseout. (Elon Musk late last year turned to Twitter regularly to exhort potential buyers to get their orders in before the credit expired.)</t>
  </si>
  <si>
    <t>https://www.barrons.com/articles/tesla-and-gm-watch-tax-credits-dwindle-51546620648</t>
  </si>
  <si>
    <t>Q4 2017</t>
  </si>
  <si>
    <t>Q4 2018</t>
  </si>
  <si>
    <t>Suppose half of this Q4 and the same amount from Q3 2018 were in effect "pulled forward" from 2019 due to pent up demand and a rush to claim expiring federal tax credits.</t>
  </si>
  <si>
    <t>difference for the quarter</t>
  </si>
  <si>
    <t>scaled up to 2 quarter / half year effect.</t>
  </si>
  <si>
    <t>Stock for start year 2017</t>
  </si>
  <si>
    <t>ZEV cumulative</t>
  </si>
  <si>
    <t xml:space="preserve">Annual ZEV sales with Tesla adjustment </t>
  </si>
  <si>
    <t>https://www.jpmorgan.com/global/research/electric-vehicles</t>
  </si>
  <si>
    <t>ZEV</t>
  </si>
  <si>
    <t>thousands of vehicles</t>
  </si>
  <si>
    <t>https://webstore.iea.org/download/direct/1045?fileName=Global_EV_Outlook_2018.pdf</t>
  </si>
  <si>
    <t>https://www.next10.org/grid-ev</t>
  </si>
  <si>
    <t xml:space="preserve"> http://www.edisonfoundation.net/iei/publications/Documents/IEI_EEI%20EV%20Forecast%20Report_Nov2018.pdf</t>
  </si>
  <si>
    <t>7 % annual increase</t>
  </si>
  <si>
    <t>Really a middle case, with US sales at ~3.5 mn in 2030</t>
  </si>
  <si>
    <t>2017 California sales</t>
  </si>
  <si>
    <t>share of pacific market</t>
  </si>
  <si>
    <t>Imputed EIA forecast for California</t>
  </si>
  <si>
    <t>BEV share</t>
  </si>
  <si>
    <t>ZEV sales</t>
  </si>
  <si>
    <t>Cumulative</t>
  </si>
  <si>
    <t>PHEV vehicles</t>
  </si>
  <si>
    <t xml:space="preserve">BEV vehicles </t>
  </si>
  <si>
    <t>EPS new vehicle sales in Wip M</t>
  </si>
  <si>
    <t>% implied</t>
  </si>
  <si>
    <t>http://www.fullertreacymoney.com/system/data/files/PDFs/2018/May/14th/RBC%20Capital%20Markets_RBC%20Electric%20Vehicle%20Forecast%20Through%202050%20%20Primer_11May2018.pdf</t>
  </si>
  <si>
    <t>JP Morgan</t>
  </si>
  <si>
    <t>Light-Duty Vehicle Sales by Technology Type</t>
  </si>
  <si>
    <t>https://www.eia.gov/outlooks/aeo/data/browser/#/?id=48-AEO2019&amp;region=1-0&amp;cases=ref2019&amp;start=2017&amp;end=2050&amp;f=A&amp;linechart=ref2019-d111618a.4-48-AEO2019.1-0~ref2019-d111618a.59-48-AEO2019.1-0~ref2019-d111618a.60-48-AEO2019.1-0~ref2019-d111618a.61-48-AEO2019.1-0~ref2019-d111618a.62-48-AEO2019.1-0~ref2019-d111618a.63-48-AEO2019.1-0~ref2019-d111618a.64-48-AEO2019.1-0~ref2019-d111618a.65-48-AEO2019.1-0~ref2019-d111618a.66-48-AEO2019.1-0~ref2019-d111618a.67-48-AEO2019.1-0&amp;map=ref2019-d111618a.5-48-AEO2019.1-0&amp;ctype=linechart&amp;sourcekey=0</t>
  </si>
  <si>
    <t>Wed Apr 03 2019 12:26:09 GMT-0700 (Pacific Daylight Time)</t>
  </si>
  <si>
    <t>Source: U.S. Energy Information Administration</t>
  </si>
  <si>
    <t>full name</t>
  </si>
  <si>
    <t>api key</t>
  </si>
  <si>
    <t>units</t>
  </si>
  <si>
    <t>Growth (2018-2050)</t>
  </si>
  <si>
    <t>New Car Sales</t>
  </si>
  <si>
    <t>48-AEO2019.2.</t>
  </si>
  <si>
    <t>Conventional Cars</t>
  </si>
  <si>
    <t>48-AEO2019.3.</t>
  </si>
  <si>
    <t>Gasoline ICE Vehicles</t>
  </si>
  <si>
    <t>Light-Duty Vehicle Sales: Conventional Cars: Gasoline: Reference case</t>
  </si>
  <si>
    <t>48-AEO2019.4.ref2019-d111618a</t>
  </si>
  <si>
    <t>thousands</t>
  </si>
  <si>
    <t>TDI Diesel ICE</t>
  </si>
  <si>
    <t>Light-Duty Vehicle Sales: Conventional Cars: TDI Diesel: Reference case</t>
  </si>
  <si>
    <t>48-AEO2019.5.ref2019-d111618a</t>
  </si>
  <si>
    <t>Total Conventional Cars</t>
  </si>
  <si>
    <t>Light-Duty Vehicle Sales: Conventional Cars: Total: Reference case</t>
  </si>
  <si>
    <t>48-AEO2019.6.ref2019-d111618a</t>
  </si>
  <si>
    <t>Alternative-Fuel Cars</t>
  </si>
  <si>
    <t>48-AEO2019.8.</t>
  </si>
  <si>
    <t>Ethanol-Flex Fuel ICE</t>
  </si>
  <si>
    <t>Light-Duty Vehicle Sales: Alternative-Fuel Cars: Ethanol-Flex Fuel ICE: Reference case</t>
  </si>
  <si>
    <t>48-AEO2019.9.ref2019-d111618a</t>
  </si>
  <si>
    <t>100 Mile Electric Vehicle</t>
  </si>
  <si>
    <t>Light-Duty Vehicle Sales: Alternative-Fuel Cars: 100 Mile Electric Vehicle: Reference case</t>
  </si>
  <si>
    <t>48-AEO2019.10.ref2019-d111618a</t>
  </si>
  <si>
    <t>200 Mile Electric Vehicle</t>
  </si>
  <si>
    <t>Light-Duty Vehicle Sales: Alternative-Fuel Cars: 200 Mile Electric Vehicle: Reference case</t>
  </si>
  <si>
    <t>48-AEO2019.11.ref2019-d111618a</t>
  </si>
  <si>
    <t>300 Mile Electric Vehicle</t>
  </si>
  <si>
    <t>Light-Duty Vehicle Sales: Alternative-Fuel Cars: 300 Mile Electric Vehicle: Reference case</t>
  </si>
  <si>
    <t>48-AEO2019.12.ref2019-d111618a</t>
  </si>
  <si>
    <t>Plug-in 10 Gasoline Hybrid</t>
  </si>
  <si>
    <t>Light-Duty Vehicle Sales: Alternative-Fuel Cars: Plug-in 10 Gasoline Hybrid: Reference case</t>
  </si>
  <si>
    <t>48-AEO2019.13.ref2019-d111618a</t>
  </si>
  <si>
    <t>Plug-in 40 Gasoline Hybrid</t>
  </si>
  <si>
    <t>Light-Duty Vehicle Sales: Alternative-Fuel Cars: Plug-in 40 Gasoline Hybrid: Reference case</t>
  </si>
  <si>
    <t>48-AEO2019.14.ref2019-d111618a</t>
  </si>
  <si>
    <t>Electric-Diesel Hybrid</t>
  </si>
  <si>
    <t>Light-Duty Vehicle Sales: Alternative-Fuel Cars: Electric-Diesel Hybrid: Reference case</t>
  </si>
  <si>
    <t>48-AEO2019.15.ref2019-d111618a</t>
  </si>
  <si>
    <t>Electric-Gasoline Hybrid</t>
  </si>
  <si>
    <t>Light-Duty Vehicle Sales: Alternative-Fuel Cars: Electric-Gasoline Hybrid: Reference case</t>
  </si>
  <si>
    <t>48-AEO2019.16.ref2019-d111618a</t>
  </si>
  <si>
    <t>Natural Gas ICE</t>
  </si>
  <si>
    <t>Light-Duty Vehicle Sales: Alternative-Fuel Cars: Natural Gas ICE: Reference case</t>
  </si>
  <si>
    <t>48-AEO2019.17.ref2019-d111618a</t>
  </si>
  <si>
    <t>Natural Gas Bi-fuel</t>
  </si>
  <si>
    <t>Light-Duty Vehicle Sales: Alternative-Fuel Cars: Natural Gas Bi-fuel: Reference case</t>
  </si>
  <si>
    <t>48-AEO2019.18.ref2019-d111618a</t>
  </si>
  <si>
    <t>Propane ICE</t>
  </si>
  <si>
    <t>Light-Duty Vehicle Sales: Alternative-Fuel Cars: Propane: Reference case</t>
  </si>
  <si>
    <t>48-AEO2019.19.ref2019-d111618a</t>
  </si>
  <si>
    <t>Propane Bi-fuel</t>
  </si>
  <si>
    <t>48-AEO2019.20.ref2019-d111618a</t>
  </si>
  <si>
    <t>Fuel Cell Methanol</t>
  </si>
  <si>
    <t>Light-Duty Vehicle Sales: Alternative-Fuel Cars: Fuel Cell Methanol: Reference case</t>
  </si>
  <si>
    <t>48-AEO2019.21.ref2019-d111618a</t>
  </si>
  <si>
    <t>Fuel Cell Hydrogen</t>
  </si>
  <si>
    <t>Light-Duty Vehicle Sales: Alternative-Fuel cars: Fuel Cell Hydrogen: Reference case</t>
  </si>
  <si>
    <t>48-AEO2019.22.ref2019-d111618a</t>
  </si>
  <si>
    <t>Total Alternative Cars</t>
  </si>
  <si>
    <t>Light-Duty Vehicle Sales: Alternative-Fuel Cars: Total: Reference case</t>
  </si>
  <si>
    <t>48-AEO2019.23.ref2019-d111618a</t>
  </si>
  <si>
    <t>Light-Duty Vehicle Sales: Percent Alternative Car: Reference case</t>
  </si>
  <si>
    <t>48-AEO2019.25.ref2019-d111618a</t>
  </si>
  <si>
    <t>percent</t>
  </si>
  <si>
    <t>Light-Duty Vehicle Sales: Total New Car: Reference case</t>
  </si>
  <si>
    <t>48-AEO2019.26.ref2019-d111618a</t>
  </si>
  <si>
    <t>New Light Truck Sales</t>
  </si>
  <si>
    <t>48-AEO2019.28.</t>
  </si>
  <si>
    <t>Conventional Light Trucks</t>
  </si>
  <si>
    <t>48-AEO2019.29.</t>
  </si>
  <si>
    <t>Light-Duty Vehicle Sales: Conventional Light Trucks: Gasoline: Reference case</t>
  </si>
  <si>
    <t>48-AEO2019.30.ref2019-d111618a</t>
  </si>
  <si>
    <t>Light-Duty Vehicle Sales: Conventional Light Trucks: TDI Diesel: Reference case</t>
  </si>
  <si>
    <t>48-AEO2019.31.ref2019-d111618a</t>
  </si>
  <si>
    <t>Total Conventional Light Trucks</t>
  </si>
  <si>
    <t>Light-Duty Vehicle Sales: Conventional Light Trucks: Total: Reference case</t>
  </si>
  <si>
    <t>48-AEO2019.32.ref2019-d111618a</t>
  </si>
  <si>
    <t>Alternative-Fuel Light Trucks</t>
  </si>
  <si>
    <t>48-AEO2019.34.</t>
  </si>
  <si>
    <t>Light-Duty Vehicle Sales: Alternative-Fuel Light Trucks: Ethanol-Flex Fuel ICE: Reference case</t>
  </si>
  <si>
    <t>48-AEO2019.35.ref2019-d111618a</t>
  </si>
  <si>
    <t>Light-Duty Vehicle Sales: Alternative-Fuel Light Trucks: 100 Mile Electric Vehicle: Reference case</t>
  </si>
  <si>
    <t>48-AEO2019.36.ref2019-d111618a</t>
  </si>
  <si>
    <t>Light-Duty Vehicle Sales: Alternative-Fuel Light Trucks: 200 Mile Electric Vehicle: Reference case</t>
  </si>
  <si>
    <t>48-AEO2019.37.ref2019-d111618a</t>
  </si>
  <si>
    <t>Light-Duty Vehicle Sales: Alternative-Fuel Light Trucks: 300 Mile Electric Vehicle: Reference case</t>
  </si>
  <si>
    <t>48-AEO2019.38.ref2019-d111618a</t>
  </si>
  <si>
    <t>Light-Duty Vehicle Sales: Alternative-Fuel Light Trucks: Plug-in 10 Gasoline Hybrid: Reference case</t>
  </si>
  <si>
    <t>48-AEO2019.39.ref2019-d111618a</t>
  </si>
  <si>
    <t>Light-Duty Vehicle Sales: Alternative-Fuel Light Trucks: Plug-in 40 Gasoline Hybrid: Reference case</t>
  </si>
  <si>
    <t>48-AEO2019.40.ref2019-d111618a</t>
  </si>
  <si>
    <t>Light-Duty Vehicle Sales: Alternative-Fuel Light Trucks: Electric-Diesel Hybrid: Reference case</t>
  </si>
  <si>
    <t>48-AEO2019.41.ref2019-d111618a</t>
  </si>
  <si>
    <t>Light-Duty Vehicle Sales: Alternative-Fuel Light Trucks: Electric-Gasoline Hybrid: Reference case</t>
  </si>
  <si>
    <t>48-AEO2019.42.ref2019-d111618a</t>
  </si>
  <si>
    <t>Light-Duty Vehicle Sales: Alternative-Fuel Light Trucks: Natural Gas ICE: Reference case</t>
  </si>
  <si>
    <t>48-AEO2019.43.ref2019-d111618a</t>
  </si>
  <si>
    <t>Light-Duty Vehicle Sales: Alternative-Fuel Light Trucks: Natural Gas Bi-fuel: Reference case</t>
  </si>
  <si>
    <t>48-AEO2019.44.ref2019-d111618a</t>
  </si>
  <si>
    <t>Light-Duty Vehicle Sales: Alternative-Fuel Light Trucks: Propane ICE: Reference case</t>
  </si>
  <si>
    <t>48-AEO2019.45.ref2019-d111618a</t>
  </si>
  <si>
    <t>Light-Duty Vehicle Sales: Alternative-Fuel Light Trucks: Propane Bi-fuel: Reference case</t>
  </si>
  <si>
    <t>48-AEO2019.46.ref2019-d111618a</t>
  </si>
  <si>
    <t>Light-Duty Vehicle Sales: Alternative-Fuel Light Trucks: Fuel Cell Methanol: Reference case</t>
  </si>
  <si>
    <t>48-AEO2019.47.ref2019-d111618a</t>
  </si>
  <si>
    <t>Light-Duty Vehicle Sales: Alternative-Fuel Light Trucks: Fuel Cell Hydrogen: Reference case</t>
  </si>
  <si>
    <t>48-AEO2019.48.ref2019-d111618a</t>
  </si>
  <si>
    <t>Total Alternative Light Trucks</t>
  </si>
  <si>
    <t>Light-Duty Vehicle Sales: Alternative-Fuel Light Trucks: Total: Reference case</t>
  </si>
  <si>
    <t>48-AEO2019.49.ref2019-d111618a</t>
  </si>
  <si>
    <t>Light-Duty Vehicle Sales: Percent Alternative Light Truck Sales: Reference case</t>
  </si>
  <si>
    <t>48-AEO2019.51.ref2019-d111618a</t>
  </si>
  <si>
    <t>Light-Duty Vehicle Sales: Total New Truck: Reference case</t>
  </si>
  <si>
    <t>48-AEO2019.52.ref2019-d111618a</t>
  </si>
  <si>
    <t>Light-Duty Vehicle Sales: Percent Total Alternative Sales: Reference case</t>
  </si>
  <si>
    <t>48-AEO2019.54.ref2019-d111618a</t>
  </si>
  <si>
    <t>Light-Duty Vehicle Sales: EPACT Legislative Alternative Sales: Reference case</t>
  </si>
  <si>
    <t>48-AEO2019.55.ref2019-d111618a</t>
  </si>
  <si>
    <t>Light-Duty Vehicle Sales: ZEVP Legislative Alternative Sales: Reference case</t>
  </si>
  <si>
    <t>48-AEO2019.56.ref2019-d111618a</t>
  </si>
  <si>
    <t>Total Sales</t>
  </si>
  <si>
    <t xml:space="preserve"> Cars and Light Trucks</t>
  </si>
  <si>
    <t>48-AEO2019.58.</t>
  </si>
  <si>
    <t>Conventional Gasoline</t>
  </si>
  <si>
    <t>Light-Duty Vehicle Sales: Total Sales, Cars and Light Trucks: Conventional Gasoline: Reference case</t>
  </si>
  <si>
    <t>48-AEO2019.59.ref2019-d111618a</t>
  </si>
  <si>
    <t>TDI Diesel</t>
  </si>
  <si>
    <t>Light-Duty Vehicle Sales: Total Sales, Cars and Light Trucks: TDI Diesel: Reference case</t>
  </si>
  <si>
    <t>48-AEO2019.60.ref2019-d111618a</t>
  </si>
  <si>
    <t>Flex-Fuel</t>
  </si>
  <si>
    <t>Light-Duty Vehicle Sales: Total Sales, Cars and Light Trucks: Flex-Fuel: Reference case</t>
  </si>
  <si>
    <t>48-AEO2019.61.ref2019-d111618a</t>
  </si>
  <si>
    <t>Electric</t>
  </si>
  <si>
    <t>Light-Duty Vehicle Sales: Total Sales, Cars and Light Trucks: Electric: Reference case</t>
  </si>
  <si>
    <t>48-AEO2019.62.ref2019-d111618a</t>
  </si>
  <si>
    <t>Plug-in Electric Hybrid</t>
  </si>
  <si>
    <t>Light-Duty Vehicle Sales: Total Sales, Cars and Light Trucks: Plug-in Electric Hybrid: Reference case</t>
  </si>
  <si>
    <t>48-AEO2019.63.ref2019-d111618a</t>
  </si>
  <si>
    <t>Electric Hybrid</t>
  </si>
  <si>
    <t>Light-Duty Vehicle Sales: Total Sales, Cars and Light Trucks: Electric Hybrid: Reference case</t>
  </si>
  <si>
    <t>48-AEO2019.64.ref2019-d111618a</t>
  </si>
  <si>
    <t>Gaseous (Propane and Natural Gas)</t>
  </si>
  <si>
    <t>Light-Duty Vehicle Sales: Total Sales, Cars and Light Trucks: Gaseous: Reference case</t>
  </si>
  <si>
    <t>48-AEO2019.65.ref2019-d111618a</t>
  </si>
  <si>
    <t>Fuel Cell</t>
  </si>
  <si>
    <t>Light-Duty Vehicle Sales: Total Sales, Cars and Light Trucks: Fuel Cell: Reference case</t>
  </si>
  <si>
    <t>48-AEO2019.66.ref2019-d111618a</t>
  </si>
  <si>
    <t>Light-Duty Vehicle Sales: Total Vehicles Sales: Reference case</t>
  </si>
  <si>
    <t>48-AEO2019.67.ref2019-d111618a</t>
  </si>
  <si>
    <t>Conventional Gasoline Microhybrids</t>
  </si>
  <si>
    <t>Light-Duty Vehicle Sales: Microhybrids: Conventional Gasoline: Reference case</t>
  </si>
  <si>
    <t>48-AEO2019.70.ref2019-d111618a</t>
  </si>
  <si>
    <t>TDI Diesel Microhybrids</t>
  </si>
  <si>
    <t>Light-Duty Vehicle Sales: Microhybrids: TDI Diesel: Reference case</t>
  </si>
  <si>
    <t>48-AEO2019.71.ref2019-d111618a</t>
  </si>
  <si>
    <t>Light-Duty Vehicle Sales: Alternative-Fueled Vehicles: Reference case</t>
  </si>
  <si>
    <t>48-AEO2019.80.ref2019-d111618a</t>
  </si>
  <si>
    <t>sum</t>
  </si>
  <si>
    <t>2.4 mn</t>
  </si>
  <si>
    <t>1.4 mn</t>
  </si>
  <si>
    <t>EIA Pacific region scaled to California</t>
  </si>
  <si>
    <t>US EIA</t>
  </si>
  <si>
    <t>Passenger car parc and vehicle kms electrified</t>
  </si>
  <si>
    <t>Share electrified (%)</t>
  </si>
  <si>
    <t>2017</t>
  </si>
  <si>
    <t>2020</t>
  </si>
  <si>
    <t>2025</t>
  </si>
  <si>
    <t>2030</t>
  </si>
  <si>
    <t>2035</t>
  </si>
  <si>
    <t>2040</t>
  </si>
  <si>
    <t>Vehicle kms</t>
  </si>
  <si>
    <t>Passenger car parc</t>
  </si>
  <si>
    <t>“Parc” is a European term for all registered vehicles within a defined geographic region, originating from the French phrase “parc de véhicules” meaning the collective number of vehicles or a vehicle collection. Definition of car parc: allvehicles in operation (VIO).Jul 29, 2014</t>
  </si>
  <si>
    <t>https://www.bp.com/en/global/corporate/energy-economics/energy-outlook/demand-by-sector/transport.html</t>
  </si>
  <si>
    <t>On the sales front, 3.9 million electric LDVs are sold in 2020</t>
  </si>
  <si>
    <t>(3% of the global LDV market) and 21 million in 2030 (13% of the global LDV market) in the New</t>
  </si>
  <si>
    <t>Policies Scenario.</t>
  </si>
  <si>
    <t>pg 77</t>
  </si>
  <si>
    <t>NPS /lower scenario</t>
  </si>
  <si>
    <t>Next10 / Beacon</t>
  </si>
  <si>
    <t>BNEF</t>
  </si>
  <si>
    <t>LDV sales in 2025 per EPS output</t>
  </si>
  <si>
    <t>stock</t>
  </si>
  <si>
    <t>BNEF estimated at 2 million sales for US in 2025</t>
  </si>
  <si>
    <t xml:space="preserve">implies for California </t>
  </si>
  <si>
    <t>auot outlook</t>
  </si>
  <si>
    <t>https://about.bnef.com/electric-vehicle-outlook/#toc-download</t>
  </si>
  <si>
    <t>11 million vehicles sold</t>
  </si>
  <si>
    <t>11% in US</t>
  </si>
  <si>
    <t>Assume half in California as today</t>
  </si>
  <si>
    <t>in sales</t>
  </si>
  <si>
    <t> In the IEA’s New Policies Scenario, which takes into account current and planned policies, the number of electric cars is projected to reach 125 million units by 2030. </t>
  </si>
  <si>
    <t>https://www.iea.org/newsroom/news/2018/may/strong-policy-and-falling-battery-costs-drive-another-record-year-for-electric-ca.html</t>
  </si>
  <si>
    <t>The IEA’s latest Tracking Clean Energy Progress report shows that EVs are one of the 4 technologies out of 38 that are on track to meet long-term sustainability goals. </t>
  </si>
  <si>
    <t>Cleary shows 50 mn electric LDVs in 2025</t>
  </si>
  <si>
    <t>Take California as half of passenger vehicles registered.</t>
  </si>
  <si>
    <t>registered vehicles at 25 million</t>
  </si>
  <si>
    <t>CA @ half</t>
  </si>
  <si>
    <t>Hybrid (not plug in)</t>
  </si>
  <si>
    <t>use these ratios to assign the HEV/PHEV share</t>
  </si>
  <si>
    <t>imputed PHEV level</t>
  </si>
  <si>
    <t>HEV and PHEV</t>
  </si>
  <si>
    <t>Source:</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</si>
  <si>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</si>
  <si>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</si>
  <si>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</si>
  <si>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</si>
  <si>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</si>
  <si>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2025 scenarios</t>
  </si>
  <si>
    <t>average</t>
  </si>
  <si>
    <t>Meta forecast</t>
  </si>
  <si>
    <t>Meta forecast approach for stock</t>
  </si>
  <si>
    <t>approximate as average of 2016-2017 growth rate and 5% diminishing rate</t>
  </si>
  <si>
    <t>lower</t>
  </si>
  <si>
    <t>higher</t>
  </si>
  <si>
    <t>avg</t>
  </si>
  <si>
    <t>y = 78444080 + (123.791 - 78444080)/(1 + (x/781.8152)^2.986274)</t>
  </si>
  <si>
    <t>BNEF calcs</t>
  </si>
  <si>
    <t>stoch</t>
  </si>
  <si>
    <t>year-over-year %</t>
  </si>
  <si>
    <t>increasing at declining 20% forward</t>
  </si>
  <si>
    <t>Finding a representation for the BNEF curve</t>
  </si>
  <si>
    <t>RC capital</t>
  </si>
  <si>
    <t>Average</t>
  </si>
  <si>
    <t>y = 293290600 + (125.3866 - 293290600)/(1 + (x/2785.389)^2.525739)</t>
  </si>
  <si>
    <t>Take these levels as maximum</t>
  </si>
  <si>
    <t>phev</t>
  </si>
  <si>
    <t>bev</t>
  </si>
  <si>
    <t>annual</t>
  </si>
  <si>
    <t>cum</t>
  </si>
  <si>
    <t xml:space="preserve">EIA </t>
  </si>
  <si>
    <t>Cum ZEV</t>
  </si>
  <si>
    <t>y-o-y change</t>
  </si>
  <si>
    <t>Cum ZEV declining</t>
  </si>
  <si>
    <t>y-o-y declining</t>
  </si>
  <si>
    <t>new</t>
  </si>
  <si>
    <t>new declining</t>
  </si>
  <si>
    <t>imputed annual sales</t>
  </si>
  <si>
    <t>Cum min</t>
  </si>
  <si>
    <t>Fraction of sales</t>
  </si>
  <si>
    <t>By inspection, 2025 and 2030 points estimated</t>
  </si>
  <si>
    <t>In 2020 sales rise to 10%</t>
  </si>
  <si>
    <t>LDV sales per EPS output</t>
  </si>
  <si>
    <t>ZEV additions</t>
  </si>
  <si>
    <t>Link to source</t>
  </si>
  <si>
    <t>Accenture</t>
  </si>
  <si>
    <t>Compliance minimum</t>
  </si>
  <si>
    <t>Average of three</t>
  </si>
  <si>
    <t>Approximate as linear growth</t>
  </si>
  <si>
    <t>Actual</t>
  </si>
  <si>
    <t>imputed</t>
  </si>
  <si>
    <t>Ratios from US EPA</t>
  </si>
  <si>
    <t>Source link</t>
  </si>
  <si>
    <t>linear interpolation</t>
  </si>
  <si>
    <t>annual 2017--2025</t>
  </si>
  <si>
    <t xml:space="preserve">Then increasing rate </t>
  </si>
  <si>
    <t>RBC Capital</t>
  </si>
  <si>
    <t xml:space="preserve">Total Light Duty Vehicle Sales </t>
  </si>
  <si>
    <t>Total US LDV Population 3 year Averages</t>
  </si>
  <si>
    <t>% of US</t>
  </si>
  <si>
    <t>Total S177 LDV Population</t>
  </si>
  <si>
    <t>Total CA LDV Population</t>
  </si>
  <si>
    <t xml:space="preserve">LVM CA Market Share of Annual Sales </t>
  </si>
  <si>
    <t xml:space="preserve">IVM CA Market Share of Annual Sales </t>
  </si>
  <si>
    <t>CA LVM Vehicle Population</t>
  </si>
  <si>
    <t>CA IVM Vehicle Population</t>
  </si>
  <si>
    <t>LVM S177 Market Share of Annual Sales</t>
  </si>
  <si>
    <t>IVM S177 Market Share of Annual Sales</t>
  </si>
  <si>
    <t>S177 State LVM Population</t>
  </si>
  <si>
    <t xml:space="preserve">S177 State IVM Population </t>
  </si>
  <si>
    <t>CA ZEV Requirement (Credits)</t>
  </si>
  <si>
    <t>Min. ZEV %</t>
  </si>
  <si>
    <t>Max. PHEV %</t>
  </si>
  <si>
    <t>Total ZEV %</t>
  </si>
  <si>
    <t>2018-2025 TOTALS</t>
  </si>
  <si>
    <t>CA Min. ZEV credits (LVM)</t>
  </si>
  <si>
    <t>CA Max. PHEV credits (LVM)</t>
  </si>
  <si>
    <t>CA Total ZEV credits (LVM)</t>
  </si>
  <si>
    <t xml:space="preserve">CA Total IVM req credits </t>
  </si>
  <si>
    <t>CA Total credit requirement (All Manufacturers)</t>
  </si>
  <si>
    <t>S177 ZEV Requirement (Credits)</t>
  </si>
  <si>
    <t>% of LVMs (S177 volumes) taking Optional Compliance Path</t>
  </si>
  <si>
    <t>Optional Comp Path reduction in Min. ZEV%</t>
  </si>
  <si>
    <t>Min. ZEV % in S177 States</t>
  </si>
  <si>
    <t>Optional Comp Path reduction in Max. PHEV%</t>
  </si>
  <si>
    <t>Max. PHEV % in S177 States</t>
  </si>
  <si>
    <t>Total % in S177 States</t>
  </si>
  <si>
    <t>S177 Min. ZEV credits (LVM)</t>
  </si>
  <si>
    <t>S177 Max. PHEV credits (LVM)</t>
  </si>
  <si>
    <t>S177 Total ZEV credits (LVM)</t>
  </si>
  <si>
    <t xml:space="preserve">S177 Total IVM req credits </t>
  </si>
  <si>
    <t>S177 Total credit requirement (All Manufacturers)</t>
  </si>
  <si>
    <t>CA GHG Over-Compliance</t>
  </si>
  <si>
    <t>% of LVMs taking this path</t>
  </si>
  <si>
    <t>% of IVMs taking this path</t>
  </si>
  <si>
    <t>% of ZEV requirement (Overall and Min. ZEV) allowed to be fulfilled with Over-Compliance credits</t>
  </si>
  <si>
    <t>Maximum # of credits allowed to be fulfilled with GHG Over-Compliance credits (LVM)</t>
  </si>
  <si>
    <t>Maximum # credits allowed to fulfill Min. ZEV by Over-Compliance credits (LVM)</t>
  </si>
  <si>
    <t>Left over credits to fulfill PHEV credits (LVM)</t>
  </si>
  <si>
    <t xml:space="preserve">Maximum # of credits allowed to be fulfilled with GHG Over-Compliance credits (IVM) </t>
  </si>
  <si>
    <t xml:space="preserve">S177 GHG Over-Compliance </t>
  </si>
  <si>
    <t>CA Historical PZEV, AT PZEV and NEV Credits</t>
  </si>
  <si>
    <t>% of LVMs using this cap</t>
  </si>
  <si>
    <t>% of IVMs using this cap</t>
  </si>
  <si>
    <t>% of PHEV category allowed to be fulfilled with Historical PZEV, AT PZEV and NEV credits (LVM)</t>
  </si>
  <si>
    <t>Maximum # credits allowed with Historical cap (LVM)</t>
  </si>
  <si>
    <t>% of PHEV category allowed to be fulfilled with Historical PZEV, AT PZEV and NEV credits (IVM)</t>
  </si>
  <si>
    <t>Maximum # credits allowed with Historical cap (IVM)</t>
  </si>
  <si>
    <t>S177 Historical PZEV, AT PZEV, and NEV Credits</t>
  </si>
  <si>
    <t>CA Banked Credits</t>
  </si>
  <si>
    <t>Industry Credits</t>
  </si>
  <si>
    <t>LVM Difference</t>
  </si>
  <si>
    <t>2026 LVM Margin</t>
  </si>
  <si>
    <t>IVM</t>
  </si>
  <si>
    <t>IVM Difference</t>
  </si>
  <si>
    <t>2026 IVM Margin</t>
  </si>
  <si>
    <t>Number of Pure ZEV credits</t>
  </si>
  <si>
    <t>Number of PHEV credits</t>
  </si>
  <si>
    <t>% of requirement that will be met with pure ZEV credits (LVM)</t>
  </si>
  <si>
    <t>% of requirement that will be met with PHEV credits (LVM)</t>
  </si>
  <si>
    <t>Banked ZEV credits being used every year (LVM)</t>
  </si>
  <si>
    <t>Banked PHEV credits being used every year (LVM)</t>
  </si>
  <si>
    <t>% of requirement that will be met with banked credits (IVM)</t>
  </si>
  <si>
    <t>Banked ZEV credits being used every year (IVM)</t>
  </si>
  <si>
    <t>S177 Banked Credits</t>
  </si>
  <si>
    <t>Adjusted CA Credit Requirement</t>
  </si>
  <si>
    <t>New pure ZEV requirement (after caps and credits)</t>
  </si>
  <si>
    <t>New Min. PHEV portion of requirement (after caps and credits)</t>
  </si>
  <si>
    <t>New Total-Annual LVM requirement (after caps and credits)</t>
  </si>
  <si>
    <t>New Total-Annual IVM requirement (after caps and credits)</t>
  </si>
  <si>
    <t>% of LVMs making only ZEVs</t>
  </si>
  <si>
    <t>% of LVMs making ZEVs and PHEVs</t>
  </si>
  <si>
    <t>% of IVMs making only ZEVs</t>
  </si>
  <si>
    <t>% of IVMs making only PHEVs</t>
  </si>
  <si>
    <t>Number of credits from ZEVs (ZEV only LVMs)</t>
  </si>
  <si>
    <t>Number of credits from ZEVs (ZEV/PHEV LVMs)</t>
  </si>
  <si>
    <t>Adjust number of ZEVs credits (LVMs)</t>
  </si>
  <si>
    <t>Number of credits from PHEVs (LVMs)</t>
  </si>
  <si>
    <t>Number of credits from ZEVs (ZEV only IVMs)</t>
  </si>
  <si>
    <t>Number of credits from PHEVs (PHEV only IVMs)</t>
  </si>
  <si>
    <t>Adjusted Total-Annual number of ZEV credits</t>
  </si>
  <si>
    <t>Adjusted Total-Annual number of PHEV credits</t>
  </si>
  <si>
    <t>Adjusted S177 Credit Requirement</t>
  </si>
  <si>
    <t>Technology Mix/Vehicle Numbers</t>
  </si>
  <si>
    <t>% of ZEV only LVMs making FCEVs</t>
  </si>
  <si>
    <t>% of ZEV only LVMs making BEVs</t>
  </si>
  <si>
    <t>% of ZEV/PHEV LVMs making FCEVs</t>
  </si>
  <si>
    <t>% of ZEV/PHEV LVMs making BEVs</t>
  </si>
  <si>
    <t>% of ZEV IVMs making FCEVs</t>
  </si>
  <si>
    <t>% of ZEV IVMs making BEVs</t>
  </si>
  <si>
    <t>Label Range BEV</t>
  </si>
  <si>
    <t>Label Range FCEV</t>
  </si>
  <si>
    <t>UDDS Range BEV</t>
  </si>
  <si>
    <t>UDDS Range FCEV</t>
  </si>
  <si>
    <t>Credit per BEV</t>
  </si>
  <si>
    <t>Credit per FCEV</t>
  </si>
  <si>
    <t>% of LVMs making PHEV A</t>
  </si>
  <si>
    <t>% of LVMs making PHEV B</t>
  </si>
  <si>
    <t>% of IVMs making PHEV A</t>
  </si>
  <si>
    <t>% of IVMs making PHEV B</t>
  </si>
  <si>
    <t>Label Range PHEV A</t>
  </si>
  <si>
    <t>UDDS Range PHEV A</t>
  </si>
  <si>
    <t>Is PHEV A US 06 capable?</t>
  </si>
  <si>
    <t>NO</t>
  </si>
  <si>
    <t>US 06 Credit</t>
  </si>
  <si>
    <t>Credit per PHEV A PHEV</t>
  </si>
  <si>
    <t>Credit per PHEV A (Corrected for cap)</t>
  </si>
  <si>
    <t>Label Range PHEV B</t>
  </si>
  <si>
    <t>UDDS Range PHEV B</t>
  </si>
  <si>
    <t>Is PHEV B US 06 capable?</t>
  </si>
  <si>
    <t>YES</t>
  </si>
  <si>
    <t>Credit per PHEV</t>
  </si>
  <si>
    <t>Credit per PHEV B (Corrected for cap)</t>
  </si>
  <si>
    <t>CA Vehicle Numbers</t>
  </si>
  <si>
    <t>LVM BEVs</t>
  </si>
  <si>
    <t>LVM FCEVs</t>
  </si>
  <si>
    <t>LVM PHEVs</t>
  </si>
  <si>
    <t>IVM BEVs</t>
  </si>
  <si>
    <t>IVM FCEVs</t>
  </si>
  <si>
    <t>IVM PHEVs</t>
  </si>
  <si>
    <t>Annual BEVs</t>
  </si>
  <si>
    <t>Annual FCEVs</t>
  </si>
  <si>
    <t>Annual PHEVs</t>
  </si>
  <si>
    <t>ZEV + PHEV % of Annual CA LDV Sales</t>
  </si>
  <si>
    <t>Compare to: CA BEVs (no caps or credits factored in)</t>
  </si>
  <si>
    <t>Compare to: CA PHEVs (no caps or redits factored in)</t>
  </si>
  <si>
    <t>Compare to 2012 CA Scenario: FCEVs</t>
  </si>
  <si>
    <t>Compare to 2012 CA Scenario: BEVs</t>
  </si>
  <si>
    <t>Compare to  2012 CA Scenario: PHEVs</t>
  </si>
  <si>
    <t>Sum</t>
  </si>
  <si>
    <t>S177 State Vehicle Numbers</t>
  </si>
  <si>
    <t>ZEV + PHEV % of Annual S177 LDV Sales</t>
  </si>
  <si>
    <t>Compare to: S177 BEVs (no caps or credits factored in)</t>
  </si>
  <si>
    <t>Compare to: S177 PHEVs (no caps or credits factored in)</t>
  </si>
  <si>
    <t>Compare to 2012 S177 Scenario: FCEVs</t>
  </si>
  <si>
    <t>Compare to 2012 S177 Scenario: BEVs</t>
  </si>
  <si>
    <t>Compare to  2012 S177 Scenario: PHEVs</t>
  </si>
  <si>
    <t>https://www.arb.ca.gov/msprog/zevprog/zevcalculator/zevcalculator_2017.xlsx?_ga=2.86455262.715080125.1554731297-1525318673.1505238593</t>
  </si>
  <si>
    <t>imputed additions</t>
  </si>
  <si>
    <t>imputed stock</t>
  </si>
  <si>
    <t>https://www.arb.ca.gov/msprog/zevprog/factsheets/zev_regulation_factsheet_082418.pdf</t>
  </si>
  <si>
    <t>annual imputed</t>
  </si>
  <si>
    <t>Annual sales implied</t>
  </si>
  <si>
    <t>Annual sales implied (millions)</t>
  </si>
  <si>
    <t>Check that adds to row 43</t>
  </si>
  <si>
    <t>per the percentages shown in the table</t>
  </si>
  <si>
    <t>grows at 25% declining 10%</t>
  </si>
  <si>
    <t>after 2030</t>
  </si>
  <si>
    <t xml:space="preserve">Because of the way allocation occurs, via a distribution of prices, these initial max % levels are constraining too tightly.  </t>
  </si>
  <si>
    <t xml:space="preserve">The results are lower than expected as calculated via the BAU method developed above. </t>
  </si>
  <si>
    <t>Specifically the BEV % allowed is increased by the following % over the initially calculated value</t>
  </si>
  <si>
    <t>increase</t>
  </si>
  <si>
    <t>through 2025</t>
  </si>
  <si>
    <t>These three years show an anomalous drop in sales</t>
  </si>
  <si>
    <t>with smoothing of curve to eliminate outlier of lower sales in 2026</t>
  </si>
  <si>
    <t>hold constant 2025-2026-2027</t>
  </si>
  <si>
    <t>calculated max % bounds through 2030</t>
  </si>
  <si>
    <t>A wide range of outcomes is possible.</t>
  </si>
  <si>
    <t>This variable is calibrated to provide some constraints on the rationale, net present value of total cost of ownership calculation.</t>
  </si>
  <si>
    <t xml:space="preserve">Absent such a constraint, electric vehicle adoption races ahead of all but the most optimistic adoption forecasts. </t>
  </si>
  <si>
    <t>It was not within budget to purchase multiple proprietary forecasts, so approximations are used to gather a larger sample.</t>
  </si>
  <si>
    <t>In some cases, it was necessary to estimate data points from visual observation.</t>
  </si>
  <si>
    <t xml:space="preserve">In some cases, interpolation between annual data points is used to fill out the time series. </t>
  </si>
  <si>
    <t xml:space="preserve"> FROM THE META FORECAST -- ZEVs stock  (millions)</t>
  </si>
  <si>
    <t>ZEV stock</t>
  </si>
  <si>
    <t>Smooth out the values across 2026-2028</t>
  </si>
  <si>
    <t>To estimate PHEV fraction of annual ZEV sales, use forecast from AEO</t>
  </si>
  <si>
    <t>To estimate PHEV fraction of annual ZEV sales, use the forecasted from ratio from the AEO 2019.</t>
  </si>
  <si>
    <t>Hard code to avoid circular formula</t>
  </si>
  <si>
    <t>Composite forecast</t>
  </si>
  <si>
    <t>Next10 / Beacon Economics</t>
  </si>
  <si>
    <t>EIA Annual Energy Outlook 2019</t>
  </si>
  <si>
    <t>ARB compliance minimum</t>
  </si>
  <si>
    <t>SP HDV Diesel</t>
  </si>
  <si>
    <t>SP HDV CNG</t>
  </si>
  <si>
    <t>SP HDV Hydrogen FCV</t>
  </si>
  <si>
    <t>SP HDV Battery Electric</t>
  </si>
  <si>
    <t>MDV freight</t>
  </si>
  <si>
    <t>Gasoline Bus</t>
  </si>
  <si>
    <t>Diesel Bus</t>
  </si>
  <si>
    <t>CNG Bus</t>
  </si>
  <si>
    <t>LNG Bus</t>
  </si>
  <si>
    <t>BEV Bus</t>
  </si>
  <si>
    <t>smoothed</t>
  </si>
  <si>
    <t xml:space="preserve">Total </t>
  </si>
  <si>
    <t>smoothed trend</t>
  </si>
  <si>
    <t>original data</t>
  </si>
  <si>
    <t>new values</t>
  </si>
  <si>
    <t>full time series with smoothed value</t>
  </si>
  <si>
    <t>HDV passenger (Bus)</t>
  </si>
  <si>
    <t>Motor vehicles other than LDV passenger</t>
  </si>
  <si>
    <t xml:space="preserve">LDV passenger draws on many sources </t>
  </si>
  <si>
    <t xml:space="preserve"> The parameters were adjusted upwards to  more closely approximate the stock effects expected under adoption at the meta trend or composite forecast rate. </t>
  </si>
  <si>
    <t xml:space="preserve">Explained further below with specific sources identified </t>
  </si>
  <si>
    <t xml:space="preserve">on the tabs reflecting their names </t>
  </si>
  <si>
    <t>Not used, but for background:</t>
  </si>
  <si>
    <t>The California model uses the Pacific region component of the AEO 2019 forecast</t>
  </si>
  <si>
    <t>This national data from AEO 2019 is included for background.</t>
  </si>
  <si>
    <t xml:space="preserve">We were interested in how the national projections for ZEVs compares to the Pacific region forecast. </t>
  </si>
  <si>
    <t>Scoping Plan scenario results</t>
  </si>
  <si>
    <t xml:space="preserve">New sales data </t>
  </si>
  <si>
    <t xml:space="preserve">California Pathways model results </t>
  </si>
  <si>
    <t>Mid value of sales</t>
  </si>
  <si>
    <t>HDV freight</t>
  </si>
  <si>
    <t>As the thumbnail graph shows below, the pattern for non-conventional fuels is somewhat erratic.  While these jumps and plateaus are likely to make</t>
  </si>
  <si>
    <t>sense in the internal logic of Pathways, we do not want to import these sharp changes into the EPS.</t>
  </si>
  <si>
    <t>full time series with smoothed values</t>
  </si>
  <si>
    <t xml:space="preserve">Therefore, the EPS input data modifies to linear paths and lessened variation in local maximum or local minimum values. </t>
  </si>
  <si>
    <t xml:space="preserve">In general, the approach was to first look to the Scoping Plan + 60% RPS scenario in the E3 Caifornia Pathways model, </t>
  </si>
  <si>
    <t xml:space="preserve">and use the levels achieved for new sales of non-conventional fuels </t>
  </si>
  <si>
    <t>Passenger motorbikes</t>
  </si>
  <si>
    <t xml:space="preserve">US Energy Policy Solution Model </t>
  </si>
  <si>
    <t>Nonroad vehicles are limited only to the "reference" or conventional fuel.</t>
  </si>
  <si>
    <t xml:space="preserve">The "E3 CA Pathways Data" tab shows how this is carried out for LDV freight, and HDV motor vehicles. </t>
  </si>
  <si>
    <t>The EPS model does not currently allow for fuel cell vehicles, though hydrogen may be added as a fuel by the end of 2019.</t>
  </si>
  <si>
    <t xml:space="preserve">Where there are fuel cell vehicles in the Pathways data, these are combined with battery electric vehicles for a combined zero emission vehicle count. </t>
  </si>
  <si>
    <t xml:space="preserve">A different approach was taken for LDV psg vehicles. </t>
  </si>
  <si>
    <t>A "composite forecast" is developed (as shown as a chart at the tab "Chart composite and inputs")</t>
  </si>
  <si>
    <t>It draws on a wide range of forecasts, ranging from pessimistic to optimistic.</t>
  </si>
  <si>
    <t xml:space="preserve">We chose to only allow for vehicles include in the California Pathways selected or in-use technologies. </t>
  </si>
  <si>
    <t xml:space="preserve">So, no plug-in hybrid freight trucks are allowed. </t>
  </si>
  <si>
    <t>Neither diesel nor natural gas fueled LDV passenger vehicles are allowed.</t>
  </si>
  <si>
    <t xml:space="preserve">Absent such bounds, the model, argubaly, over deploys ZEVs in the BAU. </t>
  </si>
  <si>
    <t>In part, this constraint reflects convenience issues which will need to be overcome to move from early enthusiasts to mass adoption.</t>
  </si>
  <si>
    <t>Each of the tabs has a descriptive name, providing more information about the input forecasts.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</si>
</sst>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
    <numFmt numFmtId="166" formatCode="#,##0.0"/>
    <numFmt numFmtId="167" formatCode="0.0"/>
    <numFmt numFmtId="168" formatCode="0.000000"/>
    <numFmt numFmtId="169" formatCode="_(* #,##0_);_(* \(#,##0\);_(* &quot;-&quot;??_);_(@_)"/>
    <numFmt numFmtId="170" formatCode="_(* #,##0_);_(* \(#,##0\);_(* &quot;-&quot;?_);_(@_)"/>
    <numFmt numFmtId="171" formatCode="0.000"/>
    <numFmt numFmtId="172" formatCode="0.000%"/>
  </numFmts>
  <fonts count="22"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i/>
      <sz val="11"/>
      <color theme="1"/>
      <name val="Calibri"/>
      <family val="2"/>
      <scheme val="minor"/>
    </font>
    <font>
      <sz val="11"/>
      <color theme="1"/>
      <name val="Calibri"/>
      <family val="2"/>
      <scheme val="minor"/>
    </font>
    <font>
      <u/>
      <sz val="11"/>
      <color theme="10"/>
      <name val="Calibri"/>
      <family val="2"/>
      <scheme val="minor"/>
    </font>
    <font>
      <sz val="9"/>
      <color rgb="FF001E20"/>
      <name val="Helvetica"/>
      <family val="2"/>
    </font>
    <font>
      <sz val="11"/>
      <color rgb="FFFF0000"/>
      <name val="Calibri"/>
      <family val="2"/>
      <scheme val="minor"/>
    </font>
    <font>
      <b/>
      <sz val="12"/>
      <color rgb="FF008000"/>
      <name val="Arial"/>
      <family val="2"/>
    </font>
    <font>
      <b/>
      <sz val="10"/>
      <name val="Arial"/>
      <family val="2"/>
    </font>
    <font>
      <sz val="14"/>
      <color rgb="FF4D4D4D"/>
      <name val="Open Sans"/>
      <family val="2"/>
    </font>
    <font>
      <sz val="11"/>
      <name val="Calibri"/>
      <family val="2"/>
      <scheme val="minor"/>
    </font>
    <font>
      <sz val="11"/>
      <color theme="0"/>
      <name val="Calibri"/>
      <family val="2"/>
      <scheme val="minor"/>
    </font>
    <font>
      <b/>
      <i/>
      <sz val="11"/>
      <color theme="1"/>
      <name val="Calibri"/>
      <family val="2"/>
      <scheme val="minor"/>
    </font>
    <font>
      <sz val="11"/>
      <color theme="0" tint="-0.34998626667073579"/>
      <name val="Calibri"/>
      <family val="2"/>
      <scheme val="minor"/>
    </font>
    <font>
      <sz val="9"/>
      <color theme="1"/>
      <name val="Calibri"/>
      <family val="2"/>
      <scheme val="minor"/>
    </font>
    <font>
      <sz val="11"/>
      <color rgb="FF000000"/>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theme="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8"/>
        <bgColor indexed="64"/>
      </patternFill>
    </fill>
  </fills>
  <borders count="3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11">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9" fontId="9" fillId="0" borderId="0" applyFont="0" applyFill="0" applyBorder="0" applyAlignment="0" applyProtection="0"/>
    <xf numFmtId="43" fontId="9" fillId="0" borderId="0" applyFont="0" applyFill="0" applyBorder="0" applyAlignment="0" applyProtection="0"/>
    <xf numFmtId="0" fontId="10" fillId="0" borderId="0" applyNumberFormat="0" applyFill="0" applyBorder="0" applyAlignment="0" applyProtection="0"/>
  </cellStyleXfs>
  <cellXfs count="313">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64" fontId="4" fillId="0" borderId="2" xfId="3" applyNumberFormat="1" applyFill="1" applyAlignment="1">
      <alignment horizontal="right" wrapText="1"/>
    </xf>
    <xf numFmtId="0" fontId="4" fillId="0" borderId="2" xfId="3" applyFont="1" applyFill="1" applyBorder="1" applyAlignment="1">
      <alignment wrapText="1"/>
    </xf>
    <xf numFmtId="164"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6" applyFont="1"/>
    <xf numFmtId="0" fontId="6" fillId="0" borderId="0" xfId="7" applyFont="1" applyFill="1" applyBorder="1" applyAlignment="1">
      <alignment horizontal="left"/>
    </xf>
    <xf numFmtId="165" fontId="0" fillId="0" borderId="0" xfId="0" applyNumberFormat="1"/>
    <xf numFmtId="0" fontId="0" fillId="0" borderId="0" xfId="0" applyAlignment="1">
      <alignment horizontal="left"/>
    </xf>
    <xf numFmtId="0" fontId="0" fillId="0" borderId="5" xfId="0" applyBorder="1"/>
    <xf numFmtId="166" fontId="0" fillId="0" borderId="3" xfId="4" applyNumberFormat="1" applyFont="1" applyFill="1" applyAlignment="1">
      <alignment horizontal="right" wrapText="1"/>
    </xf>
    <xf numFmtId="166" fontId="4" fillId="0" borderId="2" xfId="3" applyNumberFormat="1" applyFill="1" applyAlignment="1">
      <alignment horizontal="right" wrapText="1"/>
    </xf>
    <xf numFmtId="1" fontId="0" fillId="0" borderId="0" xfId="0" applyNumberFormat="1"/>
    <xf numFmtId="0" fontId="0" fillId="0" borderId="0" xfId="0" applyFill="1"/>
    <xf numFmtId="1" fontId="0" fillId="0" borderId="0" xfId="0" applyNumberFormat="1" applyFill="1"/>
    <xf numFmtId="0" fontId="0" fillId="0" borderId="0" xfId="0" applyNumberFormat="1"/>
    <xf numFmtId="0" fontId="0" fillId="0" borderId="0" xfId="0" applyFill="1" applyBorder="1"/>
    <xf numFmtId="0" fontId="0" fillId="0" borderId="0" xfId="0" applyBorder="1"/>
    <xf numFmtId="0" fontId="0" fillId="2" borderId="0" xfId="0" applyFill="1" applyAlignment="1">
      <alignment horizontal="right"/>
    </xf>
    <xf numFmtId="0" fontId="0" fillId="0" borderId="0" xfId="0" applyAlignment="1">
      <alignment horizontal="right"/>
    </xf>
    <xf numFmtId="0" fontId="0" fillId="0" borderId="5" xfId="0" applyBorder="1" applyAlignment="1">
      <alignment horizontal="right"/>
    </xf>
    <xf numFmtId="0" fontId="0" fillId="0" borderId="9" xfId="0" applyBorder="1"/>
    <xf numFmtId="0" fontId="0" fillId="0" borderId="11" xfId="0" applyBorder="1"/>
    <xf numFmtId="0" fontId="0" fillId="0" borderId="8" xfId="0" applyBorder="1" applyAlignment="1">
      <alignment horizontal="right"/>
    </xf>
    <xf numFmtId="0" fontId="0" fillId="0" borderId="10" xfId="0" applyBorder="1" applyAlignment="1">
      <alignment horizontal="right"/>
    </xf>
    <xf numFmtId="0" fontId="0" fillId="4" borderId="6" xfId="0" applyFill="1" applyBorder="1"/>
    <xf numFmtId="0" fontId="0" fillId="4" borderId="7" xfId="0" applyFill="1" applyBorder="1"/>
    <xf numFmtId="0" fontId="0" fillId="4" borderId="0" xfId="0" applyFill="1"/>
    <xf numFmtId="0" fontId="1" fillId="4" borderId="0" xfId="0" applyFont="1" applyFill="1"/>
    <xf numFmtId="9" fontId="0" fillId="0" borderId="0" xfId="8" applyFont="1"/>
    <xf numFmtId="11" fontId="0" fillId="0" borderId="0" xfId="0" applyNumberFormat="1"/>
    <xf numFmtId="10" fontId="0" fillId="0" borderId="0" xfId="8" applyNumberFormat="1" applyFont="1"/>
    <xf numFmtId="2" fontId="0" fillId="0" borderId="0" xfId="8" applyNumberFormat="1" applyFont="1"/>
    <xf numFmtId="168" fontId="0" fillId="0" borderId="0" xfId="8" applyNumberFormat="1" applyFont="1"/>
    <xf numFmtId="168" fontId="0" fillId="0" borderId="0" xfId="0" applyNumberFormat="1"/>
    <xf numFmtId="0" fontId="0" fillId="0" borderId="0" xfId="0" applyFont="1"/>
    <xf numFmtId="0" fontId="7" fillId="0" borderId="0" xfId="0" applyFont="1"/>
    <xf numFmtId="0" fontId="5" fillId="0" borderId="0" xfId="0" applyFont="1"/>
    <xf numFmtId="0" fontId="0" fillId="0" borderId="0" xfId="0" applyAlignment="1" applyProtection="1">
      <alignment horizontal="left"/>
    </xf>
    <xf numFmtId="0" fontId="3" fillId="0" borderId="0" xfId="0" applyFont="1"/>
    <xf numFmtId="169" fontId="0" fillId="0" borderId="0" xfId="9" applyNumberFormat="1" applyFont="1"/>
    <xf numFmtId="0" fontId="0" fillId="0" borderId="0" xfId="0" applyBorder="1" applyAlignment="1">
      <alignment horizontal="right"/>
    </xf>
    <xf numFmtId="0" fontId="0" fillId="0" borderId="0" xfId="0" applyAlignment="1"/>
    <xf numFmtId="0" fontId="10" fillId="0" borderId="0" xfId="10"/>
    <xf numFmtId="0" fontId="11" fillId="0" borderId="0" xfId="0" applyFont="1"/>
    <xf numFmtId="3" fontId="0" fillId="0" borderId="0" xfId="0" applyNumberFormat="1"/>
    <xf numFmtId="0" fontId="10" fillId="0" borderId="0" xfId="10" applyAlignment="1">
      <alignment vertical="center"/>
    </xf>
    <xf numFmtId="169" fontId="0" fillId="0" borderId="0" xfId="0" applyNumberFormat="1"/>
    <xf numFmtId="0" fontId="0" fillId="5" borderId="0" xfId="0" applyFill="1"/>
    <xf numFmtId="0" fontId="12" fillId="0" borderId="0" xfId="0" applyFont="1"/>
    <xf numFmtId="10" fontId="0" fillId="0" borderId="0" xfId="0" applyNumberFormat="1"/>
    <xf numFmtId="0" fontId="13" fillId="0" borderId="0" xfId="0" applyFont="1"/>
    <xf numFmtId="0" fontId="14" fillId="0" borderId="12" xfId="0" applyFont="1" applyBorder="1"/>
    <xf numFmtId="0" fontId="14" fillId="0" borderId="12" xfId="0" applyFont="1" applyBorder="1" applyAlignment="1">
      <alignment horizontal="center"/>
    </xf>
    <xf numFmtId="9" fontId="0" fillId="0" borderId="0" xfId="8" applyFont="1" applyAlignment="1">
      <alignment horizontal="center"/>
    </xf>
    <xf numFmtId="9" fontId="0" fillId="0" borderId="0" xfId="0" applyNumberFormat="1" applyAlignment="1">
      <alignment horizontal="center"/>
    </xf>
    <xf numFmtId="0" fontId="0" fillId="6" borderId="0" xfId="0" applyFill="1"/>
    <xf numFmtId="0" fontId="0" fillId="7" borderId="0" xfId="0" applyFill="1"/>
    <xf numFmtId="0" fontId="15" fillId="0" borderId="0" xfId="0" applyFont="1"/>
    <xf numFmtId="0" fontId="16" fillId="0" borderId="0" xfId="10" applyFont="1"/>
    <xf numFmtId="169" fontId="0" fillId="0" borderId="0" xfId="9" applyNumberFormat="1" applyFont="1" applyFill="1"/>
    <xf numFmtId="170" fontId="0" fillId="0" borderId="0" xfId="0" applyNumberFormat="1"/>
    <xf numFmtId="43" fontId="0" fillId="0" borderId="0" xfId="9" applyFont="1"/>
    <xf numFmtId="0" fontId="0" fillId="10" borderId="0" xfId="0" applyFill="1"/>
    <xf numFmtId="2" fontId="0" fillId="10" borderId="0" xfId="0" applyNumberFormat="1" applyFill="1"/>
    <xf numFmtId="43" fontId="0" fillId="0" borderId="0" xfId="9" applyNumberFormat="1" applyFont="1"/>
    <xf numFmtId="167" fontId="0" fillId="0" borderId="0" xfId="0" applyNumberFormat="1"/>
    <xf numFmtId="9" fontId="0" fillId="0" borderId="0" xfId="0" applyNumberFormat="1"/>
    <xf numFmtId="43" fontId="0" fillId="0" borderId="0" xfId="0" applyNumberFormat="1"/>
    <xf numFmtId="0" fontId="18" fillId="12" borderId="0" xfId="0" applyFont="1" applyFill="1" applyAlignment="1">
      <alignment horizontal="center"/>
    </xf>
    <xf numFmtId="0" fontId="1" fillId="12" borderId="0" xfId="0" applyFont="1" applyFill="1" applyAlignment="1">
      <alignment horizontal="center"/>
    </xf>
    <xf numFmtId="0" fontId="1" fillId="13" borderId="0" xfId="0" applyFont="1" applyFill="1" applyAlignment="1">
      <alignment horizontal="center"/>
    </xf>
    <xf numFmtId="0" fontId="0" fillId="5" borderId="13" xfId="0" applyFill="1" applyBorder="1"/>
    <xf numFmtId="169" fontId="0" fillId="5" borderId="14" xfId="9" applyNumberFormat="1" applyFont="1" applyFill="1" applyBorder="1"/>
    <xf numFmtId="169" fontId="0" fillId="13" borderId="15" xfId="9" applyNumberFormat="1" applyFont="1" applyFill="1" applyBorder="1"/>
    <xf numFmtId="0" fontId="0" fillId="0" borderId="16" xfId="0" applyBorder="1" applyAlignment="1">
      <alignment horizontal="center"/>
    </xf>
    <xf numFmtId="4" fontId="12" fillId="0" borderId="0" xfId="0" applyNumberFormat="1" applyFont="1"/>
    <xf numFmtId="0" fontId="0" fillId="5" borderId="17" xfId="0" applyFill="1" applyBorder="1"/>
    <xf numFmtId="169" fontId="0" fillId="5" borderId="15" xfId="9" applyNumberFormat="1" applyFont="1" applyFill="1" applyBorder="1"/>
    <xf numFmtId="164" fontId="0" fillId="0" borderId="18" xfId="0" applyNumberFormat="1" applyBorder="1"/>
    <xf numFmtId="10" fontId="12" fillId="0" borderId="0" xfId="0" applyNumberFormat="1" applyFont="1"/>
    <xf numFmtId="164" fontId="0" fillId="0" borderId="19" xfId="0" applyNumberFormat="1" applyBorder="1"/>
    <xf numFmtId="0" fontId="0" fillId="5" borderId="20" xfId="0" applyFill="1" applyBorder="1"/>
    <xf numFmtId="9" fontId="0" fillId="5" borderId="14" xfId="8" applyFont="1" applyFill="1" applyBorder="1"/>
    <xf numFmtId="9" fontId="0" fillId="13" borderId="14" xfId="8" applyFont="1" applyFill="1" applyBorder="1"/>
    <xf numFmtId="9" fontId="12" fillId="0" borderId="0" xfId="0" applyNumberFormat="1" applyFont="1"/>
    <xf numFmtId="169" fontId="0" fillId="13" borderId="14" xfId="9" applyNumberFormat="1" applyFont="1" applyFill="1" applyBorder="1"/>
    <xf numFmtId="0" fontId="19" fillId="0" borderId="0" xfId="0" applyFont="1"/>
    <xf numFmtId="0" fontId="0" fillId="5" borderId="21" xfId="0" applyFill="1" applyBorder="1"/>
    <xf numFmtId="0" fontId="18" fillId="14" borderId="14" xfId="0" applyFont="1" applyFill="1" applyBorder="1" applyAlignment="1">
      <alignment horizontal="center"/>
    </xf>
    <xf numFmtId="0" fontId="0" fillId="14" borderId="14" xfId="0" applyFill="1" applyBorder="1"/>
    <xf numFmtId="0" fontId="0" fillId="13" borderId="14" xfId="0" applyFill="1" applyBorder="1"/>
    <xf numFmtId="0" fontId="0" fillId="10" borderId="17" xfId="0" applyFill="1" applyBorder="1" applyAlignment="1">
      <alignment horizontal="left"/>
    </xf>
    <xf numFmtId="164" fontId="16" fillId="10" borderId="14" xfId="8" applyNumberFormat="1" applyFont="1" applyFill="1" applyBorder="1"/>
    <xf numFmtId="164" fontId="0" fillId="10" borderId="14" xfId="8" applyNumberFormat="1" applyFont="1" applyFill="1" applyBorder="1"/>
    <xf numFmtId="164" fontId="0" fillId="13" borderId="14" xfId="8" applyNumberFormat="1" applyFont="1" applyFill="1" applyBorder="1"/>
    <xf numFmtId="164" fontId="12" fillId="0" borderId="0" xfId="0" applyNumberFormat="1" applyFont="1"/>
    <xf numFmtId="0" fontId="0" fillId="10" borderId="15" xfId="0" applyFill="1" applyBorder="1"/>
    <xf numFmtId="164" fontId="0" fillId="10" borderId="15" xfId="8" applyNumberFormat="1" applyFont="1" applyFill="1" applyBorder="1"/>
    <xf numFmtId="164" fontId="0" fillId="13" borderId="15" xfId="8" applyNumberFormat="1" applyFont="1" applyFill="1" applyBorder="1"/>
    <xf numFmtId="0" fontId="0" fillId="15" borderId="16" xfId="0" applyFill="1" applyBorder="1" applyAlignment="1">
      <alignment horizontal="center"/>
    </xf>
    <xf numFmtId="169" fontId="0" fillId="10" borderId="14" xfId="9" applyNumberFormat="1" applyFont="1" applyFill="1" applyBorder="1"/>
    <xf numFmtId="169" fontId="0" fillId="10" borderId="15" xfId="9" applyNumberFormat="1" applyFont="1" applyFill="1" applyBorder="1"/>
    <xf numFmtId="43" fontId="0" fillId="13" borderId="15" xfId="9" applyNumberFormat="1" applyFont="1" applyFill="1" applyBorder="1"/>
    <xf numFmtId="169" fontId="0" fillId="15" borderId="22" xfId="0" applyNumberFormat="1" applyFill="1" applyBorder="1"/>
    <xf numFmtId="0" fontId="0" fillId="10" borderId="14" xfId="0" applyFill="1" applyBorder="1"/>
    <xf numFmtId="43" fontId="0" fillId="13" borderId="14" xfId="9" applyNumberFormat="1" applyFont="1" applyFill="1" applyBorder="1"/>
    <xf numFmtId="169" fontId="0" fillId="10" borderId="14" xfId="0" applyNumberFormat="1" applyFill="1" applyBorder="1"/>
    <xf numFmtId="169" fontId="0" fillId="13" borderId="14" xfId="0" applyNumberFormat="1" applyFill="1" applyBorder="1"/>
    <xf numFmtId="0" fontId="0" fillId="10" borderId="23" xfId="0" applyFill="1" applyBorder="1"/>
    <xf numFmtId="169" fontId="0" fillId="10" borderId="23" xfId="0" applyNumberFormat="1" applyFill="1" applyBorder="1"/>
    <xf numFmtId="169" fontId="0" fillId="10" borderId="24" xfId="0" applyNumberFormat="1" applyFill="1" applyBorder="1"/>
    <xf numFmtId="169" fontId="0" fillId="13" borderId="15" xfId="0" applyNumberFormat="1" applyFill="1" applyBorder="1"/>
    <xf numFmtId="169" fontId="0" fillId="15" borderId="19" xfId="0" applyNumberFormat="1" applyFill="1" applyBorder="1"/>
    <xf numFmtId="0" fontId="18" fillId="16" borderId="15" xfId="0" applyFont="1" applyFill="1" applyBorder="1" applyAlignment="1">
      <alignment horizontal="center"/>
    </xf>
    <xf numFmtId="0" fontId="0" fillId="16" borderId="25" xfId="0" applyFill="1" applyBorder="1"/>
    <xf numFmtId="0" fontId="0" fillId="16" borderId="26" xfId="0" applyFill="1" applyBorder="1"/>
    <xf numFmtId="0" fontId="0" fillId="16" borderId="27" xfId="0" applyFill="1" applyBorder="1"/>
    <xf numFmtId="0" fontId="0" fillId="13" borderId="0" xfId="0" applyFill="1"/>
    <xf numFmtId="0" fontId="8" fillId="17" borderId="28" xfId="0" applyFont="1" applyFill="1" applyBorder="1" applyAlignment="1">
      <alignment horizontal="center"/>
    </xf>
    <xf numFmtId="9" fontId="0" fillId="3" borderId="16" xfId="8" applyFont="1" applyFill="1" applyBorder="1" applyAlignment="1" applyProtection="1">
      <alignment horizontal="center"/>
      <protection locked="0"/>
    </xf>
    <xf numFmtId="9" fontId="0" fillId="17" borderId="29" xfId="8" applyFont="1" applyFill="1" applyBorder="1"/>
    <xf numFmtId="9" fontId="0" fillId="17" borderId="30" xfId="8" applyFont="1" applyFill="1" applyBorder="1"/>
    <xf numFmtId="9" fontId="0" fillId="5" borderId="30" xfId="8" applyFont="1" applyFill="1" applyBorder="1"/>
    <xf numFmtId="0" fontId="16" fillId="17" borderId="14" xfId="0" applyFont="1" applyFill="1" applyBorder="1" applyAlignment="1">
      <alignment horizontal="left"/>
    </xf>
    <xf numFmtId="164" fontId="9" fillId="17" borderId="30" xfId="8" applyNumberFormat="1" applyFont="1" applyFill="1" applyBorder="1" applyAlignment="1">
      <alignment horizontal="right"/>
    </xf>
    <xf numFmtId="164" fontId="9" fillId="17" borderId="14" xfId="8" applyNumberFormat="1" applyFont="1" applyFill="1" applyBorder="1" applyAlignment="1">
      <alignment horizontal="right"/>
    </xf>
    <xf numFmtId="164" fontId="9" fillId="5" borderId="14" xfId="8" applyNumberFormat="1" applyFont="1" applyFill="1" applyBorder="1" applyAlignment="1">
      <alignment horizontal="right"/>
    </xf>
    <xf numFmtId="164" fontId="9" fillId="13" borderId="14" xfId="8" applyNumberFormat="1" applyFont="1" applyFill="1" applyBorder="1" applyAlignment="1">
      <alignment horizontal="left"/>
    </xf>
    <xf numFmtId="0" fontId="0" fillId="17" borderId="14" xfId="0" applyFont="1" applyFill="1" applyBorder="1" applyAlignment="1">
      <alignment horizontal="left"/>
    </xf>
    <xf numFmtId="10" fontId="9" fillId="17" borderId="14" xfId="8" applyNumberFormat="1" applyFont="1" applyFill="1" applyBorder="1" applyAlignment="1">
      <alignment horizontal="right"/>
    </xf>
    <xf numFmtId="164" fontId="9" fillId="13" borderId="14" xfId="8" applyNumberFormat="1" applyFont="1" applyFill="1" applyBorder="1" applyAlignment="1">
      <alignment horizontal="right"/>
    </xf>
    <xf numFmtId="164" fontId="0" fillId="17" borderId="14" xfId="0" applyNumberFormat="1" applyFont="1" applyFill="1" applyBorder="1" applyAlignment="1">
      <alignment horizontal="right"/>
    </xf>
    <xf numFmtId="164" fontId="0" fillId="13" borderId="14" xfId="0" applyNumberFormat="1" applyFont="1" applyFill="1" applyBorder="1" applyAlignment="1">
      <alignment horizontal="right"/>
    </xf>
    <xf numFmtId="0" fontId="0" fillId="17" borderId="31" xfId="0" applyFont="1" applyFill="1" applyBorder="1" applyAlignment="1">
      <alignment horizontal="left"/>
    </xf>
    <xf numFmtId="164" fontId="0" fillId="17" borderId="14" xfId="0" applyNumberFormat="1" applyFill="1" applyBorder="1" applyAlignment="1">
      <alignment horizontal="right"/>
    </xf>
    <xf numFmtId="164" fontId="0" fillId="13" borderId="14" xfId="0" applyNumberFormat="1" applyFill="1" applyBorder="1" applyAlignment="1">
      <alignment horizontal="right"/>
    </xf>
    <xf numFmtId="0" fontId="0" fillId="15" borderId="32" xfId="0" applyFill="1" applyBorder="1" applyAlignment="1">
      <alignment horizontal="center"/>
    </xf>
    <xf numFmtId="0" fontId="0" fillId="17" borderId="14" xfId="0" applyFill="1" applyBorder="1"/>
    <xf numFmtId="169" fontId="0" fillId="17" borderId="14" xfId="0" applyNumberFormat="1" applyFill="1" applyBorder="1"/>
    <xf numFmtId="169" fontId="0" fillId="15" borderId="9" xfId="0" applyNumberFormat="1" applyFill="1" applyBorder="1"/>
    <xf numFmtId="169" fontId="0" fillId="15" borderId="11" xfId="0" applyNumberFormat="1" applyFill="1" applyBorder="1"/>
    <xf numFmtId="0" fontId="18" fillId="9" borderId="24" xfId="0" applyFont="1" applyFill="1" applyBorder="1" applyAlignment="1">
      <alignment horizontal="center"/>
    </xf>
    <xf numFmtId="0" fontId="0" fillId="9" borderId="25" xfId="0" applyFill="1" applyBorder="1"/>
    <xf numFmtId="0" fontId="0" fillId="9" borderId="33" xfId="0" applyFill="1" applyBorder="1"/>
    <xf numFmtId="0" fontId="8" fillId="3" borderId="24" xfId="0" applyFont="1" applyFill="1" applyBorder="1" applyAlignment="1">
      <alignment horizontal="center"/>
    </xf>
    <xf numFmtId="9" fontId="0" fillId="3" borderId="16" xfId="0" applyNumberFormat="1" applyFill="1" applyBorder="1" applyAlignment="1" applyProtection="1">
      <alignment horizontal="center"/>
      <protection locked="0"/>
    </xf>
    <xf numFmtId="9" fontId="0" fillId="11" borderId="27" xfId="0" applyNumberFormat="1" applyFill="1" applyBorder="1"/>
    <xf numFmtId="9" fontId="0" fillId="11" borderId="14" xfId="0" applyNumberFormat="1" applyFill="1" applyBorder="1"/>
    <xf numFmtId="0" fontId="0" fillId="11" borderId="14" xfId="0" applyFill="1" applyBorder="1"/>
    <xf numFmtId="9" fontId="0" fillId="11" borderId="30" xfId="0" applyNumberFormat="1" applyFill="1" applyBorder="1"/>
    <xf numFmtId="169" fontId="0" fillId="11" borderId="14" xfId="0" applyNumberFormat="1" applyFill="1" applyBorder="1"/>
    <xf numFmtId="0" fontId="18" fillId="18" borderId="24" xfId="0" applyFont="1" applyFill="1" applyBorder="1" applyAlignment="1">
      <alignment horizontal="center"/>
    </xf>
    <xf numFmtId="0" fontId="0" fillId="18" borderId="25" xfId="0" applyFill="1" applyBorder="1"/>
    <xf numFmtId="0" fontId="0" fillId="18" borderId="33" xfId="0" applyFill="1" applyBorder="1"/>
    <xf numFmtId="0" fontId="0" fillId="19" borderId="14" xfId="0" applyFill="1" applyBorder="1"/>
    <xf numFmtId="9" fontId="0" fillId="19" borderId="14" xfId="0" applyNumberFormat="1" applyFill="1" applyBorder="1"/>
    <xf numFmtId="169" fontId="0" fillId="19" borderId="14" xfId="0" applyNumberFormat="1" applyFill="1" applyBorder="1"/>
    <xf numFmtId="0" fontId="0" fillId="19" borderId="23" xfId="0" applyFill="1" applyBorder="1"/>
    <xf numFmtId="169" fontId="0" fillId="19" borderId="23" xfId="0" applyNumberFormat="1" applyFill="1" applyBorder="1"/>
    <xf numFmtId="0" fontId="18" fillId="20" borderId="15" xfId="0" applyFont="1" applyFill="1" applyBorder="1" applyAlignment="1">
      <alignment horizontal="center"/>
    </xf>
    <xf numFmtId="0" fontId="16" fillId="20" borderId="25" xfId="0" applyFont="1" applyFill="1" applyBorder="1"/>
    <xf numFmtId="0" fontId="16" fillId="20" borderId="26" xfId="0" applyFont="1" applyFill="1" applyBorder="1"/>
    <xf numFmtId="0" fontId="16" fillId="20" borderId="27" xfId="0" applyFont="1" applyFill="1" applyBorder="1"/>
    <xf numFmtId="0" fontId="8" fillId="3" borderId="28" xfId="0" applyFont="1" applyFill="1" applyBorder="1" applyAlignment="1">
      <alignment horizontal="center"/>
    </xf>
    <xf numFmtId="9" fontId="16" fillId="3" borderId="16" xfId="0" applyNumberFormat="1" applyFont="1" applyFill="1" applyBorder="1" applyAlignment="1" applyProtection="1">
      <alignment horizontal="center"/>
      <protection locked="0"/>
    </xf>
    <xf numFmtId="9" fontId="16" fillId="21" borderId="29" xfId="0" applyNumberFormat="1" applyFont="1" applyFill="1" applyBorder="1" applyAlignment="1">
      <alignment horizontal="right"/>
    </xf>
    <xf numFmtId="9" fontId="16" fillId="21" borderId="30" xfId="0" applyNumberFormat="1" applyFont="1" applyFill="1" applyBorder="1" applyAlignment="1">
      <alignment horizontal="right"/>
    </xf>
    <xf numFmtId="0" fontId="8" fillId="3" borderId="15" xfId="0" applyFont="1" applyFill="1" applyBorder="1" applyAlignment="1">
      <alignment horizontal="center"/>
    </xf>
    <xf numFmtId="9" fontId="16" fillId="21" borderId="27" xfId="0" applyNumberFormat="1" applyFont="1" applyFill="1" applyBorder="1" applyAlignment="1">
      <alignment horizontal="right"/>
    </xf>
    <xf numFmtId="9" fontId="16" fillId="21" borderId="14" xfId="0" applyNumberFormat="1" applyFont="1" applyFill="1" applyBorder="1" applyAlignment="1">
      <alignment horizontal="right"/>
    </xf>
    <xf numFmtId="0" fontId="0" fillId="21" borderId="15" xfId="0" applyFill="1" applyBorder="1"/>
    <xf numFmtId="9" fontId="0" fillId="21" borderId="15" xfId="8" applyFont="1" applyFill="1" applyBorder="1"/>
    <xf numFmtId="9" fontId="0" fillId="21" borderId="14" xfId="8" applyFont="1" applyFill="1" applyBorder="1"/>
    <xf numFmtId="0" fontId="0" fillId="21" borderId="14" xfId="0" applyFill="1" applyBorder="1"/>
    <xf numFmtId="169" fontId="0" fillId="21" borderId="28" xfId="0" applyNumberFormat="1" applyFill="1" applyBorder="1"/>
    <xf numFmtId="169" fontId="0" fillId="21" borderId="14" xfId="0" applyNumberFormat="1" applyFill="1" applyBorder="1"/>
    <xf numFmtId="169" fontId="17" fillId="0" borderId="0" xfId="0" applyNumberFormat="1" applyFont="1"/>
    <xf numFmtId="0" fontId="17" fillId="0" borderId="0" xfId="0" applyFont="1"/>
    <xf numFmtId="0" fontId="0" fillId="21" borderId="23" xfId="0" applyFill="1" applyBorder="1"/>
    <xf numFmtId="169" fontId="0" fillId="21" borderId="23" xfId="0" applyNumberFormat="1" applyFill="1" applyBorder="1"/>
    <xf numFmtId="0" fontId="18" fillId="22" borderId="15" xfId="0" applyFont="1" applyFill="1" applyBorder="1" applyAlignment="1">
      <alignment horizontal="center"/>
    </xf>
    <xf numFmtId="0" fontId="0" fillId="22" borderId="26" xfId="0" applyFill="1" applyBorder="1"/>
    <xf numFmtId="0" fontId="0" fillId="22" borderId="27" xfId="0" applyFill="1" applyBorder="1"/>
    <xf numFmtId="0" fontId="0" fillId="23" borderId="30" xfId="0" applyFill="1" applyBorder="1"/>
    <xf numFmtId="9" fontId="0" fillId="23" borderId="30" xfId="0" applyNumberFormat="1" applyFill="1" applyBorder="1"/>
    <xf numFmtId="0" fontId="0" fillId="23" borderId="14" xfId="0" applyFill="1" applyBorder="1"/>
    <xf numFmtId="169" fontId="0" fillId="23" borderId="14" xfId="0" applyNumberFormat="1" applyFill="1" applyBorder="1"/>
    <xf numFmtId="9" fontId="0" fillId="23" borderId="14" xfId="8" applyFont="1" applyFill="1" applyBorder="1"/>
    <xf numFmtId="0" fontId="18" fillId="24" borderId="31" xfId="0" applyFont="1" applyFill="1" applyBorder="1" applyAlignment="1">
      <alignment horizontal="center"/>
    </xf>
    <xf numFmtId="0" fontId="20" fillId="24" borderId="23" xfId="0" applyFont="1" applyFill="1" applyBorder="1" applyAlignment="1">
      <alignment horizontal="center"/>
    </xf>
    <xf numFmtId="0" fontId="0" fillId="3" borderId="34" xfId="0" applyFill="1" applyBorder="1"/>
    <xf numFmtId="3" fontId="21" fillId="3" borderId="16" xfId="0" applyNumberFormat="1" applyFont="1" applyFill="1" applyBorder="1" applyAlignment="1" applyProtection="1">
      <alignment horizontal="center" vertical="center" wrapText="1"/>
      <protection locked="0"/>
    </xf>
    <xf numFmtId="169" fontId="0" fillId="8" borderId="26" xfId="0" applyNumberFormat="1" applyFill="1" applyBorder="1"/>
    <xf numFmtId="9" fontId="0" fillId="3" borderId="18" xfId="8" applyFont="1" applyFill="1" applyBorder="1" applyAlignment="1" applyProtection="1">
      <alignment horizontal="center"/>
      <protection locked="0"/>
    </xf>
    <xf numFmtId="1" fontId="0" fillId="8" borderId="20" xfId="0" applyNumberFormat="1" applyFill="1" applyBorder="1"/>
    <xf numFmtId="169" fontId="0" fillId="8" borderId="35" xfId="0" applyNumberFormat="1" applyFill="1" applyBorder="1"/>
    <xf numFmtId="1" fontId="12" fillId="0" borderId="0" xfId="0" applyNumberFormat="1" applyFont="1"/>
    <xf numFmtId="3" fontId="21" fillId="3" borderId="19" xfId="0" applyNumberFormat="1" applyFont="1" applyFill="1" applyBorder="1" applyAlignment="1" applyProtection="1">
      <alignment horizontal="center" vertical="center" wrapText="1"/>
      <protection locked="0"/>
    </xf>
    <xf numFmtId="0" fontId="0" fillId="8" borderId="0" xfId="0" applyFill="1" applyBorder="1"/>
    <xf numFmtId="0" fontId="0" fillId="25" borderId="14" xfId="0" applyFill="1" applyBorder="1"/>
    <xf numFmtId="9" fontId="0" fillId="25" borderId="30" xfId="8" applyFont="1" applyFill="1" applyBorder="1"/>
    <xf numFmtId="9" fontId="0" fillId="25" borderId="14" xfId="8" applyFont="1" applyFill="1" applyBorder="1"/>
    <xf numFmtId="169" fontId="0" fillId="25" borderId="14" xfId="0" applyNumberFormat="1" applyFill="1" applyBorder="1"/>
    <xf numFmtId="43" fontId="17" fillId="0" borderId="0" xfId="0" applyNumberFormat="1" applyFont="1"/>
    <xf numFmtId="43" fontId="16" fillId="0" borderId="0" xfId="0" applyNumberFormat="1" applyFont="1"/>
    <xf numFmtId="0" fontId="18" fillId="26" borderId="0" xfId="0" applyFont="1" applyFill="1" applyBorder="1" applyAlignment="1">
      <alignment horizontal="center"/>
    </xf>
    <xf numFmtId="0" fontId="20" fillId="26" borderId="23" xfId="0" applyFont="1" applyFill="1" applyBorder="1" applyAlignment="1">
      <alignment horizontal="center"/>
    </xf>
    <xf numFmtId="43" fontId="19" fillId="0" borderId="0" xfId="0" applyNumberFormat="1" applyFont="1"/>
    <xf numFmtId="0" fontId="0" fillId="27" borderId="14" xfId="0" applyFill="1" applyBorder="1"/>
    <xf numFmtId="9" fontId="0" fillId="27" borderId="30" xfId="8" applyFont="1" applyFill="1" applyBorder="1"/>
    <xf numFmtId="9" fontId="0" fillId="27" borderId="14" xfId="0" applyNumberFormat="1" applyFill="1" applyBorder="1"/>
    <xf numFmtId="9" fontId="0" fillId="27" borderId="30" xfId="0" applyNumberFormat="1" applyFill="1" applyBorder="1"/>
    <xf numFmtId="9" fontId="0" fillId="27" borderId="14" xfId="8" applyFont="1" applyFill="1" applyBorder="1"/>
    <xf numFmtId="169" fontId="0" fillId="27" borderId="14" xfId="0" applyNumberFormat="1" applyFill="1" applyBorder="1"/>
    <xf numFmtId="0" fontId="0" fillId="27" borderId="0" xfId="0" applyFill="1" applyBorder="1"/>
    <xf numFmtId="169" fontId="0" fillId="27" borderId="23" xfId="0" applyNumberFormat="1" applyFill="1" applyBorder="1"/>
    <xf numFmtId="0" fontId="18" fillId="28" borderId="15" xfId="0" applyFont="1" applyFill="1" applyBorder="1" applyAlignment="1">
      <alignment horizontal="center"/>
    </xf>
    <xf numFmtId="0" fontId="0" fillId="28" borderId="26" xfId="0" applyFill="1" applyBorder="1"/>
    <xf numFmtId="0" fontId="0" fillId="28" borderId="27" xfId="0" applyFill="1" applyBorder="1"/>
    <xf numFmtId="169" fontId="0" fillId="17" borderId="23" xfId="0" applyNumberFormat="1" applyFill="1" applyBorder="1"/>
    <xf numFmtId="0" fontId="0" fillId="17" borderId="15" xfId="0" applyFill="1" applyBorder="1"/>
    <xf numFmtId="9" fontId="0" fillId="17" borderId="27" xfId="8" applyFont="1" applyFill="1" applyBorder="1"/>
    <xf numFmtId="9" fontId="0" fillId="17" borderId="14" xfId="8" applyFont="1" applyFill="1" applyBorder="1"/>
    <xf numFmtId="9" fontId="0" fillId="17" borderId="31" xfId="8" applyFont="1" applyFill="1" applyBorder="1"/>
    <xf numFmtId="169" fontId="0" fillId="17" borderId="14" xfId="9" applyNumberFormat="1" applyFont="1" applyFill="1" applyBorder="1"/>
    <xf numFmtId="169" fontId="0" fillId="17" borderId="14" xfId="8" applyNumberFormat="1" applyFont="1" applyFill="1" applyBorder="1"/>
    <xf numFmtId="0" fontId="18" fillId="29" borderId="0" xfId="0" applyFont="1" applyFill="1" applyAlignment="1">
      <alignment horizontal="center"/>
    </xf>
    <xf numFmtId="169" fontId="0" fillId="29" borderId="0" xfId="0" applyNumberFormat="1" applyFill="1"/>
    <xf numFmtId="0" fontId="0" fillId="30" borderId="14" xfId="0" applyFill="1" applyBorder="1"/>
    <xf numFmtId="169" fontId="0" fillId="30" borderId="14" xfId="0" applyNumberFormat="1" applyFill="1" applyBorder="1"/>
    <xf numFmtId="169" fontId="0" fillId="30" borderId="23" xfId="0" applyNumberFormat="1" applyFill="1" applyBorder="1"/>
    <xf numFmtId="0" fontId="0" fillId="30" borderId="15" xfId="0" applyFill="1" applyBorder="1"/>
    <xf numFmtId="9" fontId="0" fillId="30" borderId="27" xfId="8" applyFont="1" applyFill="1" applyBorder="1"/>
    <xf numFmtId="9" fontId="0" fillId="30" borderId="14" xfId="8" applyFont="1" applyFill="1" applyBorder="1"/>
    <xf numFmtId="9" fontId="0" fillId="30" borderId="31" xfId="8" applyFont="1" applyFill="1" applyBorder="1"/>
    <xf numFmtId="9" fontId="0" fillId="30" borderId="30" xfId="8" applyFont="1" applyFill="1" applyBorder="1"/>
    <xf numFmtId="169" fontId="0" fillId="30" borderId="14" xfId="9" applyNumberFormat="1" applyFont="1" applyFill="1" applyBorder="1"/>
    <xf numFmtId="169" fontId="0" fillId="30" borderId="14" xfId="8" applyNumberFormat="1" applyFont="1" applyFill="1" applyBorder="1"/>
    <xf numFmtId="0" fontId="0" fillId="30" borderId="23" xfId="0" applyFill="1" applyBorder="1"/>
    <xf numFmtId="169" fontId="0" fillId="30" borderId="23" xfId="8" applyNumberFormat="1" applyFont="1" applyFill="1" applyBorder="1"/>
    <xf numFmtId="0" fontId="18" fillId="31" borderId="15" xfId="0" applyFont="1" applyFill="1" applyBorder="1" applyAlignment="1">
      <alignment horizontal="center"/>
    </xf>
    <xf numFmtId="0" fontId="0" fillId="31" borderId="25" xfId="0" applyFill="1" applyBorder="1"/>
    <xf numFmtId="0" fontId="0" fillId="31" borderId="26" xfId="0" applyFill="1" applyBorder="1"/>
    <xf numFmtId="0" fontId="0" fillId="31" borderId="27" xfId="0" applyFill="1" applyBorder="1"/>
    <xf numFmtId="0" fontId="0" fillId="14" borderId="28" xfId="0" applyFill="1" applyBorder="1"/>
    <xf numFmtId="9" fontId="0" fillId="14" borderId="29" xfId="8" applyFont="1" applyFill="1" applyBorder="1"/>
    <xf numFmtId="9" fontId="0" fillId="14" borderId="30" xfId="8" applyFont="1" applyFill="1" applyBorder="1"/>
    <xf numFmtId="9" fontId="0" fillId="14" borderId="28" xfId="8" applyFont="1" applyFill="1" applyBorder="1"/>
    <xf numFmtId="9" fontId="0" fillId="14" borderId="14" xfId="8" applyFont="1" applyFill="1" applyBorder="1"/>
    <xf numFmtId="0" fontId="0" fillId="14" borderId="15" xfId="0" applyFill="1" applyBorder="1"/>
    <xf numFmtId="9" fontId="0" fillId="14" borderId="23" xfId="8" applyFont="1" applyFill="1" applyBorder="1"/>
    <xf numFmtId="9" fontId="0" fillId="14" borderId="27" xfId="8" applyFont="1" applyFill="1" applyBorder="1"/>
    <xf numFmtId="9" fontId="0" fillId="14" borderId="15" xfId="8" applyFont="1" applyFill="1" applyBorder="1"/>
    <xf numFmtId="9" fontId="0" fillId="14" borderId="30" xfId="8" applyFont="1" applyFill="1" applyBorder="1" applyAlignment="1">
      <alignment horizontal="right"/>
    </xf>
    <xf numFmtId="1" fontId="16" fillId="14" borderId="23" xfId="0" applyNumberFormat="1" applyFont="1" applyFill="1" applyBorder="1"/>
    <xf numFmtId="1" fontId="16" fillId="14" borderId="14" xfId="0" applyNumberFormat="1" applyFont="1" applyFill="1" applyBorder="1"/>
    <xf numFmtId="0" fontId="0" fillId="3" borderId="16" xfId="0" applyFill="1" applyBorder="1" applyAlignment="1" applyProtection="1">
      <alignment horizontal="center"/>
      <protection locked="0"/>
    </xf>
    <xf numFmtId="0" fontId="0" fillId="14" borderId="27" xfId="0" applyFill="1" applyBorder="1"/>
    <xf numFmtId="1" fontId="16" fillId="14" borderId="30" xfId="0" applyNumberFormat="1" applyFont="1" applyFill="1" applyBorder="1"/>
    <xf numFmtId="167" fontId="16" fillId="14" borderId="14" xfId="0" applyNumberFormat="1" applyFont="1" applyFill="1" applyBorder="1"/>
    <xf numFmtId="0" fontId="16" fillId="14" borderId="14" xfId="0" applyFont="1" applyFill="1" applyBorder="1"/>
    <xf numFmtId="9" fontId="16" fillId="14" borderId="23" xfId="0" applyNumberFormat="1" applyFont="1" applyFill="1" applyBorder="1"/>
    <xf numFmtId="9" fontId="16" fillId="14" borderId="14" xfId="0" applyNumberFormat="1" applyFont="1" applyFill="1" applyBorder="1"/>
    <xf numFmtId="9" fontId="16" fillId="14" borderId="27" xfId="0" applyNumberFormat="1" applyFont="1" applyFill="1" applyBorder="1"/>
    <xf numFmtId="9" fontId="16" fillId="14" borderId="15" xfId="0" applyNumberFormat="1" applyFont="1" applyFill="1" applyBorder="1"/>
    <xf numFmtId="9" fontId="16" fillId="3" borderId="16" xfId="8" applyFont="1" applyFill="1" applyBorder="1" applyAlignment="1" applyProtection="1">
      <alignment horizontal="center"/>
      <protection locked="0"/>
    </xf>
    <xf numFmtId="9" fontId="16" fillId="14" borderId="30" xfId="0" applyNumberFormat="1" applyFont="1" applyFill="1" applyBorder="1"/>
    <xf numFmtId="0" fontId="16" fillId="3" borderId="16" xfId="0" applyFont="1" applyFill="1" applyBorder="1" applyAlignment="1" applyProtection="1">
      <alignment horizontal="center"/>
      <protection locked="0"/>
    </xf>
    <xf numFmtId="0" fontId="16" fillId="14" borderId="30" xfId="0" applyFont="1" applyFill="1" applyBorder="1"/>
    <xf numFmtId="2" fontId="16" fillId="14" borderId="14" xfId="0" applyNumberFormat="1" applyFont="1" applyFill="1" applyBorder="1"/>
    <xf numFmtId="0" fontId="0" fillId="14" borderId="30" xfId="0" applyFill="1" applyBorder="1"/>
    <xf numFmtId="2" fontId="0" fillId="14" borderId="14" xfId="0" applyNumberFormat="1" applyFill="1" applyBorder="1"/>
    <xf numFmtId="0" fontId="18" fillId="18" borderId="15" xfId="0" applyFont="1" applyFill="1" applyBorder="1" applyAlignment="1">
      <alignment horizontal="center"/>
    </xf>
    <xf numFmtId="0" fontId="0" fillId="18" borderId="26" xfId="0" applyFill="1" applyBorder="1"/>
    <xf numFmtId="0" fontId="0" fillId="18" borderId="27" xfId="0" applyFill="1" applyBorder="1"/>
    <xf numFmtId="0" fontId="0" fillId="9" borderId="30" xfId="0" applyFill="1" applyBorder="1"/>
    <xf numFmtId="169" fontId="0" fillId="9" borderId="30" xfId="0" applyNumberFormat="1" applyFill="1" applyBorder="1"/>
    <xf numFmtId="1" fontId="16" fillId="0" borderId="0" xfId="0" applyNumberFormat="1" applyFont="1" applyFill="1" applyBorder="1"/>
    <xf numFmtId="0" fontId="0" fillId="9" borderId="14" xfId="0" applyFill="1" applyBorder="1"/>
    <xf numFmtId="169" fontId="0" fillId="9" borderId="14" xfId="0" applyNumberFormat="1" applyFill="1" applyBorder="1"/>
    <xf numFmtId="169" fontId="0" fillId="0" borderId="0" xfId="0" applyNumberFormat="1" applyFill="1" applyBorder="1"/>
    <xf numFmtId="0" fontId="19" fillId="0" borderId="0" xfId="0" applyFont="1" applyFill="1" applyBorder="1"/>
    <xf numFmtId="1" fontId="0" fillId="0" borderId="0" xfId="0" applyNumberFormat="1" applyFill="1" applyBorder="1"/>
    <xf numFmtId="169" fontId="19" fillId="0" borderId="0" xfId="0" applyNumberFormat="1" applyFont="1" applyFill="1" applyBorder="1"/>
    <xf numFmtId="10" fontId="0" fillId="9" borderId="14" xfId="8" applyNumberFormat="1" applyFont="1" applyFill="1" applyBorder="1"/>
    <xf numFmtId="43" fontId="19" fillId="0" borderId="0" xfId="0" applyNumberFormat="1" applyFont="1" applyFill="1" applyBorder="1"/>
    <xf numFmtId="0" fontId="0" fillId="5" borderId="14" xfId="0" applyFill="1" applyBorder="1"/>
    <xf numFmtId="169" fontId="0" fillId="5" borderId="14" xfId="0" applyNumberFormat="1" applyFill="1" applyBorder="1"/>
    <xf numFmtId="0" fontId="0" fillId="5" borderId="23" xfId="0" applyFill="1" applyBorder="1"/>
    <xf numFmtId="169" fontId="0" fillId="5" borderId="23" xfId="0" applyNumberFormat="1" applyFill="1" applyBorder="1"/>
    <xf numFmtId="0" fontId="18" fillId="32" borderId="15" xfId="0" applyFont="1" applyFill="1" applyBorder="1" applyAlignment="1">
      <alignment horizontal="center"/>
    </xf>
    <xf numFmtId="0" fontId="0" fillId="32" borderId="26" xfId="0" applyFill="1" applyBorder="1"/>
    <xf numFmtId="0" fontId="0" fillId="32" borderId="27" xfId="0" applyFill="1" applyBorder="1"/>
    <xf numFmtId="0" fontId="0" fillId="23" borderId="23" xfId="0" applyFill="1" applyBorder="1"/>
    <xf numFmtId="169" fontId="0" fillId="23" borderId="23" xfId="0" applyNumberFormat="1" applyFill="1" applyBorder="1"/>
    <xf numFmtId="10" fontId="0" fillId="23" borderId="14" xfId="8" applyNumberFormat="1" applyFont="1" applyFill="1" applyBorder="1"/>
    <xf numFmtId="0" fontId="0" fillId="13" borderId="36" xfId="0" applyFill="1" applyBorder="1"/>
    <xf numFmtId="169" fontId="0" fillId="13" borderId="30" xfId="0" applyNumberFormat="1" applyFill="1" applyBorder="1"/>
    <xf numFmtId="0" fontId="0" fillId="13" borderId="13" xfId="0" applyFill="1" applyBorder="1"/>
    <xf numFmtId="171" fontId="0" fillId="0" borderId="0" xfId="0" applyNumberFormat="1"/>
    <xf numFmtId="2" fontId="0" fillId="0" borderId="0" xfId="0" applyNumberFormat="1"/>
    <xf numFmtId="171" fontId="0" fillId="0" borderId="0" xfId="0" applyNumberFormat="1" applyFill="1"/>
    <xf numFmtId="164" fontId="0" fillId="14" borderId="0" xfId="8" applyNumberFormat="1" applyFont="1" applyFill="1"/>
    <xf numFmtId="11" fontId="0" fillId="0" borderId="0" xfId="8" applyNumberFormat="1" applyFont="1"/>
    <xf numFmtId="0" fontId="1" fillId="5" borderId="0" xfId="0" applyFont="1" applyFill="1"/>
    <xf numFmtId="172" fontId="0" fillId="0" borderId="0" xfId="0" applyNumberFormat="1"/>
    <xf numFmtId="0" fontId="2" fillId="0" borderId="1" xfId="2" applyFont="1" applyFill="1" applyBorder="1" applyAlignment="1">
      <alignment wrapText="1"/>
    </xf>
    <xf numFmtId="172" fontId="0" fillId="0" borderId="0" xfId="8" applyNumberFormat="1" applyFont="1"/>
  </cellXfs>
  <cellStyles count="11">
    <cellStyle name="Body: normal cell" xfId="4"/>
    <cellStyle name="Comma" xfId="9" builtinId="3"/>
    <cellStyle name="Font: Calibri, 9pt regular" xfId="6"/>
    <cellStyle name="Footnotes: top row" xfId="2"/>
    <cellStyle name="Header: bottom row" xfId="5"/>
    <cellStyle name="Hyperlink" xfId="10" builtinId="8"/>
    <cellStyle name="Normal" xfId="0" builtinId="0"/>
    <cellStyle name="Normal 2" xfId="1"/>
    <cellStyle name="Parent row" xfId="3"/>
    <cellStyle name="Percent" xfId="8" builtinId="5"/>
    <cellStyle name="Table titl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worksheet" Target="worksheets/sheet20.xml"/><Relationship Id="rId34" Type="http://schemas.openxmlformats.org/officeDocument/2006/relationships/theme" Target="theme/theme1.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worksheet" Target="worksheets/sheet32.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worksheet" Target="worksheets/sheet31.xml"/><Relationship Id="rId37" Type="http://schemas.openxmlformats.org/officeDocument/2006/relationships/calcChain" Target="calcChain.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sharedStrings" Target="sharedString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30.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worksheet" Target="worksheets/sheet29.xml"/><Relationship Id="rId35"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75240594925635"/>
          <c:y val="7.4548702245552642E-2"/>
          <c:w val="0.67592935258092735"/>
          <c:h val="0.8326195683872849"/>
        </c:manualLayout>
      </c:layout>
      <c:lineChart>
        <c:grouping val="standard"/>
        <c:varyColors val="0"/>
        <c:ser>
          <c:idx val="0"/>
          <c:order val="0"/>
          <c:tx>
            <c:strRef>
              <c:f>'E3 CA Pathways Data'!$A$56</c:f>
              <c:strCache>
                <c:ptCount val="1"/>
                <c:pt idx="0">
                  <c:v>CNG Bus</c:v>
                </c:pt>
              </c:strCache>
            </c:strRef>
          </c:tx>
          <c:marker>
            <c:symbol val="none"/>
          </c:marker>
          <c:val>
            <c:numRef>
              <c:f>'E3 CA Pathways Data'!$B$56:$AK$56</c:f>
              <c:numCache>
                <c:formatCode>General</c:formatCode>
                <c:ptCount val="36"/>
                <c:pt idx="0">
                  <c:v>5.9460979674311271E-2</c:v>
                </c:pt>
                <c:pt idx="1">
                  <c:v>6.6106179030586104E-2</c:v>
                </c:pt>
                <c:pt idx="2">
                  <c:v>7.0031406978627239E-2</c:v>
                </c:pt>
                <c:pt idx="3">
                  <c:v>8.2192211229717732E-2</c:v>
                </c:pt>
                <c:pt idx="4">
                  <c:v>9.6426374712156857E-2</c:v>
                </c:pt>
                <c:pt idx="5">
                  <c:v>0.10809424108625752</c:v>
                </c:pt>
                <c:pt idx="6">
                  <c:v>0.10796024711429267</c:v>
                </c:pt>
                <c:pt idx="7">
                  <c:v>3.7284313187870489E-2</c:v>
                </c:pt>
                <c:pt idx="8">
                  <c:v>3.0597495154738596E-2</c:v>
                </c:pt>
                <c:pt idx="9">
                  <c:v>3.3292706666782877E-2</c:v>
                </c:pt>
                <c:pt idx="10">
                  <c:v>3.1778609834003678E-2</c:v>
                </c:pt>
                <c:pt idx="11">
                  <c:v>3.5095125593338924E-2</c:v>
                </c:pt>
                <c:pt idx="12">
                  <c:v>3.4289979252336913E-2</c:v>
                </c:pt>
                <c:pt idx="13">
                  <c:v>3.2687230880041662E-2</c:v>
                </c:pt>
                <c:pt idx="14">
                  <c:v>3.413739797112534E-2</c:v>
                </c:pt>
                <c:pt idx="15">
                  <c:v>3.2215386458740919E-2</c:v>
                </c:pt>
                <c:pt idx="16">
                  <c:v>3.1550084084721638E-2</c:v>
                </c:pt>
                <c:pt idx="17">
                  <c:v>3.3004536649579905E-2</c:v>
                </c:pt>
                <c:pt idx="18">
                  <c:v>2.6371399019781163E-2</c:v>
                </c:pt>
                <c:pt idx="19">
                  <c:v>2.2331990746229966E-2</c:v>
                </c:pt>
                <c:pt idx="20">
                  <c:v>1.8332186058043411E-2</c:v>
                </c:pt>
                <c:pt idx="21">
                  <c:v>1.1994559219787078E-2</c:v>
                </c:pt>
                <c:pt idx="22">
                  <c:v>7.3639218219586312E-3</c:v>
                </c:pt>
                <c:pt idx="23">
                  <c:v>6.4539188458023868E-3</c:v>
                </c:pt>
                <c:pt idx="24">
                  <c:v>5.4405231017068461E-3</c:v>
                </c:pt>
                <c:pt idx="25">
                  <c:v>4.9441949011828218E-3</c:v>
                </c:pt>
                <c:pt idx="26">
                  <c:v>4.5623399953271032E-3</c:v>
                </c:pt>
                <c:pt idx="27">
                  <c:v>4.7104690661668525E-3</c:v>
                </c:pt>
                <c:pt idx="28">
                  <c:v>4.4934300127936486E-3</c:v>
                </c:pt>
                <c:pt idx="29">
                  <c:v>4.1541622073414759E-3</c:v>
                </c:pt>
                <c:pt idx="30">
                  <c:v>3.670601037888634E-3</c:v>
                </c:pt>
                <c:pt idx="31">
                  <c:v>3.4218902394356405E-3</c:v>
                </c:pt>
                <c:pt idx="32">
                  <c:v>3.7483503071493148E-3</c:v>
                </c:pt>
                <c:pt idx="33">
                  <c:v>2.8885542281151572E-3</c:v>
                </c:pt>
                <c:pt idx="34">
                  <c:v>3.0247598430601036E-3</c:v>
                </c:pt>
                <c:pt idx="35">
                  <c:v>3.0696114039434957E-3</c:v>
                </c:pt>
              </c:numCache>
            </c:numRef>
          </c:val>
          <c:smooth val="0"/>
        </c:ser>
        <c:ser>
          <c:idx val="1"/>
          <c:order val="1"/>
          <c:tx>
            <c:strRef>
              <c:f>'E3 CA Pathways Data'!$A$57</c:f>
              <c:strCache>
                <c:ptCount val="1"/>
                <c:pt idx="0">
                  <c:v>BEV Bus</c:v>
                </c:pt>
              </c:strCache>
            </c:strRef>
          </c:tx>
          <c:marker>
            <c:symbol val="none"/>
          </c:marker>
          <c:val>
            <c:numRef>
              <c:f>'E3 CA Pathways Data'!$B$57:$AK$57</c:f>
              <c:numCache>
                <c:formatCode>0.000000</c:formatCode>
                <c:ptCount val="36"/>
                <c:pt idx="0">
                  <c:v>5.4292301844912408E-15</c:v>
                </c:pt>
                <c:pt idx="1">
                  <c:v>7.7794901151029871E-3</c:v>
                </c:pt>
                <c:pt idx="2">
                  <c:v>1.516871644388882E-2</c:v>
                </c:pt>
                <c:pt idx="3">
                  <c:v>1.5095912947345745E-2</c:v>
                </c:pt>
                <c:pt idx="4">
                  <c:v>1.7125208971180896E-2</c:v>
                </c:pt>
                <c:pt idx="5">
                  <c:v>1.6834865660696318E-2</c:v>
                </c:pt>
                <c:pt idx="6">
                  <c:v>3.6510912233355598E-2</c:v>
                </c:pt>
                <c:pt idx="7">
                  <c:v>5.7171850141851409E-2</c:v>
                </c:pt>
                <c:pt idx="8">
                  <c:v>5.7686728211325214E-2</c:v>
                </c:pt>
                <c:pt idx="9">
                  <c:v>5.7683204305110661E-2</c:v>
                </c:pt>
                <c:pt idx="10">
                  <c:v>5.7851453603306631E-2</c:v>
                </c:pt>
                <c:pt idx="11">
                  <c:v>5.8196385701397915E-2</c:v>
                </c:pt>
                <c:pt idx="12">
                  <c:v>5.8998103912146917E-2</c:v>
                </c:pt>
                <c:pt idx="13">
                  <c:v>5.9493104915077914E-2</c:v>
                </c:pt>
                <c:pt idx="14">
                  <c:v>5.9844085014100164E-2</c:v>
                </c:pt>
                <c:pt idx="15">
                  <c:v>6.1398858391293672E-2</c:v>
                </c:pt>
                <c:pt idx="16">
                  <c:v>6.7287887387569259E-2</c:v>
                </c:pt>
                <c:pt idx="17">
                  <c:v>9.0946098590140773E-2</c:v>
                </c:pt>
                <c:pt idx="18">
                  <c:v>0.13431955190749759</c:v>
                </c:pt>
                <c:pt idx="19">
                  <c:v>0.15744986925934878</c:v>
                </c:pt>
                <c:pt idx="20">
                  <c:v>0.16242426180366501</c:v>
                </c:pt>
                <c:pt idx="21">
                  <c:v>0.16314584964242076</c:v>
                </c:pt>
                <c:pt idx="22">
                  <c:v>0.16344610234227938</c:v>
                </c:pt>
                <c:pt idx="23">
                  <c:v>0.16342343633178191</c:v>
                </c:pt>
                <c:pt idx="24">
                  <c:v>0.16376400589365728</c:v>
                </c:pt>
                <c:pt idx="25">
                  <c:v>0.16404766064187515</c:v>
                </c:pt>
                <c:pt idx="26">
                  <c:v>0.1640385991293985</c:v>
                </c:pt>
                <c:pt idx="27">
                  <c:v>0.16357642517720253</c:v>
                </c:pt>
                <c:pt idx="28">
                  <c:v>0.16248289642952396</c:v>
                </c:pt>
                <c:pt idx="29">
                  <c:v>0.16103865747932361</c:v>
                </c:pt>
                <c:pt idx="30">
                  <c:v>0.15898476492320621</c:v>
                </c:pt>
                <c:pt idx="31">
                  <c:v>0.15694542761848559</c:v>
                </c:pt>
                <c:pt idx="32">
                  <c:v>0.15461202824654982</c:v>
                </c:pt>
                <c:pt idx="33">
                  <c:v>0.1521062663150998</c:v>
                </c:pt>
                <c:pt idx="34">
                  <c:v>0.15072374355317067</c:v>
                </c:pt>
                <c:pt idx="35">
                  <c:v>0.1494675509370722</c:v>
                </c:pt>
              </c:numCache>
            </c:numRef>
          </c:val>
          <c:smooth val="0"/>
        </c:ser>
        <c:dLbls>
          <c:showLegendKey val="0"/>
          <c:showVal val="0"/>
          <c:showCatName val="0"/>
          <c:showSerName val="0"/>
          <c:showPercent val="0"/>
          <c:showBubbleSize val="0"/>
        </c:dLbls>
        <c:marker val="1"/>
        <c:smooth val="0"/>
        <c:axId val="173062784"/>
        <c:axId val="173068672"/>
      </c:lineChart>
      <c:catAx>
        <c:axId val="173062784"/>
        <c:scaling>
          <c:orientation val="minMax"/>
        </c:scaling>
        <c:delete val="0"/>
        <c:axPos val="b"/>
        <c:majorTickMark val="out"/>
        <c:minorTickMark val="none"/>
        <c:tickLblPos val="nextTo"/>
        <c:crossAx val="173068672"/>
        <c:crosses val="autoZero"/>
        <c:auto val="1"/>
        <c:lblAlgn val="ctr"/>
        <c:lblOffset val="100"/>
        <c:noMultiLvlLbl val="0"/>
      </c:catAx>
      <c:valAx>
        <c:axId val="173068672"/>
        <c:scaling>
          <c:orientation val="minMax"/>
        </c:scaling>
        <c:delete val="0"/>
        <c:axPos val="l"/>
        <c:majorGridlines/>
        <c:numFmt formatCode="General" sourceLinked="1"/>
        <c:majorTickMark val="out"/>
        <c:minorTickMark val="none"/>
        <c:tickLblPos val="nextTo"/>
        <c:crossAx val="1730627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sz="1800"/>
              <a:t>A Composite Forecast</a:t>
            </a:r>
            <a:r>
              <a:rPr lang="en-US" sz="1800" baseline="0"/>
              <a:t> </a:t>
            </a:r>
          </a:p>
          <a:p>
            <a:pPr>
              <a:defRPr/>
            </a:pPr>
            <a:r>
              <a:rPr lang="en-US" sz="1800" baseline="0"/>
              <a:t>of</a:t>
            </a:r>
            <a:r>
              <a:rPr lang="en-US" sz="1800"/>
              <a:t> the California Zero Emission Vehicle</a:t>
            </a:r>
            <a:r>
              <a:rPr lang="en-US" sz="1800" baseline="0"/>
              <a:t> Stock</a:t>
            </a:r>
            <a:endParaRPr lang="en-US" sz="1800"/>
          </a:p>
        </c:rich>
      </c:tx>
      <c:overlay val="0"/>
    </c:title>
    <c:autoTitleDeleted val="0"/>
    <c:plotArea>
      <c:layout>
        <c:manualLayout>
          <c:layoutTarget val="inner"/>
          <c:xMode val="edge"/>
          <c:yMode val="edge"/>
          <c:x val="0.1203326320188241"/>
          <c:y val="0.11327090108268177"/>
          <c:w val="0.53723781711073648"/>
          <c:h val="0.8290950892301906"/>
        </c:manualLayout>
      </c:layout>
      <c:lineChart>
        <c:grouping val="standard"/>
        <c:varyColors val="0"/>
        <c:ser>
          <c:idx val="0"/>
          <c:order val="0"/>
          <c:tx>
            <c:strRef>
              <c:f>'META analysis'!$A$21</c:f>
              <c:strCache>
                <c:ptCount val="1"/>
                <c:pt idx="0">
                  <c:v>Actual</c:v>
                </c:pt>
              </c:strCache>
            </c:strRef>
          </c:tx>
          <c:spPr>
            <a:ln>
              <a:noFill/>
            </a:ln>
          </c:spPr>
          <c:marker>
            <c:symbol val="circle"/>
            <c:size val="7"/>
            <c:spPr>
              <a:solidFill>
                <a:schemeClr val="accent6">
                  <a:lumMod val="75000"/>
                </a:schemeClr>
              </a:solidFill>
              <a:ln>
                <a:noFill/>
              </a:ln>
            </c:spPr>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analysis'!$B$21:$O$21</c:f>
              <c:numCache>
                <c:formatCode>General</c:formatCode>
                <c:ptCount val="14"/>
                <c:pt idx="0">
                  <c:v>296</c:v>
                </c:pt>
                <c:pt idx="1">
                  <c:v>454</c:v>
                </c:pt>
              </c:numCache>
            </c:numRef>
          </c:val>
          <c:smooth val="0"/>
        </c:ser>
        <c:ser>
          <c:idx val="1"/>
          <c:order val="1"/>
          <c:tx>
            <c:strRef>
              <c:f>'META analysis'!$A$22</c:f>
              <c:strCache>
                <c:ptCount val="1"/>
                <c:pt idx="0">
                  <c:v>Next10 / Beacon Economics</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analysis'!$B$22:$O$22</c:f>
              <c:numCache>
                <c:formatCode>_(* #,##0_);_(* \(#,##0\);_(* "-"??_);_(@_)</c:formatCode>
                <c:ptCount val="14"/>
                <c:pt idx="1">
                  <c:v>423.71</c:v>
                </c:pt>
                <c:pt idx="2">
                  <c:v>576.97487333333345</c:v>
                </c:pt>
                <c:pt idx="3">
                  <c:v>759.23253914400004</c:v>
                </c:pt>
                <c:pt idx="4">
                  <c:v>974.73321067447444</c:v>
                </c:pt>
                <c:pt idx="5">
                  <c:v>1225.2180984631457</c:v>
                </c:pt>
                <c:pt idx="6">
                  <c:v>1517.482190818371</c:v>
                </c:pt>
                <c:pt idx="7">
                  <c:v>1860.4984331983601</c:v>
                </c:pt>
                <c:pt idx="8">
                  <c:v>2266.1304681060719</c:v>
                </c:pt>
              </c:numCache>
            </c:numRef>
          </c:val>
          <c:smooth val="0"/>
        </c:ser>
        <c:ser>
          <c:idx val="2"/>
          <c:order val="2"/>
          <c:tx>
            <c:strRef>
              <c:f>'META analysis'!$A$23</c:f>
              <c:strCache>
                <c:ptCount val="1"/>
                <c:pt idx="0">
                  <c:v>Accenture</c:v>
                </c:pt>
              </c:strCache>
            </c:strRef>
          </c:tx>
          <c:spPr>
            <a:ln>
              <a:solidFill>
                <a:schemeClr val="bg1">
                  <a:lumMod val="75000"/>
                </a:schemeClr>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analysis'!$B$23:$O$23</c:f>
              <c:numCache>
                <c:formatCode>_(* #,##0_);_(* \(#,##0\);_(* "-"??_);_(@_)</c:formatCode>
                <c:ptCount val="14"/>
                <c:pt idx="1">
                  <c:v>502.24847999999997</c:v>
                </c:pt>
                <c:pt idx="2">
                  <c:v>640.22055</c:v>
                </c:pt>
                <c:pt idx="3">
                  <c:v>793.98505</c:v>
                </c:pt>
                <c:pt idx="4">
                  <c:v>964.52223000000004</c:v>
                </c:pt>
                <c:pt idx="5">
                  <c:v>1151.73171</c:v>
                </c:pt>
                <c:pt idx="6">
                  <c:v>1371.74227</c:v>
                </c:pt>
                <c:pt idx="7">
                  <c:v>1624.94435</c:v>
                </c:pt>
                <c:pt idx="8">
                  <c:v>1943.61175</c:v>
                </c:pt>
                <c:pt idx="9">
                  <c:v>2295.5987700000001</c:v>
                </c:pt>
                <c:pt idx="10">
                  <c:v>2681.90589</c:v>
                </c:pt>
                <c:pt idx="11">
                  <c:v>3167.53899</c:v>
                </c:pt>
                <c:pt idx="12">
                  <c:v>3704.6308200000003</c:v>
                </c:pt>
                <c:pt idx="13">
                  <c:v>4326.2504000000008</c:v>
                </c:pt>
              </c:numCache>
            </c:numRef>
          </c:val>
          <c:smooth val="0"/>
        </c:ser>
        <c:ser>
          <c:idx val="3"/>
          <c:order val="3"/>
          <c:tx>
            <c:strRef>
              <c:f>'META analysis'!$A$24</c:f>
              <c:strCache>
                <c:ptCount val="1"/>
                <c:pt idx="0">
                  <c:v>Bloomberg New Energy Finance</c:v>
                </c:pt>
              </c:strCache>
            </c:strRef>
          </c:tx>
          <c:spPr>
            <a:ln>
              <a:solidFill>
                <a:schemeClr val="bg1">
                  <a:lumMod val="75000"/>
                </a:schemeClr>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analysis'!$B$24:$O$24</c:f>
              <c:numCache>
                <c:formatCode>General</c:formatCode>
                <c:ptCount val="14"/>
                <c:pt idx="1">
                  <c:v>454</c:v>
                </c:pt>
                <c:pt idx="2" formatCode="0">
                  <c:v>588.75141388177872</c:v>
                </c:pt>
                <c:pt idx="3" formatCode="0">
                  <c:v>733.50498801469803</c:v>
                </c:pt>
                <c:pt idx="4" formatCode="0">
                  <c:v>892.91917479038239</c:v>
                </c:pt>
                <c:pt idx="5" formatCode="0">
                  <c:v>1072.2347642183304</c:v>
                </c:pt>
                <c:pt idx="6" formatCode="0">
                  <c:v>1277.2212347984314</c:v>
                </c:pt>
                <c:pt idx="7" formatCode="0">
                  <c:v>1514.1360716819763</c:v>
                </c:pt>
                <c:pt idx="8" formatCode="0">
                  <c:v>1789.6925054788589</c:v>
                </c:pt>
                <c:pt idx="9" formatCode="0">
                  <c:v>2111.0330954194069</c:v>
                </c:pt>
                <c:pt idx="10" formatCode="0">
                  <c:v>2485.7075678110123</c:v>
                </c:pt>
                <c:pt idx="11" formatCode="0">
                  <c:v>2921.6538705229759</c:v>
                </c:pt>
                <c:pt idx="12" formatCode="0">
                  <c:v>3427.1817277669907</c:v>
                </c:pt>
                <c:pt idx="13" formatCode="0">
                  <c:v>4010.958186507225</c:v>
                </c:pt>
              </c:numCache>
            </c:numRef>
          </c:val>
          <c:smooth val="0"/>
        </c:ser>
        <c:ser>
          <c:idx val="4"/>
          <c:order val="4"/>
          <c:tx>
            <c:strRef>
              <c:f>'META analysis'!$A$25</c:f>
              <c:strCache>
                <c:ptCount val="1"/>
                <c:pt idx="0">
                  <c:v>Composite forecast</c:v>
                </c:pt>
              </c:strCache>
            </c:strRef>
          </c:tx>
          <c:spPr>
            <a:ln>
              <a:solidFill>
                <a:srgbClr val="00B0F0"/>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analysis'!$B$25:$O$25</c:f>
              <c:numCache>
                <c:formatCode>0</c:formatCode>
                <c:ptCount val="14"/>
                <c:pt idx="1">
                  <c:v>420.59526253968255</c:v>
                </c:pt>
                <c:pt idx="2">
                  <c:v>540.24915658643215</c:v>
                </c:pt>
                <c:pt idx="3">
                  <c:v>666.04049371704298</c:v>
                </c:pt>
                <c:pt idx="4">
                  <c:v>804.47502210584673</c:v>
                </c:pt>
                <c:pt idx="5">
                  <c:v>954.8185887618522</c:v>
                </c:pt>
                <c:pt idx="6">
                  <c:v>1120.7978979948073</c:v>
                </c:pt>
                <c:pt idx="7">
                  <c:v>1305.1340564669749</c:v>
                </c:pt>
                <c:pt idx="8">
                  <c:v>1514.7998332445761</c:v>
                </c:pt>
                <c:pt idx="9">
                  <c:v>1677.0141041753191</c:v>
                </c:pt>
                <c:pt idx="10">
                  <c:v>1895.7395855744903</c:v>
                </c:pt>
                <c:pt idx="11">
                  <c:v>2149.829482206977</c:v>
                </c:pt>
                <c:pt idx="12">
                  <c:v>2433.9096611055875</c:v>
                </c:pt>
                <c:pt idx="13">
                  <c:v>2755.4719555590573</c:v>
                </c:pt>
              </c:numCache>
            </c:numRef>
          </c:val>
          <c:smooth val="0"/>
        </c:ser>
        <c:ser>
          <c:idx val="5"/>
          <c:order val="5"/>
          <c:tx>
            <c:strRef>
              <c:f>'META analysis'!$A$26</c:f>
              <c:strCache>
                <c:ptCount val="1"/>
                <c:pt idx="0">
                  <c:v>EIA Annual Energy Outlook 2019</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analysis'!$B$26:$O$26</c:f>
              <c:numCache>
                <c:formatCode>0</c:formatCode>
                <c:ptCount val="14"/>
                <c:pt idx="1">
                  <c:v>380</c:v>
                </c:pt>
                <c:pt idx="2">
                  <c:v>475.72632224430203</c:v>
                </c:pt>
                <c:pt idx="3">
                  <c:v>593.03210080747738</c:v>
                </c:pt>
                <c:pt idx="4">
                  <c:v>734.16391981543075</c:v>
                </c:pt>
                <c:pt idx="5">
                  <c:v>887.10108778333552</c:v>
                </c:pt>
                <c:pt idx="6">
                  <c:v>1049.2372880711791</c:v>
                </c:pt>
                <c:pt idx="7">
                  <c:v>1223.9993967053026</c:v>
                </c:pt>
                <c:pt idx="8">
                  <c:v>1409.3461240364018</c:v>
                </c:pt>
                <c:pt idx="9">
                  <c:v>1592.292689248899</c:v>
                </c:pt>
                <c:pt idx="10">
                  <c:v>1776.8149324167246</c:v>
                </c:pt>
                <c:pt idx="11">
                  <c:v>1962.7490842871246</c:v>
                </c:pt>
                <c:pt idx="12">
                  <c:v>2161.3007700980852</c:v>
                </c:pt>
                <c:pt idx="13">
                  <c:v>2366.563730043315</c:v>
                </c:pt>
              </c:numCache>
            </c:numRef>
          </c:val>
          <c:smooth val="0"/>
        </c:ser>
        <c:ser>
          <c:idx val="6"/>
          <c:order val="6"/>
          <c:tx>
            <c:strRef>
              <c:f>'META analysis'!$A$27</c:f>
              <c:strCache>
                <c:ptCount val="1"/>
                <c:pt idx="0">
                  <c:v>RBC Capital</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analysis'!$B$27:$O$27</c:f>
              <c:numCache>
                <c:formatCode>General</c:formatCode>
                <c:ptCount val="14"/>
                <c:pt idx="2" formatCode="0">
                  <c:v>576.41617474084819</c:v>
                </c:pt>
                <c:pt idx="3" formatCode="0">
                  <c:v>698.83234948169638</c:v>
                </c:pt>
                <c:pt idx="4" formatCode="0">
                  <c:v>821.24852422254457</c:v>
                </c:pt>
                <c:pt idx="5" formatCode="0">
                  <c:v>943.66469896339277</c:v>
                </c:pt>
                <c:pt idx="6" formatCode="0">
                  <c:v>1066.080873704241</c:v>
                </c:pt>
                <c:pt idx="7" formatCode="0">
                  <c:v>1188.4970484450891</c:v>
                </c:pt>
                <c:pt idx="8" formatCode="0">
                  <c:v>1310.9132231859373</c:v>
                </c:pt>
                <c:pt idx="9" formatCode="0">
                  <c:v>1457.8126328749552</c:v>
                </c:pt>
                <c:pt idx="10" formatCode="0">
                  <c:v>1605.9362043113815</c:v>
                </c:pt>
                <c:pt idx="11" formatCode="0">
                  <c:v>1768.8721328914505</c:v>
                </c:pt>
                <c:pt idx="12" formatCode="0">
                  <c:v>1948.1016543295264</c:v>
                </c:pt>
                <c:pt idx="13" formatCode="0">
                  <c:v>2145.2541279114098</c:v>
                </c:pt>
              </c:numCache>
            </c:numRef>
          </c:val>
          <c:smooth val="0"/>
        </c:ser>
        <c:ser>
          <c:idx val="7"/>
          <c:order val="7"/>
          <c:tx>
            <c:strRef>
              <c:f>'META analysis'!$A$28</c:f>
              <c:strCache>
                <c:ptCount val="1"/>
                <c:pt idx="0">
                  <c:v>JP Morgan</c:v>
                </c:pt>
              </c:strCache>
            </c:strRef>
          </c:tx>
          <c:spPr>
            <a:ln>
              <a:solidFill>
                <a:schemeClr val="tx1">
                  <a:lumMod val="65000"/>
                  <a:lumOff val="35000"/>
                </a:schemeClr>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analysis'!$B$28:$O$28</c:f>
              <c:numCache>
                <c:formatCode>0</c:formatCode>
                <c:ptCount val="14"/>
                <c:pt idx="1">
                  <c:v>388.57142857142856</c:v>
                </c:pt>
                <c:pt idx="2">
                  <c:v>469.57142857142856</c:v>
                </c:pt>
                <c:pt idx="3">
                  <c:v>550.57142857142867</c:v>
                </c:pt>
                <c:pt idx="4">
                  <c:v>631.57142857142867</c:v>
                </c:pt>
                <c:pt idx="5">
                  <c:v>712.57142857142867</c:v>
                </c:pt>
                <c:pt idx="6">
                  <c:v>793.57142857142867</c:v>
                </c:pt>
                <c:pt idx="7">
                  <c:v>874.57142857142867</c:v>
                </c:pt>
                <c:pt idx="8">
                  <c:v>955.57142857142867</c:v>
                </c:pt>
              </c:numCache>
            </c:numRef>
          </c:val>
          <c:smooth val="0"/>
        </c:ser>
        <c:ser>
          <c:idx val="8"/>
          <c:order val="8"/>
          <c:tx>
            <c:strRef>
              <c:f>'META analysis'!$A$29</c:f>
              <c:strCache>
                <c:ptCount val="1"/>
                <c:pt idx="0">
                  <c:v>ARB compliance minimum</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analysis'!$B$29:$O$29</c:f>
              <c:numCache>
                <c:formatCode>General</c:formatCode>
                <c:ptCount val="14"/>
                <c:pt idx="1">
                  <c:v>375.04166666666669</c:v>
                </c:pt>
                <c:pt idx="2">
                  <c:v>454.08333333333337</c:v>
                </c:pt>
                <c:pt idx="3">
                  <c:v>533.125</c:v>
                </c:pt>
                <c:pt idx="4">
                  <c:v>612.16666666666663</c:v>
                </c:pt>
                <c:pt idx="5">
                  <c:v>691.20833333333326</c:v>
                </c:pt>
                <c:pt idx="6">
                  <c:v>770.24999999999989</c:v>
                </c:pt>
                <c:pt idx="7">
                  <c:v>849.29166666666652</c:v>
                </c:pt>
                <c:pt idx="8">
                  <c:v>928.33333333333314</c:v>
                </c:pt>
                <c:pt idx="9">
                  <c:v>928.33333333333314</c:v>
                </c:pt>
                <c:pt idx="10">
                  <c:v>928.33333333333314</c:v>
                </c:pt>
                <c:pt idx="11">
                  <c:v>928.33333333333314</c:v>
                </c:pt>
                <c:pt idx="12">
                  <c:v>928.33333333333314</c:v>
                </c:pt>
                <c:pt idx="13">
                  <c:v>928.33333333333314</c:v>
                </c:pt>
              </c:numCache>
            </c:numRef>
          </c:val>
          <c:smooth val="0"/>
        </c:ser>
        <c:dLbls>
          <c:showLegendKey val="0"/>
          <c:showVal val="0"/>
          <c:showCatName val="0"/>
          <c:showSerName val="0"/>
          <c:showPercent val="0"/>
          <c:showBubbleSize val="0"/>
        </c:dLbls>
        <c:marker val="1"/>
        <c:smooth val="0"/>
        <c:axId val="178298880"/>
        <c:axId val="178300416"/>
      </c:lineChart>
      <c:catAx>
        <c:axId val="178298880"/>
        <c:scaling>
          <c:orientation val="minMax"/>
        </c:scaling>
        <c:delete val="0"/>
        <c:axPos val="b"/>
        <c:numFmt formatCode="General" sourceLinked="1"/>
        <c:majorTickMark val="out"/>
        <c:minorTickMark val="none"/>
        <c:tickLblPos val="nextTo"/>
        <c:txPr>
          <a:bodyPr/>
          <a:lstStyle/>
          <a:p>
            <a:pPr>
              <a:defRPr sz="1000"/>
            </a:pPr>
            <a:endParaRPr lang="en-US"/>
          </a:p>
        </c:txPr>
        <c:crossAx val="178300416"/>
        <c:crosses val="autoZero"/>
        <c:auto val="1"/>
        <c:lblAlgn val="ctr"/>
        <c:lblOffset val="100"/>
        <c:noMultiLvlLbl val="0"/>
      </c:catAx>
      <c:valAx>
        <c:axId val="178300416"/>
        <c:scaling>
          <c:orientation val="minMax"/>
        </c:scaling>
        <c:delete val="0"/>
        <c:axPos val="l"/>
        <c:majorGridlines/>
        <c:title>
          <c:tx>
            <c:rich>
              <a:bodyPr rot="-5400000" vert="horz"/>
              <a:lstStyle/>
              <a:p>
                <a:pPr>
                  <a:defRPr sz="1400"/>
                </a:pPr>
                <a:r>
                  <a:rPr lang="en-US" sz="1400"/>
                  <a:t>Hundreds of thousands of vehicles</a:t>
                </a:r>
              </a:p>
            </c:rich>
          </c:tx>
          <c:layout>
            <c:manualLayout>
              <c:xMode val="edge"/>
              <c:yMode val="edge"/>
              <c:x val="2.3430961571147445E-2"/>
              <c:y val="0.27771460285333927"/>
            </c:manualLayout>
          </c:layout>
          <c:overlay val="0"/>
        </c:title>
        <c:numFmt formatCode="#,##0" sourceLinked="0"/>
        <c:majorTickMark val="out"/>
        <c:minorTickMark val="none"/>
        <c:tickLblPos val="nextTo"/>
        <c:crossAx val="178298880"/>
        <c:crosses val="autoZero"/>
        <c:crossBetween val="between"/>
      </c:valAx>
    </c:plotArea>
    <c:legend>
      <c:legendPos val="r"/>
      <c:legendEntry>
        <c:idx val="0"/>
        <c:delete val="1"/>
      </c:legendEntry>
      <c:legendEntry>
        <c:idx val="4"/>
        <c:txPr>
          <a:bodyPr/>
          <a:lstStyle/>
          <a:p>
            <a:pPr>
              <a:defRPr sz="1400"/>
            </a:pPr>
            <a:endParaRPr lang="en-US"/>
          </a:p>
        </c:txPr>
      </c:legendEntry>
      <c:overlay val="0"/>
    </c:legend>
    <c:plotVisOnly val="1"/>
    <c:dispBlanksAs val="gap"/>
    <c:showDLblsOverMax val="0"/>
  </c:chart>
  <c:txPr>
    <a:bodyPr/>
    <a:lstStyle/>
    <a:p>
      <a:pPr>
        <a:defRPr sz="1200">
          <a:latin typeface="Century Gothic" panose="020B0502020202020204" pitchFamily="34" charset="0"/>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15.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4</xdr:col>
      <xdr:colOff>390525</xdr:colOff>
      <xdr:row>61</xdr:row>
      <xdr:rowOff>130175</xdr:rowOff>
    </xdr:from>
    <xdr:to>
      <xdr:col>9</xdr:col>
      <xdr:colOff>127000</xdr:colOff>
      <xdr:row>69</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332828</xdr:colOff>
      <xdr:row>19</xdr:row>
      <xdr:rowOff>30656</xdr:rowOff>
    </xdr:from>
    <xdr:to>
      <xdr:col>3</xdr:col>
      <xdr:colOff>149639</xdr:colOff>
      <xdr:row>26</xdr:row>
      <xdr:rowOff>125978</xdr:rowOff>
    </xdr:to>
    <xdr:pic>
      <xdr:nvPicPr>
        <xdr:cNvPr id="2" name="Picture 1"/>
        <xdr:cNvPicPr>
          <a:picLocks noChangeAspect="1"/>
        </xdr:cNvPicPr>
      </xdr:nvPicPr>
      <xdr:blipFill>
        <a:blip xmlns:r="http://schemas.openxmlformats.org/officeDocument/2006/relationships" r:embed="rId1"/>
        <a:stretch>
          <a:fillRect/>
        </a:stretch>
      </xdr:blipFill>
      <xdr:spPr>
        <a:xfrm>
          <a:off x="332828" y="2421759"/>
          <a:ext cx="1642983" cy="1382839"/>
        </a:xfrm>
        <a:prstGeom prst="rect">
          <a:avLst/>
        </a:prstGeom>
      </xdr:spPr>
    </xdr:pic>
    <xdr:clientData/>
  </xdr:twoCellAnchor>
  <xdr:twoCellAnchor editAs="oneCell">
    <xdr:from>
      <xdr:col>3</xdr:col>
      <xdr:colOff>391073</xdr:colOff>
      <xdr:row>20</xdr:row>
      <xdr:rowOff>8540</xdr:rowOff>
    </xdr:from>
    <xdr:to>
      <xdr:col>4</xdr:col>
      <xdr:colOff>245047</xdr:colOff>
      <xdr:row>25</xdr:row>
      <xdr:rowOff>8587</xdr:rowOff>
    </xdr:to>
    <xdr:pic>
      <xdr:nvPicPr>
        <xdr:cNvPr id="4" name="Picture 3"/>
        <xdr:cNvPicPr>
          <a:picLocks noChangeAspect="1"/>
        </xdr:cNvPicPr>
      </xdr:nvPicPr>
      <xdr:blipFill>
        <a:blip xmlns:r="http://schemas.openxmlformats.org/officeDocument/2006/relationships" r:embed="rId2"/>
        <a:stretch>
          <a:fillRect/>
        </a:stretch>
      </xdr:blipFill>
      <xdr:spPr>
        <a:xfrm>
          <a:off x="2217245" y="2583574"/>
          <a:ext cx="462699" cy="919702"/>
        </a:xfrm>
        <a:prstGeom prst="rect">
          <a:avLst/>
        </a:prstGeom>
      </xdr:spPr>
    </xdr:pic>
    <xdr:clientData/>
  </xdr:twoCellAnchor>
  <xdr:twoCellAnchor editAs="oneCell">
    <xdr:from>
      <xdr:col>4</xdr:col>
      <xdr:colOff>426983</xdr:colOff>
      <xdr:row>20</xdr:row>
      <xdr:rowOff>18175</xdr:rowOff>
    </xdr:from>
    <xdr:to>
      <xdr:col>5</xdr:col>
      <xdr:colOff>293657</xdr:colOff>
      <xdr:row>25</xdr:row>
      <xdr:rowOff>24573</xdr:rowOff>
    </xdr:to>
    <xdr:pic>
      <xdr:nvPicPr>
        <xdr:cNvPr id="5" name="Picture 4"/>
        <xdr:cNvPicPr>
          <a:picLocks noChangeAspect="1"/>
        </xdr:cNvPicPr>
      </xdr:nvPicPr>
      <xdr:blipFill>
        <a:blip xmlns:r="http://schemas.openxmlformats.org/officeDocument/2006/relationships" r:embed="rId3"/>
        <a:stretch>
          <a:fillRect/>
        </a:stretch>
      </xdr:blipFill>
      <xdr:spPr>
        <a:xfrm>
          <a:off x="2861880" y="2593209"/>
          <a:ext cx="475398" cy="926053"/>
        </a:xfrm>
        <a:prstGeom prst="rect">
          <a:avLst/>
        </a:prstGeom>
      </xdr:spPr>
    </xdr:pic>
    <xdr:clientData/>
  </xdr:twoCellAnchor>
  <xdr:twoCellAnchor editAs="oneCell">
    <xdr:from>
      <xdr:col>9</xdr:col>
      <xdr:colOff>1143000</xdr:colOff>
      <xdr:row>26</xdr:row>
      <xdr:rowOff>127000</xdr:rowOff>
    </xdr:from>
    <xdr:to>
      <xdr:col>24</xdr:col>
      <xdr:colOff>6792</xdr:colOff>
      <xdr:row>46</xdr:row>
      <xdr:rowOff>171641</xdr:rowOff>
    </xdr:to>
    <xdr:pic>
      <xdr:nvPicPr>
        <xdr:cNvPr id="6" name="Picture 5"/>
        <xdr:cNvPicPr>
          <a:picLocks noChangeAspect="1"/>
        </xdr:cNvPicPr>
      </xdr:nvPicPr>
      <xdr:blipFill>
        <a:blip xmlns:r="http://schemas.openxmlformats.org/officeDocument/2006/relationships" r:embed="rId4"/>
        <a:stretch>
          <a:fillRect/>
        </a:stretch>
      </xdr:blipFill>
      <xdr:spPr>
        <a:xfrm>
          <a:off x="6629400" y="3625850"/>
          <a:ext cx="8591992" cy="3727642"/>
        </a:xfrm>
        <a:prstGeom prst="rect">
          <a:avLst/>
        </a:prstGeom>
      </xdr:spPr>
    </xdr:pic>
    <xdr:clientData/>
  </xdr:twoCellAnchor>
  <xdr:twoCellAnchor editAs="oneCell">
    <xdr:from>
      <xdr:col>0</xdr:col>
      <xdr:colOff>274996</xdr:colOff>
      <xdr:row>27</xdr:row>
      <xdr:rowOff>155367</xdr:rowOff>
    </xdr:from>
    <xdr:to>
      <xdr:col>6</xdr:col>
      <xdr:colOff>342006</xdr:colOff>
      <xdr:row>43</xdr:row>
      <xdr:rowOff>29163</xdr:rowOff>
    </xdr:to>
    <xdr:pic>
      <xdr:nvPicPr>
        <xdr:cNvPr id="7" name="Picture 6"/>
        <xdr:cNvPicPr>
          <a:picLocks noChangeAspect="1"/>
        </xdr:cNvPicPr>
      </xdr:nvPicPr>
      <xdr:blipFill>
        <a:blip xmlns:r="http://schemas.openxmlformats.org/officeDocument/2006/relationships" r:embed="rId5"/>
        <a:stretch>
          <a:fillRect/>
        </a:stretch>
      </xdr:blipFill>
      <xdr:spPr>
        <a:xfrm>
          <a:off x="274996" y="4017919"/>
          <a:ext cx="3719355" cy="281669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107950</xdr:colOff>
      <xdr:row>20</xdr:row>
      <xdr:rowOff>88900</xdr:rowOff>
    </xdr:from>
    <xdr:to>
      <xdr:col>9</xdr:col>
      <xdr:colOff>857627</xdr:colOff>
      <xdr:row>49</xdr:row>
      <xdr:rowOff>171729</xdr:rowOff>
    </xdr:to>
    <xdr:pic>
      <xdr:nvPicPr>
        <xdr:cNvPr id="2" name="Picture 1"/>
        <xdr:cNvPicPr>
          <a:picLocks noChangeAspect="1"/>
        </xdr:cNvPicPr>
      </xdr:nvPicPr>
      <xdr:blipFill>
        <a:blip xmlns:r="http://schemas.openxmlformats.org/officeDocument/2006/relationships" r:embed="rId1"/>
        <a:stretch>
          <a:fillRect/>
        </a:stretch>
      </xdr:blipFill>
      <xdr:spPr>
        <a:xfrm>
          <a:off x="107950" y="3771900"/>
          <a:ext cx="7328277" cy="5423179"/>
        </a:xfrm>
        <a:prstGeom prst="rect">
          <a:avLst/>
        </a:prstGeom>
      </xdr:spPr>
    </xdr:pic>
    <xdr:clientData/>
  </xdr:twoCellAnchor>
  <xdr:twoCellAnchor>
    <xdr:from>
      <xdr:col>4</xdr:col>
      <xdr:colOff>508000</xdr:colOff>
      <xdr:row>37</xdr:row>
      <xdr:rowOff>25400</xdr:rowOff>
    </xdr:from>
    <xdr:to>
      <xdr:col>4</xdr:col>
      <xdr:colOff>514350</xdr:colOff>
      <xdr:row>43</xdr:row>
      <xdr:rowOff>25400</xdr:rowOff>
    </xdr:to>
    <xdr:cxnSp macro="">
      <xdr:nvCxnSpPr>
        <xdr:cNvPr id="4" name="Straight Connector 3"/>
        <xdr:cNvCxnSpPr/>
      </xdr:nvCxnSpPr>
      <xdr:spPr>
        <a:xfrm flipH="1" flipV="1">
          <a:off x="2946400" y="6838950"/>
          <a:ext cx="6350" cy="110490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34</xdr:row>
      <xdr:rowOff>101600</xdr:rowOff>
    </xdr:from>
    <xdr:to>
      <xdr:col>6</xdr:col>
      <xdr:colOff>546100</xdr:colOff>
      <xdr:row>43</xdr:row>
      <xdr:rowOff>19050</xdr:rowOff>
    </xdr:to>
    <xdr:cxnSp macro="">
      <xdr:nvCxnSpPr>
        <xdr:cNvPr id="6" name="Straight Connector 5"/>
        <xdr:cNvCxnSpPr/>
      </xdr:nvCxnSpPr>
      <xdr:spPr>
        <a:xfrm flipH="1" flipV="1">
          <a:off x="4191000" y="6362700"/>
          <a:ext cx="12700" cy="157480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37</xdr:row>
      <xdr:rowOff>44450</xdr:rowOff>
    </xdr:from>
    <xdr:to>
      <xdr:col>6</xdr:col>
      <xdr:colOff>44450</xdr:colOff>
      <xdr:row>43</xdr:row>
      <xdr:rowOff>44450</xdr:rowOff>
    </xdr:to>
    <xdr:cxnSp macro="">
      <xdr:nvCxnSpPr>
        <xdr:cNvPr id="8" name="Straight Connector 7"/>
        <xdr:cNvCxnSpPr/>
      </xdr:nvCxnSpPr>
      <xdr:spPr>
        <a:xfrm flipH="1" flipV="1">
          <a:off x="3695700" y="6858000"/>
          <a:ext cx="6350" cy="110490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6</xdr:col>
      <xdr:colOff>578036</xdr:colOff>
      <xdr:row>45</xdr:row>
      <xdr:rowOff>25714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2209800"/>
          <a:ext cx="3626036" cy="610266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12700</xdr:colOff>
      <xdr:row>13</xdr:row>
      <xdr:rowOff>51656</xdr:rowOff>
    </xdr:from>
    <xdr:to>
      <xdr:col>24</xdr:col>
      <xdr:colOff>546670</xdr:colOff>
      <xdr:row>49</xdr:row>
      <xdr:rowOff>38489</xdr:rowOff>
    </xdr:to>
    <xdr:pic>
      <xdr:nvPicPr>
        <xdr:cNvPr id="4" name="Picture 3"/>
        <xdr:cNvPicPr>
          <a:picLocks noChangeAspect="1"/>
        </xdr:cNvPicPr>
      </xdr:nvPicPr>
      <xdr:blipFill>
        <a:blip xmlns:r="http://schemas.openxmlformats.org/officeDocument/2006/relationships" r:embed="rId1"/>
        <a:stretch>
          <a:fillRect/>
        </a:stretch>
      </xdr:blipFill>
      <xdr:spPr>
        <a:xfrm>
          <a:off x="5499100" y="2445606"/>
          <a:ext cx="9677970" cy="661623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158750</xdr:colOff>
      <xdr:row>21</xdr:row>
      <xdr:rowOff>120650</xdr:rowOff>
    </xdr:from>
    <xdr:to>
      <xdr:col>9</xdr:col>
      <xdr:colOff>470226</xdr:colOff>
      <xdr:row>26</xdr:row>
      <xdr:rowOff>139748</xdr:rowOff>
    </xdr:to>
    <xdr:pic>
      <xdr:nvPicPr>
        <xdr:cNvPr id="2" name="Picture 1"/>
        <xdr:cNvPicPr>
          <a:picLocks noChangeAspect="1"/>
        </xdr:cNvPicPr>
      </xdr:nvPicPr>
      <xdr:blipFill>
        <a:blip xmlns:r="http://schemas.openxmlformats.org/officeDocument/2006/relationships" r:embed="rId1"/>
        <a:stretch>
          <a:fillRect/>
        </a:stretch>
      </xdr:blipFill>
      <xdr:spPr>
        <a:xfrm>
          <a:off x="768350" y="3987800"/>
          <a:ext cx="6337626" cy="939848"/>
        </a:xfrm>
        <a:prstGeom prst="rect">
          <a:avLst/>
        </a:prstGeom>
      </xdr:spPr>
    </xdr:pic>
    <xdr:clientData/>
  </xdr:twoCellAnchor>
  <xdr:twoCellAnchor editAs="oneCell">
    <xdr:from>
      <xdr:col>0</xdr:col>
      <xdr:colOff>330200</xdr:colOff>
      <xdr:row>11</xdr:row>
      <xdr:rowOff>19050</xdr:rowOff>
    </xdr:from>
    <xdr:to>
      <xdr:col>9</xdr:col>
      <xdr:colOff>597255</xdr:colOff>
      <xdr:row>20</xdr:row>
      <xdr:rowOff>50887</xdr:rowOff>
    </xdr:to>
    <xdr:pic>
      <xdr:nvPicPr>
        <xdr:cNvPr id="3" name="Picture 2"/>
        <xdr:cNvPicPr>
          <a:picLocks noChangeAspect="1"/>
        </xdr:cNvPicPr>
      </xdr:nvPicPr>
      <xdr:blipFill>
        <a:blip xmlns:r="http://schemas.openxmlformats.org/officeDocument/2006/relationships" r:embed="rId2"/>
        <a:stretch>
          <a:fillRect/>
        </a:stretch>
      </xdr:blipFill>
      <xdr:spPr>
        <a:xfrm>
          <a:off x="330200" y="2044700"/>
          <a:ext cx="6902805" cy="1689187"/>
        </a:xfrm>
        <a:prstGeom prst="rect">
          <a:avLst/>
        </a:prstGeom>
      </xdr:spPr>
    </xdr:pic>
    <xdr:clientData/>
  </xdr:twoCellAnchor>
  <xdr:twoCellAnchor editAs="oneCell">
    <xdr:from>
      <xdr:col>1</xdr:col>
      <xdr:colOff>0</xdr:colOff>
      <xdr:row>30</xdr:row>
      <xdr:rowOff>0</xdr:rowOff>
    </xdr:from>
    <xdr:to>
      <xdr:col>7</xdr:col>
      <xdr:colOff>19298</xdr:colOff>
      <xdr:row>63</xdr:row>
      <xdr:rowOff>89217</xdr:rowOff>
    </xdr:to>
    <xdr:pic>
      <xdr:nvPicPr>
        <xdr:cNvPr id="4" name="Picture 3"/>
        <xdr:cNvPicPr>
          <a:picLocks noChangeAspect="1"/>
        </xdr:cNvPicPr>
      </xdr:nvPicPr>
      <xdr:blipFill>
        <a:blip xmlns:r="http://schemas.openxmlformats.org/officeDocument/2006/relationships" r:embed="rId3"/>
        <a:stretch>
          <a:fillRect/>
        </a:stretch>
      </xdr:blipFill>
      <xdr:spPr>
        <a:xfrm>
          <a:off x="609600" y="5524500"/>
          <a:ext cx="4826248" cy="6166167"/>
        </a:xfrm>
        <a:prstGeom prst="rect">
          <a:avLst/>
        </a:prstGeom>
      </xdr:spPr>
    </xdr:pic>
    <xdr:clientData/>
  </xdr:twoCellAnchor>
  <xdr:oneCellAnchor>
    <xdr:from>
      <xdr:col>1</xdr:col>
      <xdr:colOff>0</xdr:colOff>
      <xdr:row>71</xdr:row>
      <xdr:rowOff>0</xdr:rowOff>
    </xdr:from>
    <xdr:ext cx="5296172" cy="5861351"/>
    <xdr:pic>
      <xdr:nvPicPr>
        <xdr:cNvPr id="6" name="Picture 5"/>
        <xdr:cNvPicPr>
          <a:picLocks noChangeAspect="1"/>
        </xdr:cNvPicPr>
      </xdr:nvPicPr>
      <xdr:blipFill>
        <a:blip xmlns:r="http://schemas.openxmlformats.org/officeDocument/2006/relationships" r:embed="rId4"/>
        <a:stretch>
          <a:fillRect/>
        </a:stretch>
      </xdr:blipFill>
      <xdr:spPr>
        <a:xfrm>
          <a:off x="609600" y="13074650"/>
          <a:ext cx="5296172" cy="5861351"/>
        </a:xfrm>
        <a:prstGeom prst="rect">
          <a:avLst/>
        </a:prstGeom>
      </xdr:spPr>
    </xdr:pic>
    <xdr:clientData/>
  </xdr:oneCellAnchor>
  <xdr:twoCellAnchor editAs="oneCell">
    <xdr:from>
      <xdr:col>10</xdr:col>
      <xdr:colOff>465918</xdr:colOff>
      <xdr:row>6</xdr:row>
      <xdr:rowOff>146050</xdr:rowOff>
    </xdr:from>
    <xdr:to>
      <xdr:col>22</xdr:col>
      <xdr:colOff>133430</xdr:colOff>
      <xdr:row>32</xdr:row>
      <xdr:rowOff>139700</xdr:rowOff>
    </xdr:to>
    <xdr:pic>
      <xdr:nvPicPr>
        <xdr:cNvPr id="5" name="Picture 4"/>
        <xdr:cNvPicPr>
          <a:picLocks noChangeAspect="1"/>
        </xdr:cNvPicPr>
      </xdr:nvPicPr>
      <xdr:blipFill>
        <a:blip xmlns:r="http://schemas.openxmlformats.org/officeDocument/2006/relationships" r:embed="rId5"/>
        <a:stretch>
          <a:fillRect/>
        </a:stretch>
      </xdr:blipFill>
      <xdr:spPr>
        <a:xfrm>
          <a:off x="7711268" y="1250950"/>
          <a:ext cx="6982712" cy="47815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101601</xdr:colOff>
      <xdr:row>13</xdr:row>
      <xdr:rowOff>142852</xdr:rowOff>
    </xdr:from>
    <xdr:to>
      <xdr:col>22</xdr:col>
      <xdr:colOff>25401</xdr:colOff>
      <xdr:row>30</xdr:row>
      <xdr:rowOff>101803</xdr:rowOff>
    </xdr:to>
    <xdr:pic>
      <xdr:nvPicPr>
        <xdr:cNvPr id="2" name="Picture 1"/>
        <xdr:cNvPicPr>
          <a:picLocks noChangeAspect="1"/>
        </xdr:cNvPicPr>
      </xdr:nvPicPr>
      <xdr:blipFill>
        <a:blip xmlns:r="http://schemas.openxmlformats.org/officeDocument/2006/relationships" r:embed="rId1"/>
        <a:stretch>
          <a:fillRect/>
        </a:stretch>
      </xdr:blipFill>
      <xdr:spPr>
        <a:xfrm>
          <a:off x="7416801" y="2613002"/>
          <a:ext cx="6019800" cy="3089501"/>
        </a:xfrm>
        <a:prstGeom prst="rect">
          <a:avLst/>
        </a:prstGeom>
      </xdr:spPr>
    </xdr:pic>
    <xdr:clientData/>
  </xdr:twoCellAnchor>
  <xdr:twoCellAnchor editAs="oneCell">
    <xdr:from>
      <xdr:col>3</xdr:col>
      <xdr:colOff>38101</xdr:colOff>
      <xdr:row>11</xdr:row>
      <xdr:rowOff>63500</xdr:rowOff>
    </xdr:from>
    <xdr:to>
      <xdr:col>12</xdr:col>
      <xdr:colOff>176701</xdr:colOff>
      <xdr:row>31</xdr:row>
      <xdr:rowOff>51051</xdr:rowOff>
    </xdr:to>
    <xdr:pic>
      <xdr:nvPicPr>
        <xdr:cNvPr id="3" name="Picture 2"/>
        <xdr:cNvPicPr>
          <a:picLocks noChangeAspect="1"/>
        </xdr:cNvPicPr>
      </xdr:nvPicPr>
      <xdr:blipFill>
        <a:blip xmlns:r="http://schemas.openxmlformats.org/officeDocument/2006/relationships" r:embed="rId2"/>
        <a:stretch>
          <a:fillRect/>
        </a:stretch>
      </xdr:blipFill>
      <xdr:spPr>
        <a:xfrm>
          <a:off x="1866901" y="2165350"/>
          <a:ext cx="5625000" cy="3670551"/>
        </a:xfrm>
        <a:prstGeom prst="rect">
          <a:avLst/>
        </a:prstGeom>
      </xdr:spPr>
    </xdr:pic>
    <xdr:clientData/>
  </xdr:twoCellAnchor>
  <xdr:twoCellAnchor editAs="oneCell">
    <xdr:from>
      <xdr:col>1</xdr:col>
      <xdr:colOff>393700</xdr:colOff>
      <xdr:row>33</xdr:row>
      <xdr:rowOff>19050</xdr:rowOff>
    </xdr:from>
    <xdr:to>
      <xdr:col>6</xdr:col>
      <xdr:colOff>596588</xdr:colOff>
      <xdr:row>47</xdr:row>
      <xdr:rowOff>33565</xdr:rowOff>
    </xdr:to>
    <xdr:pic>
      <xdr:nvPicPr>
        <xdr:cNvPr id="4" name="Picture 3"/>
        <xdr:cNvPicPr>
          <a:picLocks noChangeAspect="1"/>
        </xdr:cNvPicPr>
      </xdr:nvPicPr>
      <xdr:blipFill>
        <a:blip xmlns:r="http://schemas.openxmlformats.org/officeDocument/2006/relationships" r:embed="rId3"/>
        <a:stretch>
          <a:fillRect/>
        </a:stretch>
      </xdr:blipFill>
      <xdr:spPr>
        <a:xfrm>
          <a:off x="1003300" y="6172200"/>
          <a:ext cx="3250888" cy="259261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0</xdr:colOff>
      <xdr:row>89</xdr:row>
      <xdr:rowOff>0</xdr:rowOff>
    </xdr:from>
    <xdr:to>
      <xdr:col>21</xdr:col>
      <xdr:colOff>197205</xdr:colOff>
      <xdr:row>97</xdr:row>
      <xdr:rowOff>165187</xdr:rowOff>
    </xdr:to>
    <xdr:pic>
      <xdr:nvPicPr>
        <xdr:cNvPr id="2" name="Picture 1"/>
        <xdr:cNvPicPr>
          <a:picLocks noChangeAspect="1"/>
        </xdr:cNvPicPr>
      </xdr:nvPicPr>
      <xdr:blipFill>
        <a:blip xmlns:r="http://schemas.openxmlformats.org/officeDocument/2006/relationships" r:embed="rId1"/>
        <a:stretch>
          <a:fillRect/>
        </a:stretch>
      </xdr:blipFill>
      <xdr:spPr>
        <a:xfrm>
          <a:off x="7924800" y="16878300"/>
          <a:ext cx="6902805" cy="16891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1</xdr:row>
      <xdr:rowOff>38100</xdr:rowOff>
    </xdr:from>
    <xdr:to>
      <xdr:col>5</xdr:col>
      <xdr:colOff>412750</xdr:colOff>
      <xdr:row>18</xdr:row>
      <xdr:rowOff>149860</xdr:rowOff>
    </xdr:to>
    <xdr:pic>
      <xdr:nvPicPr>
        <xdr:cNvPr id="2" name="Picture 1"/>
        <xdr:cNvPicPr>
          <a:picLocks noChangeAspect="1"/>
        </xdr:cNvPicPr>
      </xdr:nvPicPr>
      <xdr:blipFill>
        <a:blip xmlns:r="http://schemas.openxmlformats.org/officeDocument/2006/relationships" r:embed="rId1"/>
        <a:stretch>
          <a:fillRect/>
        </a:stretch>
      </xdr:blipFill>
      <xdr:spPr>
        <a:xfrm>
          <a:off x="374650" y="2432050"/>
          <a:ext cx="6343650" cy="32423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5628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0.14226</cdr:x>
      <cdr:y>0.74928</cdr:y>
    </cdr:from>
    <cdr:to>
      <cdr:x>0.15063</cdr:x>
      <cdr:y>0.87608</cdr:y>
    </cdr:to>
    <cdr:cxnSp macro="">
      <cdr:nvCxnSpPr>
        <cdr:cNvPr id="5" name="Straight Arrow Connector 4"/>
        <cdr:cNvCxnSpPr/>
      </cdr:nvCxnSpPr>
      <cdr:spPr>
        <a:xfrm xmlns:a="http://schemas.openxmlformats.org/drawingml/2006/main" flipH="1">
          <a:off x="1233714" y="4717143"/>
          <a:ext cx="72572" cy="798286"/>
        </a:xfrm>
        <a:prstGeom xmlns:a="http://schemas.openxmlformats.org/drawingml/2006/main" prst="straightConnector1">
          <a:avLst/>
        </a:prstGeom>
        <a:ln xmlns:a="http://schemas.openxmlformats.org/drawingml/2006/main">
          <a:solidFill>
            <a:schemeClr val="accent6">
              <a:lumMod val="75000"/>
            </a:schemeClr>
          </a:solidFill>
          <a:prstDash val="sysDot"/>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0.15167</cdr:x>
      <cdr:y>0.7536</cdr:y>
    </cdr:from>
    <cdr:to>
      <cdr:x>0.16799</cdr:x>
      <cdr:y>0.85821</cdr:y>
    </cdr:to>
    <cdr:cxnSp macro="">
      <cdr:nvCxnSpPr>
        <cdr:cNvPr id="7" name="Straight Arrow Connector 6"/>
        <cdr:cNvCxnSpPr/>
      </cdr:nvCxnSpPr>
      <cdr:spPr>
        <a:xfrm xmlns:a="http://schemas.openxmlformats.org/drawingml/2006/main">
          <a:off x="1315357" y="4744357"/>
          <a:ext cx="141513" cy="658587"/>
        </a:xfrm>
        <a:prstGeom xmlns:a="http://schemas.openxmlformats.org/drawingml/2006/main" prst="straightConnector1">
          <a:avLst/>
        </a:prstGeom>
        <a:ln xmlns:a="http://schemas.openxmlformats.org/drawingml/2006/main">
          <a:solidFill>
            <a:schemeClr val="accent6">
              <a:lumMod val="75000"/>
            </a:schemeClr>
          </a:solidFill>
          <a:prstDash val="sysDot"/>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0.11715</cdr:x>
      <cdr:y>0.70461</cdr:y>
    </cdr:from>
    <cdr:to>
      <cdr:x>0.29916</cdr:x>
      <cdr:y>0.75216</cdr:y>
    </cdr:to>
    <cdr:sp macro="" textlink="">
      <cdr:nvSpPr>
        <cdr:cNvPr id="10" name="TextBox 9"/>
        <cdr:cNvSpPr txBox="1"/>
      </cdr:nvSpPr>
      <cdr:spPr>
        <a:xfrm xmlns:a="http://schemas.openxmlformats.org/drawingml/2006/main">
          <a:off x="1016000" y="4435929"/>
          <a:ext cx="1578429" cy="2993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0">
              <a:solidFill>
                <a:schemeClr val="accent6">
                  <a:lumMod val="75000"/>
                </a:schemeClr>
              </a:solidFill>
              <a:latin typeface="Century Gothic" panose="020B0502020202020204" pitchFamily="34" charset="0"/>
            </a:rPr>
            <a:t>Historical Sales</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387350</xdr:colOff>
      <xdr:row>10</xdr:row>
      <xdr:rowOff>88900</xdr:rowOff>
    </xdr:from>
    <xdr:to>
      <xdr:col>11</xdr:col>
      <xdr:colOff>57508</xdr:colOff>
      <xdr:row>30</xdr:row>
      <xdr:rowOff>31936</xdr:rowOff>
    </xdr:to>
    <xdr:pic>
      <xdr:nvPicPr>
        <xdr:cNvPr id="2" name="Picture 1"/>
        <xdr:cNvPicPr>
          <a:picLocks noChangeAspect="1"/>
        </xdr:cNvPicPr>
      </xdr:nvPicPr>
      <xdr:blipFill>
        <a:blip xmlns:r="http://schemas.openxmlformats.org/officeDocument/2006/relationships" r:embed="rId1"/>
        <a:stretch>
          <a:fillRect/>
        </a:stretch>
      </xdr:blipFill>
      <xdr:spPr>
        <a:xfrm>
          <a:off x="387350" y="1930400"/>
          <a:ext cx="6959958" cy="3626036"/>
        </a:xfrm>
        <a:prstGeom prst="rect">
          <a:avLst/>
        </a:prstGeom>
      </xdr:spPr>
    </xdr:pic>
    <xdr:clientData/>
  </xdr:twoCellAnchor>
  <xdr:twoCellAnchor editAs="oneCell">
    <xdr:from>
      <xdr:col>12</xdr:col>
      <xdr:colOff>488950</xdr:colOff>
      <xdr:row>15</xdr:row>
      <xdr:rowOff>87402</xdr:rowOff>
    </xdr:from>
    <xdr:to>
      <xdr:col>23</xdr:col>
      <xdr:colOff>317998</xdr:colOff>
      <xdr:row>29</xdr:row>
      <xdr:rowOff>25591</xdr:rowOff>
    </xdr:to>
    <xdr:pic>
      <xdr:nvPicPr>
        <xdr:cNvPr id="3" name="Picture 2"/>
        <xdr:cNvPicPr>
          <a:picLocks noChangeAspect="1"/>
        </xdr:cNvPicPr>
      </xdr:nvPicPr>
      <xdr:blipFill>
        <a:blip xmlns:r="http://schemas.openxmlformats.org/officeDocument/2006/relationships" r:embed="rId2"/>
        <a:stretch>
          <a:fillRect/>
        </a:stretch>
      </xdr:blipFill>
      <xdr:spPr>
        <a:xfrm>
          <a:off x="7804150" y="2849652"/>
          <a:ext cx="6534648" cy="25162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0</xdr:colOff>
      <xdr:row>34</xdr:row>
      <xdr:rowOff>0</xdr:rowOff>
    </xdr:from>
    <xdr:to>
      <xdr:col>18</xdr:col>
      <xdr:colOff>288631</xdr:colOff>
      <xdr:row>61</xdr:row>
      <xdr:rowOff>133350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5906750" y="4470400"/>
          <a:ext cx="4174831" cy="4406900"/>
        </a:xfrm>
        <a:prstGeom prst="rect">
          <a:avLst/>
        </a:prstGeom>
        <a:ln w="28575">
          <a:solidFill>
            <a:schemeClr val="tx1"/>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272144</xdr:colOff>
      <xdr:row>13</xdr:row>
      <xdr:rowOff>101598</xdr:rowOff>
    </xdr:from>
    <xdr:to>
      <xdr:col>9</xdr:col>
      <xdr:colOff>245275</xdr:colOff>
      <xdr:row>28</xdr:row>
      <xdr:rowOff>123370</xdr:rowOff>
    </xdr:to>
    <xdr:pic>
      <xdr:nvPicPr>
        <xdr:cNvPr id="2" name="Picture 1"/>
        <xdr:cNvPicPr>
          <a:picLocks noChangeAspect="1"/>
        </xdr:cNvPicPr>
      </xdr:nvPicPr>
      <xdr:blipFill>
        <a:blip xmlns:r="http://schemas.openxmlformats.org/officeDocument/2006/relationships" r:embed="rId1"/>
        <a:stretch>
          <a:fillRect/>
        </a:stretch>
      </xdr:blipFill>
      <xdr:spPr>
        <a:xfrm>
          <a:off x="3991430" y="2507341"/>
          <a:ext cx="4697531" cy="2797629"/>
        </a:xfrm>
        <a:prstGeom prst="rect">
          <a:avLst/>
        </a:prstGeom>
      </xdr:spPr>
    </xdr:pic>
    <xdr:clientData/>
  </xdr:twoCellAnchor>
  <xdr:twoCellAnchor>
    <xdr:from>
      <xdr:col>1</xdr:col>
      <xdr:colOff>105228</xdr:colOff>
      <xdr:row>59</xdr:row>
      <xdr:rowOff>34844</xdr:rowOff>
    </xdr:from>
    <xdr:to>
      <xdr:col>10</xdr:col>
      <xdr:colOff>94342</xdr:colOff>
      <xdr:row>76</xdr:row>
      <xdr:rowOff>58964</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828" y="18370015"/>
          <a:ext cx="5475514" cy="3170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120650</xdr:colOff>
      <xdr:row>28</xdr:row>
      <xdr:rowOff>6350</xdr:rowOff>
    </xdr:from>
    <xdr:to>
      <xdr:col>6</xdr:col>
      <xdr:colOff>838200</xdr:colOff>
      <xdr:row>43</xdr:row>
      <xdr:rowOff>82550</xdr:rowOff>
    </xdr:to>
    <xdr:pic>
      <xdr:nvPicPr>
        <xdr:cNvPr id="3" name="Picture 2"/>
        <xdr:cNvPicPr/>
      </xdr:nvPicPr>
      <xdr:blipFill>
        <a:blip xmlns:r="http://schemas.openxmlformats.org/officeDocument/2006/relationships" r:embed="rId1"/>
        <a:stretch>
          <a:fillRect/>
        </a:stretch>
      </xdr:blipFill>
      <xdr:spPr>
        <a:xfrm>
          <a:off x="1339850" y="5162550"/>
          <a:ext cx="3917950" cy="28384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12700</xdr:colOff>
      <xdr:row>6</xdr:row>
      <xdr:rowOff>38100</xdr:rowOff>
    </xdr:from>
    <xdr:to>
      <xdr:col>25</xdr:col>
      <xdr:colOff>417355</xdr:colOff>
      <xdr:row>42</xdr:row>
      <xdr:rowOff>178304</xdr:rowOff>
    </xdr:to>
    <xdr:pic>
      <xdr:nvPicPr>
        <xdr:cNvPr id="2" name="Picture 1"/>
        <xdr:cNvPicPr>
          <a:picLocks noChangeAspect="1"/>
        </xdr:cNvPicPr>
      </xdr:nvPicPr>
      <xdr:blipFill>
        <a:blip xmlns:r="http://schemas.openxmlformats.org/officeDocument/2006/relationships" r:embed="rId1"/>
        <a:stretch>
          <a:fillRect/>
        </a:stretch>
      </xdr:blipFill>
      <xdr:spPr>
        <a:xfrm>
          <a:off x="6718300" y="1143000"/>
          <a:ext cx="8939055" cy="6769604"/>
        </a:xfrm>
        <a:prstGeom prst="rect">
          <a:avLst/>
        </a:prstGeom>
      </xdr:spPr>
    </xdr:pic>
    <xdr:clientData/>
  </xdr:twoCellAnchor>
  <xdr:twoCellAnchor editAs="oneCell">
    <xdr:from>
      <xdr:col>0</xdr:col>
      <xdr:colOff>457200</xdr:colOff>
      <xdr:row>27</xdr:row>
      <xdr:rowOff>165100</xdr:rowOff>
    </xdr:from>
    <xdr:to>
      <xdr:col>12</xdr:col>
      <xdr:colOff>82907</xdr:colOff>
      <xdr:row>50</xdr:row>
      <xdr:rowOff>152617</xdr:rowOff>
    </xdr:to>
    <xdr:pic>
      <xdr:nvPicPr>
        <xdr:cNvPr id="3" name="Picture 2"/>
        <xdr:cNvPicPr>
          <a:picLocks noChangeAspect="1"/>
        </xdr:cNvPicPr>
      </xdr:nvPicPr>
      <xdr:blipFill>
        <a:blip xmlns:r="http://schemas.openxmlformats.org/officeDocument/2006/relationships" r:embed="rId2"/>
        <a:stretch>
          <a:fillRect/>
        </a:stretch>
      </xdr:blipFill>
      <xdr:spPr>
        <a:xfrm>
          <a:off x="457200" y="5137150"/>
          <a:ext cx="6940907" cy="4222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next10.org/grid-ev"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fullertreacymoney.com/system/data/files/PDFs/2018/May/14th/RBC%20Capital%20Markets_RBC%20Electric%20Vehicle%20Forecast%20Through%202050%20%20Primer_11May2018.pdf"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www.accenture.com/_acnmedia/PDF-97/Accenture-Utilities-Lead-Charge-eMobility.pdf?utm_source=newsletter&amp;utm_medium=email&amp;utm_campaign=newsletter_axiosgenerate&amp;stream=top"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about.bnef.com/electric-vehicle-outlook/"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evadoption.com/ev-market-share/ev-market-share-california/" TargetMode="External"/><Relationship Id="rId1" Type="http://schemas.openxmlformats.org/officeDocument/2006/relationships/hyperlink" Target="https://www.barrons.com/articles/tesla-and-gm-watch-tax-credits-dwindle-51546620648"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bp.com/en/global/corporate/energy-economics/energy-outlook/demand-by-sector/transport.html"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ebstore.iea.org/download/direct/1045?fileName=Global_EV_Outlook_2018.pdf" TargetMode="External"/><Relationship Id="rId2" Type="http://schemas.openxmlformats.org/officeDocument/2006/relationships/hyperlink" Target="https://www.iea.org/tcep/" TargetMode="External"/><Relationship Id="rId1" Type="http://schemas.openxmlformats.org/officeDocument/2006/relationships/hyperlink" Target="https://www.iea.org/newsroom/news/2018/may/strong-policy-and-falling-battery-costs-drive-another-record-year-for-electric-ca.html" TargetMode="External"/><Relationship Id="rId4"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www.arb.ca.gov/msprog/zevprog/factsheets/zev_regulation_factsheet_082418.pdf" TargetMode="External"/><Relationship Id="rId1" Type="http://schemas.openxmlformats.org/officeDocument/2006/relationships/hyperlink" Target="http://blog.ucsusa.org/dave-reichmuth/what-will-it-take-for-automakers-to-meet-californias-ev-requirements-not-as-much-as-you-might-th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edisonfoundation.net/iei/publications/Documents/IEI_EEI%20EV%20Forecast%20Report_Nov2018.pdf" TargetMode="External"/><Relationship Id="rId1" Type="http://schemas.openxmlformats.org/officeDocument/2006/relationships/hyperlink" Target="https://www.jpmorgan.com/global/research/electric-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3" workbookViewId="0">
      <selection activeCell="A55" sqref="A55"/>
    </sheetView>
  </sheetViews>
  <sheetFormatPr defaultRowHeight="15" x14ac:dyDescent="0.25"/>
  <cols>
    <col min="2" max="2" width="56.28515625" customWidth="1"/>
  </cols>
  <sheetData>
    <row r="1" spans="1:2" x14ac:dyDescent="0.25">
      <c r="A1" s="1" t="s">
        <v>0</v>
      </c>
    </row>
    <row r="3" spans="1:2" ht="14.45" x14ac:dyDescent="0.35">
      <c r="A3" s="1" t="s">
        <v>179</v>
      </c>
      <c r="B3" s="2" t="s">
        <v>673</v>
      </c>
    </row>
    <row r="4" spans="1:2" ht="14.45" x14ac:dyDescent="0.35">
      <c r="B4" s="46" t="s">
        <v>173</v>
      </c>
    </row>
    <row r="5" spans="1:2" ht="14.45" x14ac:dyDescent="0.35">
      <c r="B5" s="46" t="s">
        <v>174</v>
      </c>
    </row>
    <row r="6" spans="1:2" ht="14.45" x14ac:dyDescent="0.35">
      <c r="B6" s="46" t="s">
        <v>175</v>
      </c>
    </row>
    <row r="7" spans="1:2" ht="14.45" x14ac:dyDescent="0.35">
      <c r="B7" s="46" t="s">
        <v>176</v>
      </c>
    </row>
    <row r="8" spans="1:2" ht="14.45" x14ac:dyDescent="0.35">
      <c r="B8" s="46" t="s">
        <v>177</v>
      </c>
    </row>
    <row r="9" spans="1:2" ht="14.45" x14ac:dyDescent="0.35">
      <c r="B9" s="12" t="s">
        <v>178</v>
      </c>
    </row>
    <row r="11" spans="1:2" ht="14.45" x14ac:dyDescent="0.35">
      <c r="B11" s="309" t="s">
        <v>180</v>
      </c>
    </row>
    <row r="12" spans="1:2" ht="14.45" x14ac:dyDescent="0.35">
      <c r="B12" t="s">
        <v>170</v>
      </c>
    </row>
    <row r="13" spans="1:2" ht="14.45" x14ac:dyDescent="0.35">
      <c r="B13" s="12">
        <v>2019</v>
      </c>
    </row>
    <row r="14" spans="1:2" ht="14.45" x14ac:dyDescent="0.35">
      <c r="B14" t="s">
        <v>172</v>
      </c>
    </row>
    <row r="15" spans="1:2" ht="14.45" x14ac:dyDescent="0.35">
      <c r="B15" t="s">
        <v>171</v>
      </c>
    </row>
    <row r="17" spans="1:2" ht="14.45" x14ac:dyDescent="0.35">
      <c r="B17" t="s">
        <v>674</v>
      </c>
    </row>
    <row r="18" spans="1:2" ht="14.45" x14ac:dyDescent="0.35">
      <c r="B18" t="s">
        <v>676</v>
      </c>
    </row>
    <row r="19" spans="1:2" ht="14.45" x14ac:dyDescent="0.35">
      <c r="B19" t="s">
        <v>677</v>
      </c>
    </row>
    <row r="21" spans="1:2" ht="14.45" x14ac:dyDescent="0.35">
      <c r="B21" s="2" t="s">
        <v>693</v>
      </c>
    </row>
    <row r="22" spans="1:2" ht="14.45" x14ac:dyDescent="0.35">
      <c r="B22" t="s">
        <v>694</v>
      </c>
    </row>
    <row r="25" spans="1:2" ht="14.45" x14ac:dyDescent="0.35">
      <c r="A25" s="1" t="s">
        <v>68</v>
      </c>
    </row>
    <row r="26" spans="1:2" ht="14.45" x14ac:dyDescent="0.35">
      <c r="A26" s="39" t="s">
        <v>691</v>
      </c>
    </row>
    <row r="27" spans="1:2" ht="14.45" x14ac:dyDescent="0.35">
      <c r="A27" t="s">
        <v>692</v>
      </c>
    </row>
    <row r="28" spans="1:2" ht="14.45" x14ac:dyDescent="0.35">
      <c r="A28" t="s">
        <v>696</v>
      </c>
    </row>
    <row r="29" spans="1:2" ht="14.45" x14ac:dyDescent="0.35">
      <c r="A29" s="39" t="s">
        <v>697</v>
      </c>
    </row>
    <row r="30" spans="1:2" ht="14.45" x14ac:dyDescent="0.35">
      <c r="A30" s="39" t="s">
        <v>698</v>
      </c>
    </row>
    <row r="32" spans="1:2" ht="14.45" x14ac:dyDescent="0.35">
      <c r="A32" t="s">
        <v>702</v>
      </c>
    </row>
    <row r="33" spans="1:1" ht="14.45" x14ac:dyDescent="0.35">
      <c r="A33" t="s">
        <v>703</v>
      </c>
    </row>
    <row r="34" spans="1:1" ht="14.45" x14ac:dyDescent="0.35">
      <c r="A34" s="39" t="s">
        <v>704</v>
      </c>
    </row>
    <row r="36" spans="1:1" x14ac:dyDescent="0.25">
      <c r="A36" t="s">
        <v>695</v>
      </c>
    </row>
    <row r="38" spans="1:1" x14ac:dyDescent="0.25">
      <c r="A38" s="1" t="s">
        <v>181</v>
      </c>
    </row>
    <row r="39" spans="1:1" x14ac:dyDescent="0.25">
      <c r="A39" t="s">
        <v>699</v>
      </c>
    </row>
    <row r="40" spans="1:1" x14ac:dyDescent="0.25">
      <c r="A40" s="39" t="s">
        <v>700</v>
      </c>
    </row>
    <row r="41" spans="1:1" x14ac:dyDescent="0.25">
      <c r="A41" s="39" t="s">
        <v>701</v>
      </c>
    </row>
    <row r="43" spans="1:1" x14ac:dyDescent="0.25">
      <c r="A43" t="s">
        <v>640</v>
      </c>
    </row>
    <row r="44" spans="1:1" x14ac:dyDescent="0.25">
      <c r="A44" t="s">
        <v>641</v>
      </c>
    </row>
    <row r="45" spans="1:1" x14ac:dyDescent="0.25">
      <c r="A45" t="s">
        <v>705</v>
      </c>
    </row>
    <row r="46" spans="1:1" x14ac:dyDescent="0.25">
      <c r="A46" t="s">
        <v>706</v>
      </c>
    </row>
    <row r="47" spans="1:1" x14ac:dyDescent="0.25">
      <c r="A47" t="s">
        <v>642</v>
      </c>
    </row>
    <row r="49" spans="1:1" x14ac:dyDescent="0.25">
      <c r="A49" t="s">
        <v>650</v>
      </c>
    </row>
    <row r="51" spans="1:1" x14ac:dyDescent="0.25">
      <c r="A51" t="s">
        <v>643</v>
      </c>
    </row>
    <row r="52" spans="1:1" x14ac:dyDescent="0.25">
      <c r="A52" t="s">
        <v>644</v>
      </c>
    </row>
    <row r="53" spans="1:1" x14ac:dyDescent="0.25">
      <c r="A53" t="s">
        <v>645</v>
      </c>
    </row>
    <row r="54" spans="1:1" x14ac:dyDescent="0.25">
      <c r="A54" t="s">
        <v>707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7"/>
  <sheetViews>
    <sheetView zoomScaleNormal="100" workbookViewId="0">
      <selection activeCell="I32" sqref="I32"/>
    </sheetView>
  </sheetViews>
  <sheetFormatPr defaultRowHeight="15" x14ac:dyDescent="0.25"/>
  <cols>
    <col min="5" max="7" width="14.140625" bestFit="1" customWidth="1"/>
    <col min="8" max="12" width="15.5703125" bestFit="1" customWidth="1"/>
    <col min="17" max="17" width="11.85546875" bestFit="1" customWidth="1"/>
  </cols>
  <sheetData>
    <row r="2" spans="1:14" x14ac:dyDescent="0.35">
      <c r="B2" s="47" t="s">
        <v>200</v>
      </c>
    </row>
    <row r="4" spans="1:14" x14ac:dyDescent="0.35">
      <c r="B4">
        <v>2015</v>
      </c>
      <c r="C4">
        <v>2016</v>
      </c>
      <c r="D4">
        <v>2017</v>
      </c>
      <c r="E4">
        <f>D4+1</f>
        <v>2018</v>
      </c>
      <c r="F4">
        <f t="shared" ref="F4:L4" si="0">E4+1</f>
        <v>2019</v>
      </c>
      <c r="G4">
        <f t="shared" si="0"/>
        <v>2020</v>
      </c>
      <c r="H4">
        <f t="shared" si="0"/>
        <v>2021</v>
      </c>
      <c r="I4">
        <f t="shared" si="0"/>
        <v>2022</v>
      </c>
      <c r="J4">
        <f t="shared" si="0"/>
        <v>2023</v>
      </c>
      <c r="K4">
        <f t="shared" si="0"/>
        <v>2024</v>
      </c>
      <c r="L4">
        <f t="shared" si="0"/>
        <v>2025</v>
      </c>
    </row>
    <row r="5" spans="1:14" x14ac:dyDescent="0.35">
      <c r="A5" t="s">
        <v>454</v>
      </c>
      <c r="B5">
        <f>'Empirical trends'!P39</f>
        <v>122000</v>
      </c>
      <c r="C5">
        <f>'Empirical trends'!Q39</f>
        <v>197000</v>
      </c>
      <c r="D5">
        <f>'Empirical trends'!R39</f>
        <v>296000</v>
      </c>
    </row>
    <row r="6" spans="1:14" x14ac:dyDescent="0.35">
      <c r="C6">
        <f>C5-B5</f>
        <v>75000</v>
      </c>
      <c r="D6">
        <f>D5-C5</f>
        <v>99000</v>
      </c>
    </row>
    <row r="9" spans="1:14" x14ac:dyDescent="0.35">
      <c r="A9" t="s">
        <v>455</v>
      </c>
      <c r="D9">
        <v>0.28999999999999998</v>
      </c>
    </row>
    <row r="10" spans="1:14" x14ac:dyDescent="0.35">
      <c r="A10" t="s">
        <v>457</v>
      </c>
      <c r="E10">
        <f>D9</f>
        <v>0.28999999999999998</v>
      </c>
      <c r="F10">
        <f>E10-E10*0.2</f>
        <v>0.23199999999999998</v>
      </c>
      <c r="G10">
        <f t="shared" ref="G10:L10" si="1">F10-F10*0.2</f>
        <v>0.18559999999999999</v>
      </c>
      <c r="H10">
        <f t="shared" si="1"/>
        <v>0.14848</v>
      </c>
      <c r="I10">
        <f t="shared" si="1"/>
        <v>0.118784</v>
      </c>
      <c r="J10">
        <f t="shared" si="1"/>
        <v>9.5027200000000006E-2</v>
      </c>
      <c r="K10">
        <f t="shared" si="1"/>
        <v>7.6021760000000008E-2</v>
      </c>
      <c r="L10">
        <f t="shared" si="1"/>
        <v>6.0817408000000003E-2</v>
      </c>
    </row>
    <row r="12" spans="1:14" x14ac:dyDescent="0.35">
      <c r="A12" t="s">
        <v>458</v>
      </c>
      <c r="E12" s="44">
        <f>D6*(1+$D$9)</f>
        <v>127710</v>
      </c>
      <c r="F12" s="44">
        <f t="shared" ref="F12:L12" si="2">E12*(1+$D$9)</f>
        <v>164745.9</v>
      </c>
      <c r="G12" s="44">
        <f t="shared" si="2"/>
        <v>212522.21100000001</v>
      </c>
      <c r="H12" s="44">
        <f t="shared" si="2"/>
        <v>274153.65218999999</v>
      </c>
      <c r="I12" s="44">
        <f t="shared" si="2"/>
        <v>353658.21132509998</v>
      </c>
      <c r="J12" s="44">
        <f t="shared" si="2"/>
        <v>456219.09260937897</v>
      </c>
      <c r="K12" s="44">
        <f t="shared" si="2"/>
        <v>588522.62946609885</v>
      </c>
      <c r="L12" s="44">
        <f t="shared" si="2"/>
        <v>759194.19201126753</v>
      </c>
    </row>
    <row r="13" spans="1:14" x14ac:dyDescent="0.35">
      <c r="A13" t="s">
        <v>459</v>
      </c>
      <c r="E13" s="44">
        <f>D6+D6*(E10)</f>
        <v>127710</v>
      </c>
      <c r="F13" s="44">
        <f t="shared" ref="F13:L13" si="3">E13+E13*(F10)</f>
        <v>157338.72</v>
      </c>
      <c r="G13" s="44">
        <f t="shared" si="3"/>
        <v>186540.78643199999</v>
      </c>
      <c r="H13" s="44">
        <f t="shared" si="3"/>
        <v>214238.36240142336</v>
      </c>
      <c r="I13" s="44">
        <f t="shared" si="3"/>
        <v>239686.45204091404</v>
      </c>
      <c r="J13" s="44">
        <f t="shared" si="3"/>
        <v>262463.18445629638</v>
      </c>
      <c r="K13" s="44">
        <f t="shared" si="3"/>
        <v>282416.0976738687</v>
      </c>
      <c r="L13" s="44">
        <f t="shared" si="3"/>
        <v>299591.91271186824</v>
      </c>
    </row>
    <row r="14" spans="1:14" x14ac:dyDescent="0.35">
      <c r="A14" t="s">
        <v>460</v>
      </c>
      <c r="E14" s="44"/>
      <c r="F14" s="69"/>
      <c r="G14" s="44"/>
      <c r="H14" s="44"/>
      <c r="I14" s="44"/>
      <c r="J14" s="44"/>
      <c r="K14" s="44"/>
      <c r="L14" s="44"/>
    </row>
    <row r="16" spans="1:14" x14ac:dyDescent="0.35">
      <c r="N16" t="s">
        <v>435</v>
      </c>
    </row>
    <row r="17" spans="1:16" x14ac:dyDescent="0.35">
      <c r="N17" t="s">
        <v>436</v>
      </c>
      <c r="O17" t="s">
        <v>437</v>
      </c>
      <c r="P17" t="s">
        <v>438</v>
      </c>
    </row>
    <row r="18" spans="1:16" x14ac:dyDescent="0.35">
      <c r="N18">
        <v>2</v>
      </c>
      <c r="O18">
        <v>3.25</v>
      </c>
      <c r="P18">
        <f>(N18+O18)/2</f>
        <v>2.625</v>
      </c>
    </row>
    <row r="20" spans="1:16" x14ac:dyDescent="0.35">
      <c r="E20" s="51">
        <f>E12</f>
        <v>127710</v>
      </c>
      <c r="F20" s="51">
        <f>E20+10000</f>
        <v>137710</v>
      </c>
      <c r="G20" s="51">
        <f t="shared" ref="G20" si="4">F20+10000</f>
        <v>147710</v>
      </c>
      <c r="H20" s="51">
        <f>G20+10400</f>
        <v>158110</v>
      </c>
      <c r="I20" s="51">
        <f>H20</f>
        <v>158110</v>
      </c>
      <c r="J20" s="51">
        <f t="shared" ref="J20:L20" si="5">I20</f>
        <v>158110</v>
      </c>
      <c r="K20" s="51">
        <f t="shared" si="5"/>
        <v>158110</v>
      </c>
      <c r="L20" s="51">
        <f t="shared" si="5"/>
        <v>158110</v>
      </c>
    </row>
    <row r="22" spans="1:16" x14ac:dyDescent="0.25">
      <c r="A22" t="s">
        <v>461</v>
      </c>
      <c r="E22" s="51">
        <f>D5+$E$12</f>
        <v>423710</v>
      </c>
      <c r="F22" s="51">
        <f>E22+F20</f>
        <v>561420</v>
      </c>
      <c r="G22" s="51">
        <f t="shared" ref="G22:L22" si="6">F22+G20</f>
        <v>709130</v>
      </c>
      <c r="H22" s="51">
        <f t="shared" si="6"/>
        <v>867240</v>
      </c>
      <c r="I22" s="51">
        <f t="shared" si="6"/>
        <v>1025350</v>
      </c>
      <c r="J22" s="51">
        <f t="shared" si="6"/>
        <v>1183460</v>
      </c>
      <c r="K22" s="51">
        <f t="shared" si="6"/>
        <v>1341570</v>
      </c>
      <c r="L22" s="51">
        <f t="shared" si="6"/>
        <v>1499680</v>
      </c>
    </row>
    <row r="23" spans="1:16" x14ac:dyDescent="0.25">
      <c r="A23" t="s">
        <v>456</v>
      </c>
      <c r="E23" s="70">
        <f>D5+E13</f>
        <v>423710</v>
      </c>
      <c r="F23" s="70">
        <f t="shared" ref="F23:L23" si="7">E23+F13</f>
        <v>581048.72</v>
      </c>
      <c r="G23" s="70">
        <f t="shared" si="7"/>
        <v>767589.50643199997</v>
      </c>
      <c r="H23" s="70">
        <f t="shared" si="7"/>
        <v>981827.86883342336</v>
      </c>
      <c r="I23" s="70">
        <f t="shared" si="7"/>
        <v>1221514.3208743373</v>
      </c>
      <c r="J23" s="70">
        <f t="shared" si="7"/>
        <v>1483977.5053306338</v>
      </c>
      <c r="K23" s="70">
        <f t="shared" si="7"/>
        <v>1766393.6030045026</v>
      </c>
      <c r="L23" s="70">
        <f t="shared" si="7"/>
        <v>2065985.5157163709</v>
      </c>
    </row>
    <row r="24" spans="1:16" x14ac:dyDescent="0.25">
      <c r="A24" t="s">
        <v>454</v>
      </c>
      <c r="E24" s="44">
        <f>D5+E12</f>
        <v>423710</v>
      </c>
      <c r="F24" s="44">
        <f t="shared" ref="F24:L24" si="8">E24+F12</f>
        <v>588455.9</v>
      </c>
      <c r="G24" s="44">
        <f t="shared" si="8"/>
        <v>800978.11100000003</v>
      </c>
      <c r="H24" s="44">
        <f t="shared" si="8"/>
        <v>1075131.7631900001</v>
      </c>
      <c r="I24" s="44">
        <f t="shared" si="8"/>
        <v>1428789.9745151</v>
      </c>
      <c r="J24" s="44">
        <f t="shared" si="8"/>
        <v>1885009.067124479</v>
      </c>
      <c r="K24" s="44">
        <f t="shared" si="8"/>
        <v>2473531.6965905777</v>
      </c>
      <c r="L24" s="44">
        <f t="shared" si="8"/>
        <v>3232725.8886018451</v>
      </c>
    </row>
    <row r="26" spans="1:16" x14ac:dyDescent="0.25">
      <c r="K26" t="s">
        <v>438</v>
      </c>
      <c r="L26" s="51">
        <f>AVERAGE(L22:L24)</f>
        <v>2266130.4681060719</v>
      </c>
    </row>
    <row r="27" spans="1:16" x14ac:dyDescent="0.25">
      <c r="A27" t="s">
        <v>470</v>
      </c>
      <c r="E27" s="51">
        <f>AVERAGE(E22:E24)</f>
        <v>423710</v>
      </c>
      <c r="F27" s="51">
        <f t="shared" ref="F27:L27" si="9">AVERAGE(F22:F24)</f>
        <v>576974.87333333341</v>
      </c>
      <c r="G27" s="51">
        <f t="shared" si="9"/>
        <v>759232.53914400004</v>
      </c>
      <c r="H27" s="51">
        <f t="shared" si="9"/>
        <v>974733.21067447448</v>
      </c>
      <c r="I27" s="51">
        <f t="shared" si="9"/>
        <v>1225218.0984631458</v>
      </c>
      <c r="J27" s="51">
        <f t="shared" si="9"/>
        <v>1517482.190818371</v>
      </c>
      <c r="K27" s="51">
        <f t="shared" si="9"/>
        <v>1860498.43319836</v>
      </c>
      <c r="L27" s="51">
        <f t="shared" si="9"/>
        <v>2266130.4681060719</v>
      </c>
    </row>
  </sheetData>
  <hyperlinks>
    <hyperlink ref="B2"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workbookViewId="0">
      <selection activeCell="O4" sqref="D4:O4"/>
    </sheetView>
  </sheetViews>
  <sheetFormatPr defaultRowHeight="15" x14ac:dyDescent="0.25"/>
  <sheetData>
    <row r="1" spans="1:18" x14ac:dyDescent="0.35">
      <c r="B1">
        <f>'META analysis'!B20</f>
        <v>2017</v>
      </c>
      <c r="C1">
        <f>'META analysis'!C20</f>
        <v>2018</v>
      </c>
      <c r="D1">
        <f>'META analysis'!D20</f>
        <v>2019</v>
      </c>
      <c r="E1">
        <f>'META analysis'!E20</f>
        <v>2020</v>
      </c>
      <c r="F1">
        <f>'META analysis'!F20</f>
        <v>2021</v>
      </c>
      <c r="G1">
        <f>'META analysis'!G20</f>
        <v>2022</v>
      </c>
      <c r="H1">
        <f>'META analysis'!H20</f>
        <v>2023</v>
      </c>
      <c r="I1">
        <f>'META analysis'!I20</f>
        <v>2024</v>
      </c>
      <c r="J1">
        <f>'META analysis'!J20</f>
        <v>2025</v>
      </c>
      <c r="K1">
        <f>'META analysis'!K20</f>
        <v>2026</v>
      </c>
      <c r="L1">
        <f>'META analysis'!L20</f>
        <v>2027</v>
      </c>
      <c r="M1">
        <f>'META analysis'!M20</f>
        <v>2028</v>
      </c>
      <c r="N1">
        <f>'META analysis'!N20</f>
        <v>2029</v>
      </c>
      <c r="O1">
        <f>'META analysis'!O20</f>
        <v>2030</v>
      </c>
    </row>
    <row r="2" spans="1:18" x14ac:dyDescent="0.35">
      <c r="A2" t="str">
        <f>'META analysis'!A21</f>
        <v>Actual</v>
      </c>
      <c r="B2">
        <f>'META analysis'!B21</f>
        <v>296</v>
      </c>
      <c r="C2">
        <f>'META analysis'!C21</f>
        <v>454</v>
      </c>
    </row>
    <row r="3" spans="1:18" x14ac:dyDescent="0.35">
      <c r="J3">
        <f>'RBC Capital Markets'!B17</f>
        <v>1.3109132231859375</v>
      </c>
      <c r="O3">
        <f>'RBC Capital Markets'!C17</f>
        <v>2.1677674382704746</v>
      </c>
    </row>
    <row r="4" spans="1:18" x14ac:dyDescent="0.35">
      <c r="C4">
        <f>C2</f>
        <v>454</v>
      </c>
      <c r="D4">
        <f>C4+C6</f>
        <v>576.41617474084819</v>
      </c>
      <c r="E4">
        <f>D4+$C$6</f>
        <v>698.83234948169638</v>
      </c>
      <c r="F4">
        <f t="shared" ref="F4:J4" si="0">E4+$C$6</f>
        <v>821.24852422254457</v>
      </c>
      <c r="G4">
        <f t="shared" si="0"/>
        <v>943.66469896339277</v>
      </c>
      <c r="H4">
        <f t="shared" si="0"/>
        <v>1066.080873704241</v>
      </c>
      <c r="I4">
        <f t="shared" si="0"/>
        <v>1188.4970484450891</v>
      </c>
      <c r="J4">
        <f t="shared" si="0"/>
        <v>1310.9132231859373</v>
      </c>
      <c r="K4">
        <f>J4+(C6+C6*0.2)</f>
        <v>1457.8126328749552</v>
      </c>
      <c r="L4">
        <f>K4+L6</f>
        <v>1605.9362043113815</v>
      </c>
      <c r="M4">
        <f t="shared" ref="M4:O4" si="1">L4+M6</f>
        <v>1768.8721328914505</v>
      </c>
      <c r="N4">
        <f t="shared" si="1"/>
        <v>1948.1016543295264</v>
      </c>
      <c r="O4">
        <f t="shared" si="1"/>
        <v>2145.2541279114098</v>
      </c>
    </row>
    <row r="5" spans="1:18" x14ac:dyDescent="0.35">
      <c r="A5" t="s">
        <v>476</v>
      </c>
    </row>
    <row r="6" spans="1:18" x14ac:dyDescent="0.35">
      <c r="A6" t="s">
        <v>477</v>
      </c>
      <c r="C6">
        <f>((J3*1000)-C2)/7</f>
        <v>122.41617474084822</v>
      </c>
      <c r="K6">
        <f>C6*1.1</f>
        <v>134.65779221493304</v>
      </c>
      <c r="L6">
        <f>K6*1.1</f>
        <v>148.12357143642635</v>
      </c>
      <c r="M6">
        <f t="shared" ref="M6:O6" si="2">L6*1.1</f>
        <v>162.935928580069</v>
      </c>
      <c r="N6">
        <f t="shared" si="2"/>
        <v>179.22952143807592</v>
      </c>
      <c r="O6">
        <f t="shared" si="2"/>
        <v>197.15247358188353</v>
      </c>
    </row>
    <row r="8" spans="1:18" x14ac:dyDescent="0.35">
      <c r="A8" t="s">
        <v>478</v>
      </c>
    </row>
    <row r="10" spans="1:18" x14ac:dyDescent="0.35">
      <c r="R10" s="1"/>
    </row>
    <row r="14" spans="1:18" x14ac:dyDescent="0.35">
      <c r="H14">
        <f>'RBC Capital Markets'!A6</f>
        <v>0</v>
      </c>
      <c r="I14">
        <f>'RBC Capital Markets'!B6</f>
        <v>2025</v>
      </c>
      <c r="J14">
        <f>'RBC Capital Markets'!C6</f>
        <v>2030</v>
      </c>
    </row>
    <row r="15" spans="1:18" x14ac:dyDescent="0.35">
      <c r="H15" t="str">
        <f>'RBC Capital Markets'!A7</f>
        <v>PHEV</v>
      </c>
      <c r="I15">
        <f>'RBC Capital Markets'!B7</f>
        <v>291.536652</v>
      </c>
      <c r="J15">
        <f>'RBC Capital Markets'!C7</f>
        <v>331.32745399999999</v>
      </c>
    </row>
    <row r="16" spans="1:18" x14ac:dyDescent="0.35">
      <c r="H16" t="str">
        <f>'RBC Capital Markets'!A8</f>
        <v>Hybrid (not plug in)</v>
      </c>
      <c r="I16">
        <f>'RBC Capital Markets'!B8</f>
        <v>621.45330799999999</v>
      </c>
      <c r="J16">
        <f>'RBC Capital Markets'!C8</f>
        <v>777.44018600000004</v>
      </c>
    </row>
    <row r="17" spans="8:10" x14ac:dyDescent="0.35">
      <c r="H17">
        <f>'RBC Capital Markets'!A9</f>
        <v>0</v>
      </c>
      <c r="I17">
        <f>'RBC Capital Markets'!B9</f>
        <v>0</v>
      </c>
      <c r="J17">
        <f>'RBC Capital Markets'!C9</f>
        <v>0</v>
      </c>
    </row>
    <row r="18" spans="8:10" x14ac:dyDescent="0.35">
      <c r="H18" t="str">
        <f>'RBC Capital Markets'!A10</f>
        <v>use these ratios to assign the HEV/PHEV share</v>
      </c>
      <c r="I18">
        <f>'RBC Capital Markets'!B10</f>
        <v>0</v>
      </c>
      <c r="J18">
        <f>'RBC Capital Markets'!C10</f>
        <v>0</v>
      </c>
    </row>
    <row r="19" spans="8:10" x14ac:dyDescent="0.35">
      <c r="H19" t="str">
        <f>'RBC Capital Markets'!A11</f>
        <v>imputed PHEV level</v>
      </c>
      <c r="I19">
        <f>'RBC Capital Markets'!B11</f>
        <v>0.31932076449121083</v>
      </c>
      <c r="J19">
        <f>'RBC Capital Markets'!C11</f>
        <v>0.2988249675107762</v>
      </c>
    </row>
    <row r="20" spans="8:10" x14ac:dyDescent="0.35">
      <c r="H20" t="str">
        <f>'RBC Capital Markets'!A12</f>
        <v>HEV and PHEV</v>
      </c>
      <c r="I20">
        <f>'RBC Capital Markets'!B12</f>
        <v>1.6</v>
      </c>
      <c r="J20">
        <f>'RBC Capital Markets'!C12</f>
        <v>1.9</v>
      </c>
    </row>
    <row r="21" spans="8:10" x14ac:dyDescent="0.35">
      <c r="H21" t="str">
        <f>'RBC Capital Markets'!A13</f>
        <v>PHEV</v>
      </c>
      <c r="I21">
        <f>'RBC Capital Markets'!B13</f>
        <v>0.51091322318593735</v>
      </c>
      <c r="J21">
        <f>'RBC Capital Markets'!C13</f>
        <v>0.56776743827047471</v>
      </c>
    </row>
    <row r="22" spans="8:10" x14ac:dyDescent="0.25">
      <c r="H22">
        <f>'RBC Capital Markets'!A14</f>
        <v>0</v>
      </c>
      <c r="I22">
        <f>'RBC Capital Markets'!B14</f>
        <v>0</v>
      </c>
      <c r="J22">
        <f>'RBC Capital Markets'!C14</f>
        <v>0</v>
      </c>
    </row>
    <row r="23" spans="8:10" x14ac:dyDescent="0.25">
      <c r="H23" t="str">
        <f>'RBC Capital Markets'!A15</f>
        <v>BEV</v>
      </c>
      <c r="I23">
        <f>'RBC Capital Markets'!B15</f>
        <v>0.8</v>
      </c>
      <c r="J23">
        <f>'RBC Capital Markets'!C15</f>
        <v>1.6</v>
      </c>
    </row>
    <row r="24" spans="8:10" x14ac:dyDescent="0.25">
      <c r="H24">
        <f>'RBC Capital Markets'!A16</f>
        <v>0</v>
      </c>
      <c r="I24">
        <f>'RBC Capital Markets'!B16</f>
        <v>0</v>
      </c>
      <c r="J24">
        <f>'RBC Capital Markets'!C16</f>
        <v>0</v>
      </c>
    </row>
    <row r="25" spans="8:10" x14ac:dyDescent="0.25">
      <c r="H25" t="str">
        <f>'RBC Capital Markets'!A17</f>
        <v>Cumulative</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145" zoomScaleNormal="145" workbookViewId="0">
      <selection activeCell="A3" sqref="A3"/>
    </sheetView>
  </sheetViews>
  <sheetFormatPr defaultRowHeight="15" x14ac:dyDescent="0.25"/>
  <cols>
    <col min="10" max="10" width="17.140625" bestFit="1" customWidth="1"/>
  </cols>
  <sheetData>
    <row r="1" spans="1:7" x14ac:dyDescent="0.35">
      <c r="A1" t="s">
        <v>475</v>
      </c>
    </row>
    <row r="3" spans="1:7" x14ac:dyDescent="0.35">
      <c r="A3" s="47" t="s">
        <v>214</v>
      </c>
    </row>
    <row r="4" spans="1:7" x14ac:dyDescent="0.35">
      <c r="A4" s="47"/>
    </row>
    <row r="5" spans="1:7" x14ac:dyDescent="0.35">
      <c r="A5" t="s">
        <v>474</v>
      </c>
    </row>
    <row r="6" spans="1:7" x14ac:dyDescent="0.35">
      <c r="B6">
        <v>2025</v>
      </c>
      <c r="C6">
        <v>2030</v>
      </c>
    </row>
    <row r="7" spans="1:7" x14ac:dyDescent="0.35">
      <c r="A7" t="s">
        <v>69</v>
      </c>
      <c r="B7">
        <f>'AEO 2019 US national'!M70</f>
        <v>291.536652</v>
      </c>
      <c r="C7">
        <f>'AEO 2019 US national'!R70</f>
        <v>331.32745399999999</v>
      </c>
    </row>
    <row r="8" spans="1:7" x14ac:dyDescent="0.35">
      <c r="A8" t="s">
        <v>421</v>
      </c>
      <c r="B8">
        <f>'AEO 2019 US national'!M71</f>
        <v>621.45330799999999</v>
      </c>
      <c r="C8">
        <f>'AEO 2019 US national'!R71</f>
        <v>777.44018600000004</v>
      </c>
    </row>
    <row r="9" spans="1:7" x14ac:dyDescent="0.35">
      <c r="G9">
        <v>2025</v>
      </c>
    </row>
    <row r="10" spans="1:7" x14ac:dyDescent="0.35">
      <c r="A10" t="s">
        <v>422</v>
      </c>
      <c r="G10">
        <f>1.6</f>
        <v>1.6</v>
      </c>
    </row>
    <row r="11" spans="1:7" x14ac:dyDescent="0.35">
      <c r="A11" t="s">
        <v>423</v>
      </c>
      <c r="B11">
        <f>(B7/(B7+B8))</f>
        <v>0.31932076449121083</v>
      </c>
      <c r="C11">
        <f>(C7/(C7+C8))</f>
        <v>0.2988249675107762</v>
      </c>
      <c r="G11">
        <v>0.8</v>
      </c>
    </row>
    <row r="12" spans="1:7" x14ac:dyDescent="0.35">
      <c r="A12" t="s">
        <v>424</v>
      </c>
      <c r="B12">
        <v>1.6</v>
      </c>
      <c r="C12">
        <v>1.9</v>
      </c>
    </row>
    <row r="13" spans="1:7" x14ac:dyDescent="0.35">
      <c r="A13" t="s">
        <v>69</v>
      </c>
      <c r="B13">
        <f>B11*B12</f>
        <v>0.51091322318593735</v>
      </c>
      <c r="C13">
        <f>C11*C12</f>
        <v>0.56776743827047471</v>
      </c>
    </row>
    <row r="14" spans="1:7" x14ac:dyDescent="0.35">
      <c r="F14" t="s">
        <v>420</v>
      </c>
      <c r="G14">
        <f>(G10+G11)/2</f>
        <v>1.2000000000000002</v>
      </c>
    </row>
    <row r="15" spans="1:7" x14ac:dyDescent="0.25">
      <c r="A15" t="s">
        <v>60</v>
      </c>
      <c r="B15">
        <v>0.8</v>
      </c>
      <c r="C15">
        <v>1.6</v>
      </c>
    </row>
    <row r="17" spans="1:3" x14ac:dyDescent="0.25">
      <c r="A17" t="s">
        <v>209</v>
      </c>
      <c r="B17">
        <f>B15+B13</f>
        <v>1.3109132231859375</v>
      </c>
      <c r="C17">
        <f>C15+C13</f>
        <v>2.1677674382704746</v>
      </c>
    </row>
  </sheetData>
  <hyperlinks>
    <hyperlink ref="A3" r:id="rId1" display="http://www.fullertreacymoney.com/system/data/files/PDFs/2018/May/14th/RBC Capital Markets_RBC Electric Vehicle Forecast Through 2050  Primer_11May2018.pdf"/>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2"/>
  <sheetViews>
    <sheetView workbookViewId="0">
      <selection activeCell="E17" sqref="E17"/>
    </sheetView>
  </sheetViews>
  <sheetFormatPr defaultRowHeight="15" x14ac:dyDescent="0.25"/>
  <cols>
    <col min="4" max="8" width="11.140625" bestFit="1" customWidth="1"/>
    <col min="9" max="17" width="12.5703125" bestFit="1" customWidth="1"/>
  </cols>
  <sheetData>
    <row r="3" spans="1:17" ht="14.45" x14ac:dyDescent="0.35">
      <c r="D3">
        <v>2017</v>
      </c>
      <c r="E3">
        <f t="shared" ref="E3:K3" si="0">F3-1</f>
        <v>2018</v>
      </c>
      <c r="F3">
        <f t="shared" si="0"/>
        <v>2019</v>
      </c>
      <c r="G3">
        <f t="shared" si="0"/>
        <v>2020</v>
      </c>
      <c r="H3">
        <f t="shared" si="0"/>
        <v>2021</v>
      </c>
      <c r="I3">
        <f t="shared" si="0"/>
        <v>2022</v>
      </c>
      <c r="J3">
        <f t="shared" si="0"/>
        <v>2023</v>
      </c>
      <c r="K3">
        <f t="shared" si="0"/>
        <v>2024</v>
      </c>
      <c r="L3">
        <v>2025</v>
      </c>
      <c r="Q3">
        <v>2030</v>
      </c>
    </row>
    <row r="4" spans="1:17" ht="14.45" x14ac:dyDescent="0.35">
      <c r="A4" t="s">
        <v>404</v>
      </c>
      <c r="E4">
        <v>1528106</v>
      </c>
      <c r="F4">
        <v>1533023</v>
      </c>
      <c r="G4">
        <v>1537645</v>
      </c>
      <c r="H4">
        <v>1550338</v>
      </c>
      <c r="I4">
        <v>1560079</v>
      </c>
      <c r="J4">
        <v>1571504</v>
      </c>
      <c r="K4">
        <v>1582513</v>
      </c>
      <c r="L4">
        <v>1593337</v>
      </c>
      <c r="M4">
        <v>1599941</v>
      </c>
      <c r="N4">
        <v>1609613</v>
      </c>
      <c r="O4">
        <v>1618777</v>
      </c>
      <c r="P4">
        <v>1627551</v>
      </c>
      <c r="Q4">
        <v>1635841</v>
      </c>
    </row>
    <row r="5" spans="1:17" ht="14.45" x14ac:dyDescent="0.35">
      <c r="A5" t="s">
        <v>462</v>
      </c>
      <c r="E5">
        <v>0.09</v>
      </c>
      <c r="F5">
        <v>0.15</v>
      </c>
      <c r="G5">
        <v>0.2</v>
      </c>
      <c r="H5">
        <v>0.26</v>
      </c>
      <c r="I5">
        <v>0.34</v>
      </c>
      <c r="J5">
        <v>0.42</v>
      </c>
      <c r="K5">
        <v>0.52500000000000002</v>
      </c>
      <c r="L5">
        <v>0.67500000000000004</v>
      </c>
      <c r="M5">
        <v>0.67500000000000004</v>
      </c>
      <c r="N5">
        <v>0.67500000000000004</v>
      </c>
      <c r="O5">
        <v>0.67500000000000004</v>
      </c>
      <c r="P5">
        <v>0.67500000000000004</v>
      </c>
      <c r="Q5">
        <v>0.67500000000000004</v>
      </c>
    </row>
    <row r="6" spans="1:17" ht="14.45" x14ac:dyDescent="0.35">
      <c r="E6">
        <v>137529.54</v>
      </c>
      <c r="F6">
        <v>229953.44999999998</v>
      </c>
      <c r="G6">
        <v>307529</v>
      </c>
      <c r="H6">
        <v>403087.88</v>
      </c>
      <c r="I6">
        <v>530426.86</v>
      </c>
      <c r="J6">
        <v>660031.67999999993</v>
      </c>
      <c r="K6">
        <v>830819.32500000007</v>
      </c>
      <c r="L6">
        <v>1075502.4750000001</v>
      </c>
      <c r="M6">
        <v>1079960.175</v>
      </c>
      <c r="N6">
        <v>1086488.7750000001</v>
      </c>
      <c r="O6">
        <v>1092674.4750000001</v>
      </c>
      <c r="P6">
        <v>1098596.925</v>
      </c>
      <c r="Q6">
        <v>1104192.675</v>
      </c>
    </row>
    <row r="7" spans="1:17" ht="14.45" x14ac:dyDescent="0.35">
      <c r="A7" t="s">
        <v>405</v>
      </c>
      <c r="D7" s="49">
        <v>380000</v>
      </c>
      <c r="E7">
        <v>517529.54000000004</v>
      </c>
      <c r="F7">
        <v>747482.99</v>
      </c>
      <c r="G7">
        <v>1055011.99</v>
      </c>
      <c r="H7">
        <v>1458099.87</v>
      </c>
      <c r="I7">
        <v>1988526.73</v>
      </c>
      <c r="J7">
        <v>2648558.41</v>
      </c>
      <c r="K7">
        <v>3479377.7350000003</v>
      </c>
      <c r="L7">
        <v>4554880.2100000009</v>
      </c>
      <c r="M7">
        <v>5634840.3850000007</v>
      </c>
      <c r="N7">
        <v>6721329.1600000011</v>
      </c>
      <c r="O7">
        <v>7814003.6350000016</v>
      </c>
      <c r="P7">
        <v>8912600.5600000024</v>
      </c>
      <c r="Q7">
        <v>10016793.235000003</v>
      </c>
    </row>
    <row r="8" spans="1:17" ht="14.45" x14ac:dyDescent="0.35">
      <c r="A8" t="s">
        <v>442</v>
      </c>
      <c r="F8">
        <f t="shared" ref="F8:L8" si="1">(F5-E5)/E5</f>
        <v>0.66666666666666663</v>
      </c>
      <c r="G8">
        <f t="shared" si="1"/>
        <v>0.33333333333333348</v>
      </c>
      <c r="H8">
        <f t="shared" si="1"/>
        <v>0.3</v>
      </c>
      <c r="I8">
        <f t="shared" si="1"/>
        <v>0.30769230769230776</v>
      </c>
      <c r="J8">
        <f t="shared" si="1"/>
        <v>0.23529411764705868</v>
      </c>
      <c r="K8">
        <f t="shared" si="1"/>
        <v>0.25000000000000011</v>
      </c>
      <c r="L8">
        <f t="shared" si="1"/>
        <v>0.28571428571428575</v>
      </c>
      <c r="M8">
        <f>L8-L8*(K8-0.2)</f>
        <v>0.27142857142857146</v>
      </c>
      <c r="N8">
        <f>M8-M8*(L8-0.2)</f>
        <v>0.24816326530612248</v>
      </c>
      <c r="O8">
        <f>N8-N8*(M8-0.2)</f>
        <v>0.23043731778425658</v>
      </c>
      <c r="P8">
        <f>O8-O8*(N8-0.2)</f>
        <v>0.21933870411138218</v>
      </c>
      <c r="Q8">
        <f>P8-P8*(O8-0.2)</f>
        <v>0.21266262227195701</v>
      </c>
    </row>
    <row r="9" spans="1:17" ht="14.45" x14ac:dyDescent="0.35">
      <c r="K9" t="s">
        <v>443</v>
      </c>
    </row>
    <row r="13" spans="1:17" ht="14.45" x14ac:dyDescent="0.35">
      <c r="D13">
        <v>2017</v>
      </c>
      <c r="E13">
        <v>2018</v>
      </c>
      <c r="F13">
        <v>2019</v>
      </c>
      <c r="G13">
        <v>2020</v>
      </c>
      <c r="H13">
        <v>2021</v>
      </c>
      <c r="I13">
        <v>2022</v>
      </c>
      <c r="J13">
        <v>2023</v>
      </c>
      <c r="K13">
        <v>2024</v>
      </c>
      <c r="L13">
        <v>2025</v>
      </c>
      <c r="M13">
        <f>L13+1</f>
        <v>2026</v>
      </c>
      <c r="N13">
        <f t="shared" ref="N13:P13" si="2">M13+1</f>
        <v>2027</v>
      </c>
      <c r="O13">
        <f t="shared" si="2"/>
        <v>2028</v>
      </c>
      <c r="P13">
        <f t="shared" si="2"/>
        <v>2029</v>
      </c>
      <c r="Q13">
        <v>2030</v>
      </c>
    </row>
    <row r="14" spans="1:17" ht="14.45" x14ac:dyDescent="0.35">
      <c r="A14" t="s">
        <v>465</v>
      </c>
      <c r="E14">
        <v>1528106</v>
      </c>
      <c r="F14">
        <v>1533023</v>
      </c>
      <c r="G14">
        <v>1537645</v>
      </c>
      <c r="H14">
        <v>1550338</v>
      </c>
      <c r="I14">
        <v>1560079</v>
      </c>
      <c r="J14">
        <v>1571504</v>
      </c>
      <c r="K14">
        <v>1582513</v>
      </c>
      <c r="L14">
        <v>1593337</v>
      </c>
      <c r="M14">
        <v>1599941</v>
      </c>
      <c r="N14">
        <v>1609613</v>
      </c>
      <c r="O14">
        <v>1618777</v>
      </c>
      <c r="P14">
        <v>1627551</v>
      </c>
      <c r="Q14">
        <v>1635841</v>
      </c>
    </row>
    <row r="15" spans="1:17" ht="14.45" x14ac:dyDescent="0.35">
      <c r="E15">
        <v>0.08</v>
      </c>
      <c r="F15">
        <v>0.09</v>
      </c>
      <c r="G15">
        <v>0.1</v>
      </c>
      <c r="H15">
        <v>0.11</v>
      </c>
      <c r="I15">
        <v>0.12</v>
      </c>
      <c r="J15">
        <v>0.14000000000000001</v>
      </c>
      <c r="K15">
        <v>0.16</v>
      </c>
      <c r="L15">
        <v>0.2</v>
      </c>
      <c r="M15">
        <v>0.22</v>
      </c>
      <c r="N15">
        <v>0.24</v>
      </c>
      <c r="O15">
        <v>0.3</v>
      </c>
      <c r="P15">
        <v>0.33</v>
      </c>
      <c r="Q15">
        <v>0.38</v>
      </c>
    </row>
    <row r="16" spans="1:17" ht="14.45" x14ac:dyDescent="0.35">
      <c r="A16" t="s">
        <v>466</v>
      </c>
      <c r="D16" s="44"/>
      <c r="E16" s="44">
        <f>E15*E14</f>
        <v>122248.48</v>
      </c>
      <c r="F16" s="44">
        <f t="shared" ref="F16:Q16" si="3">F15*F14</f>
        <v>137972.07</v>
      </c>
      <c r="G16" s="44">
        <f t="shared" si="3"/>
        <v>153764.5</v>
      </c>
      <c r="H16" s="44">
        <f t="shared" si="3"/>
        <v>170537.18</v>
      </c>
      <c r="I16" s="44">
        <f t="shared" si="3"/>
        <v>187209.47999999998</v>
      </c>
      <c r="J16" s="44">
        <f t="shared" si="3"/>
        <v>220010.56000000003</v>
      </c>
      <c r="K16" s="44">
        <f t="shared" si="3"/>
        <v>253202.08000000002</v>
      </c>
      <c r="L16" s="44">
        <f t="shared" si="3"/>
        <v>318667.40000000002</v>
      </c>
      <c r="M16" s="44">
        <f t="shared" si="3"/>
        <v>351987.02</v>
      </c>
      <c r="N16" s="44">
        <f t="shared" si="3"/>
        <v>386307.12</v>
      </c>
      <c r="O16" s="44">
        <f t="shared" si="3"/>
        <v>485633.1</v>
      </c>
      <c r="P16" s="44">
        <f t="shared" si="3"/>
        <v>537091.83000000007</v>
      </c>
      <c r="Q16" s="44">
        <f t="shared" si="3"/>
        <v>621619.57999999996</v>
      </c>
    </row>
    <row r="17" spans="1:17" ht="14.45" x14ac:dyDescent="0.35">
      <c r="A17" t="s">
        <v>405</v>
      </c>
      <c r="D17" s="44">
        <v>380000</v>
      </c>
      <c r="E17" s="44">
        <f>D17+E16</f>
        <v>502248.48</v>
      </c>
      <c r="F17" s="44">
        <f t="shared" ref="F17:Q17" si="4">E17+F16</f>
        <v>640220.55000000005</v>
      </c>
      <c r="G17" s="44">
        <f t="shared" si="4"/>
        <v>793985.05</v>
      </c>
      <c r="H17" s="44">
        <f t="shared" si="4"/>
        <v>964522.23</v>
      </c>
      <c r="I17" s="44">
        <f t="shared" si="4"/>
        <v>1151731.71</v>
      </c>
      <c r="J17" s="44">
        <f t="shared" si="4"/>
        <v>1371742.27</v>
      </c>
      <c r="K17" s="44">
        <f t="shared" si="4"/>
        <v>1624944.35</v>
      </c>
      <c r="L17" s="44">
        <f t="shared" si="4"/>
        <v>1943611.75</v>
      </c>
      <c r="M17" s="44">
        <f t="shared" si="4"/>
        <v>2295598.77</v>
      </c>
      <c r="N17" s="44">
        <f t="shared" si="4"/>
        <v>2681905.89</v>
      </c>
      <c r="O17" s="44">
        <f t="shared" si="4"/>
        <v>3167538.99</v>
      </c>
      <c r="P17" s="44">
        <f t="shared" si="4"/>
        <v>3704630.8200000003</v>
      </c>
      <c r="Q17" s="44">
        <f t="shared" si="4"/>
        <v>4326250.4000000004</v>
      </c>
    </row>
    <row r="18" spans="1:17" ht="14.45" x14ac:dyDescent="0.35">
      <c r="A18" t="s">
        <v>442</v>
      </c>
      <c r="F18">
        <v>0.66666666666666663</v>
      </c>
      <c r="G18">
        <v>0.33333333333333348</v>
      </c>
      <c r="H18">
        <v>0.3</v>
      </c>
      <c r="I18">
        <v>0.30769230769230776</v>
      </c>
      <c r="J18">
        <v>0.23529411764705868</v>
      </c>
      <c r="K18">
        <v>0.25000000000000011</v>
      </c>
      <c r="L18">
        <v>0.28571428571428575</v>
      </c>
      <c r="M18">
        <v>0.27142857142857146</v>
      </c>
      <c r="N18">
        <v>0.24816326530612248</v>
      </c>
      <c r="O18">
        <v>0.23043731778425658</v>
      </c>
      <c r="P18">
        <v>0.21933870411138218</v>
      </c>
      <c r="Q18">
        <v>0.21266262227195701</v>
      </c>
    </row>
    <row r="19" spans="1:17" ht="14.45" x14ac:dyDescent="0.35">
      <c r="K19" t="s">
        <v>443</v>
      </c>
    </row>
    <row r="23" spans="1:17" x14ac:dyDescent="0.25">
      <c r="O23" t="s">
        <v>463</v>
      </c>
    </row>
    <row r="25" spans="1:17" x14ac:dyDescent="0.25">
      <c r="O25" t="s">
        <v>464</v>
      </c>
    </row>
    <row r="29" spans="1:17" x14ac:dyDescent="0.25">
      <c r="O29">
        <v>2025</v>
      </c>
      <c r="P29" s="71">
        <v>0.2</v>
      </c>
    </row>
    <row r="31" spans="1:17" x14ac:dyDescent="0.25">
      <c r="O31">
        <v>2028</v>
      </c>
      <c r="P31" s="71">
        <v>0.3</v>
      </c>
    </row>
    <row r="33" spans="15:16" x14ac:dyDescent="0.25">
      <c r="O33">
        <v>2030</v>
      </c>
      <c r="P33" s="71">
        <v>0.38</v>
      </c>
    </row>
    <row r="52" spans="2:2" x14ac:dyDescent="0.25">
      <c r="B52" s="47" t="s">
        <v>467</v>
      </c>
    </row>
  </sheetData>
  <hyperlinks>
    <hyperlink ref="B52" r:id="rId1" location="zoom=50"/>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0"/>
  <sheetViews>
    <sheetView workbookViewId="0">
      <selection activeCell="H8" sqref="H8"/>
    </sheetView>
  </sheetViews>
  <sheetFormatPr defaultRowHeight="15" x14ac:dyDescent="0.25"/>
  <cols>
    <col min="8" max="8" width="11.140625" bestFit="1" customWidth="1"/>
    <col min="9" max="9" width="11.5703125" bestFit="1" customWidth="1"/>
  </cols>
  <sheetData>
    <row r="3" spans="2:9" x14ac:dyDescent="0.35">
      <c r="H3" s="17" t="s">
        <v>413</v>
      </c>
    </row>
    <row r="4" spans="2:9" x14ac:dyDescent="0.35">
      <c r="B4" t="s">
        <v>410</v>
      </c>
      <c r="H4">
        <v>2025</v>
      </c>
      <c r="I4">
        <v>2030</v>
      </c>
    </row>
    <row r="5" spans="2:9" x14ac:dyDescent="0.35">
      <c r="B5" t="s">
        <v>411</v>
      </c>
      <c r="H5" s="64">
        <f>0.5*0.11*11000000</f>
        <v>605000</v>
      </c>
      <c r="I5" s="65">
        <f>3/1.1*H5</f>
        <v>1649999.9999999998</v>
      </c>
    </row>
    <row r="6" spans="2:9" x14ac:dyDescent="0.35">
      <c r="B6" t="s">
        <v>412</v>
      </c>
      <c r="H6" s="17"/>
    </row>
    <row r="11" spans="2:9" x14ac:dyDescent="0.35">
      <c r="H11" s="47" t="s">
        <v>409</v>
      </c>
    </row>
    <row r="29" spans="10:10" x14ac:dyDescent="0.25">
      <c r="J29" t="s">
        <v>403</v>
      </c>
    </row>
    <row r="30" spans="10:10" x14ac:dyDescent="0.25">
      <c r="J30" t="s">
        <v>408</v>
      </c>
    </row>
  </sheetData>
  <hyperlinks>
    <hyperlink ref="H11" r:id="rId1" location="toc-download" display="https://about.bnef.com/electric-vehicle-outlook/ - toc-download"/>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C11" sqref="C11:O11"/>
    </sheetView>
  </sheetViews>
  <sheetFormatPr defaultRowHeight="15" x14ac:dyDescent="0.25"/>
  <sheetData>
    <row r="1" spans="1:16" x14ac:dyDescent="0.35">
      <c r="A1" t="s">
        <v>444</v>
      </c>
    </row>
    <row r="4" spans="1:16" x14ac:dyDescent="0.35">
      <c r="A4" t="s">
        <v>439</v>
      </c>
    </row>
    <row r="6" spans="1:16" x14ac:dyDescent="0.35">
      <c r="A6" t="s">
        <v>440</v>
      </c>
    </row>
    <row r="8" spans="1:16" x14ac:dyDescent="0.35">
      <c r="B8">
        <v>2017</v>
      </c>
      <c r="C8">
        <v>2018</v>
      </c>
      <c r="D8">
        <f>C8+1</f>
        <v>2019</v>
      </c>
      <c r="E8">
        <f t="shared" ref="E8:O8" si="0">D8+1</f>
        <v>2020</v>
      </c>
      <c r="F8">
        <f t="shared" si="0"/>
        <v>2021</v>
      </c>
      <c r="G8">
        <f t="shared" si="0"/>
        <v>2022</v>
      </c>
      <c r="H8">
        <f t="shared" si="0"/>
        <v>2023</v>
      </c>
      <c r="I8">
        <f t="shared" si="0"/>
        <v>2024</v>
      </c>
      <c r="J8">
        <f t="shared" si="0"/>
        <v>2025</v>
      </c>
      <c r="K8">
        <f t="shared" si="0"/>
        <v>2026</v>
      </c>
      <c r="L8">
        <f t="shared" si="0"/>
        <v>2027</v>
      </c>
      <c r="M8">
        <f t="shared" si="0"/>
        <v>2028</v>
      </c>
      <c r="N8">
        <f t="shared" si="0"/>
        <v>2029</v>
      </c>
      <c r="O8">
        <f t="shared" si="0"/>
        <v>2030</v>
      </c>
    </row>
    <row r="9" spans="1:16" x14ac:dyDescent="0.35">
      <c r="B9">
        <v>1</v>
      </c>
      <c r="C9">
        <f>B9+1</f>
        <v>2</v>
      </c>
      <c r="D9">
        <f>C9+1</f>
        <v>3</v>
      </c>
      <c r="E9">
        <f t="shared" ref="E9:O9" si="1">D9+1</f>
        <v>4</v>
      </c>
      <c r="F9">
        <f t="shared" si="1"/>
        <v>5</v>
      </c>
      <c r="G9">
        <f t="shared" si="1"/>
        <v>6</v>
      </c>
      <c r="H9">
        <f t="shared" si="1"/>
        <v>7</v>
      </c>
      <c r="I9">
        <f t="shared" si="1"/>
        <v>8</v>
      </c>
      <c r="J9">
        <f t="shared" si="1"/>
        <v>9</v>
      </c>
      <c r="K9">
        <f t="shared" si="1"/>
        <v>10</v>
      </c>
      <c r="L9">
        <f t="shared" si="1"/>
        <v>11</v>
      </c>
      <c r="M9">
        <f t="shared" si="1"/>
        <v>12</v>
      </c>
      <c r="N9">
        <f t="shared" si="1"/>
        <v>13</v>
      </c>
      <c r="O9">
        <f t="shared" si="1"/>
        <v>14</v>
      </c>
    </row>
    <row r="10" spans="1:16" x14ac:dyDescent="0.35">
      <c r="B10">
        <f xml:space="preserve"> 293290600 + (125.3866 - 293290600)/(1 + (B9/2785.389)^2.525739)</f>
        <v>125.97060340642929</v>
      </c>
      <c r="C10">
        <f t="shared" ref="C10:O10" si="2" xml:space="preserve"> 293290600 + (125.3866 - 293290600)/(1 + (C9/2785.389)^2.525739)</f>
        <v>128.74969089031219</v>
      </c>
      <c r="D10">
        <f t="shared" si="2"/>
        <v>134.75141388177872</v>
      </c>
      <c r="E10">
        <f t="shared" si="2"/>
        <v>144.75357413291931</v>
      </c>
      <c r="F10">
        <f t="shared" si="2"/>
        <v>159.41418677568436</v>
      </c>
      <c r="G10">
        <f t="shared" si="2"/>
        <v>179.315589427948</v>
      </c>
      <c r="H10">
        <f t="shared" si="2"/>
        <v>204.98647058010101</v>
      </c>
      <c r="I10">
        <f t="shared" si="2"/>
        <v>236.91483688354492</v>
      </c>
      <c r="J10">
        <f t="shared" si="2"/>
        <v>275.55643379688263</v>
      </c>
      <c r="K10">
        <f t="shared" si="2"/>
        <v>321.34058994054794</v>
      </c>
      <c r="L10">
        <f t="shared" si="2"/>
        <v>374.67447239160538</v>
      </c>
      <c r="M10">
        <f t="shared" si="2"/>
        <v>435.94630271196365</v>
      </c>
      <c r="N10">
        <f t="shared" si="2"/>
        <v>505.52785724401474</v>
      </c>
      <c r="O10">
        <f t="shared" si="2"/>
        <v>583.77645874023437</v>
      </c>
    </row>
    <row r="11" spans="1:16" x14ac:dyDescent="0.35">
      <c r="C11">
        <f>'Empirical trends'!$S$39/1000</f>
        <v>454</v>
      </c>
      <c r="D11">
        <f>C11+D10</f>
        <v>588.75141388177872</v>
      </c>
      <c r="E11">
        <f t="shared" ref="E11:O11" si="3">D11+E10</f>
        <v>733.50498801469803</v>
      </c>
      <c r="F11">
        <f t="shared" si="3"/>
        <v>892.91917479038239</v>
      </c>
      <c r="G11">
        <f t="shared" si="3"/>
        <v>1072.2347642183304</v>
      </c>
      <c r="H11">
        <f t="shared" si="3"/>
        <v>1277.2212347984314</v>
      </c>
      <c r="I11">
        <f t="shared" si="3"/>
        <v>1514.1360716819763</v>
      </c>
      <c r="J11">
        <f t="shared" si="3"/>
        <v>1789.6925054788589</v>
      </c>
      <c r="K11">
        <f t="shared" si="3"/>
        <v>2111.0330954194069</v>
      </c>
      <c r="L11">
        <f t="shared" si="3"/>
        <v>2485.7075678110123</v>
      </c>
      <c r="M11">
        <f t="shared" si="3"/>
        <v>2921.6538705229759</v>
      </c>
      <c r="N11">
        <f t="shared" si="3"/>
        <v>3427.1817277669907</v>
      </c>
      <c r="O11">
        <f t="shared" si="3"/>
        <v>4010.958186507225</v>
      </c>
    </row>
    <row r="12" spans="1:16" x14ac:dyDescent="0.35">
      <c r="J12">
        <f>J11/1000</f>
        <v>1.7896925054788591</v>
      </c>
      <c r="O12">
        <f>O11/1000</f>
        <v>4.0109581865072252</v>
      </c>
      <c r="P12" t="s">
        <v>441</v>
      </c>
    </row>
    <row r="16" spans="1:16" x14ac:dyDescent="0.35">
      <c r="A16" t="s">
        <v>447</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71"/>
  <sheetViews>
    <sheetView topLeftCell="B1" workbookViewId="0">
      <selection activeCell="I40" sqref="I40"/>
    </sheetView>
  </sheetViews>
  <sheetFormatPr defaultRowHeight="15" x14ac:dyDescent="0.25"/>
  <cols>
    <col min="4" max="4" width="25.140625" customWidth="1"/>
  </cols>
  <sheetData>
    <row r="2" spans="1:5" ht="14.45" x14ac:dyDescent="0.35">
      <c r="B2" t="s">
        <v>184</v>
      </c>
    </row>
    <row r="3" spans="1:5" ht="14.45" x14ac:dyDescent="0.35">
      <c r="B3" t="s">
        <v>188</v>
      </c>
      <c r="C3" t="s">
        <v>189</v>
      </c>
      <c r="D3" t="s">
        <v>191</v>
      </c>
      <c r="E3" t="s">
        <v>192</v>
      </c>
    </row>
    <row r="4" spans="1:5" ht="14.45" x14ac:dyDescent="0.35">
      <c r="B4" s="49">
        <v>6003</v>
      </c>
      <c r="C4" s="49">
        <v>25969</v>
      </c>
      <c r="D4" s="49">
        <f>(C4-B4)</f>
        <v>19966</v>
      </c>
      <c r="E4">
        <f>2*D4</f>
        <v>39932</v>
      </c>
    </row>
    <row r="6" spans="1:5" ht="14.45" x14ac:dyDescent="0.35">
      <c r="A6" t="s">
        <v>190</v>
      </c>
    </row>
    <row r="35" spans="14:19" x14ac:dyDescent="0.25">
      <c r="S35">
        <v>2018</v>
      </c>
    </row>
    <row r="36" spans="14:19" x14ac:dyDescent="0.25">
      <c r="N36" t="s">
        <v>449</v>
      </c>
      <c r="O36">
        <v>30000</v>
      </c>
      <c r="P36">
        <v>28000</v>
      </c>
      <c r="Q36">
        <v>35000</v>
      </c>
      <c r="R36">
        <v>45000</v>
      </c>
      <c r="S36">
        <v>63000</v>
      </c>
    </row>
    <row r="37" spans="14:19" x14ac:dyDescent="0.25">
      <c r="N37" t="s">
        <v>450</v>
      </c>
      <c r="O37">
        <v>30000</v>
      </c>
      <c r="P37">
        <v>34000</v>
      </c>
      <c r="Q37">
        <v>40000</v>
      </c>
      <c r="R37">
        <v>54000</v>
      </c>
      <c r="S37">
        <v>95000</v>
      </c>
    </row>
    <row r="38" spans="14:19" x14ac:dyDescent="0.25">
      <c r="N38" t="s">
        <v>451</v>
      </c>
      <c r="O38">
        <f>O36+O37</f>
        <v>60000</v>
      </c>
      <c r="P38">
        <f t="shared" ref="P38:S38" si="0">P36+P37</f>
        <v>62000</v>
      </c>
      <c r="Q38">
        <f t="shared" si="0"/>
        <v>75000</v>
      </c>
      <c r="R38">
        <f t="shared" si="0"/>
        <v>99000</v>
      </c>
      <c r="S38">
        <f t="shared" si="0"/>
        <v>158000</v>
      </c>
    </row>
    <row r="39" spans="14:19" x14ac:dyDescent="0.25">
      <c r="N39" t="s">
        <v>452</v>
      </c>
      <c r="O39">
        <f>O38</f>
        <v>60000</v>
      </c>
      <c r="P39">
        <f>O38+P38</f>
        <v>122000</v>
      </c>
      <c r="Q39">
        <f>P39+Q38</f>
        <v>197000</v>
      </c>
      <c r="R39">
        <f t="shared" ref="R39:S39" si="1">Q39+R38</f>
        <v>296000</v>
      </c>
      <c r="S39">
        <f t="shared" si="1"/>
        <v>454000</v>
      </c>
    </row>
    <row r="67" spans="2:3" x14ac:dyDescent="0.25">
      <c r="C67" s="47" t="s">
        <v>187</v>
      </c>
    </row>
    <row r="68" spans="2:3" x14ac:dyDescent="0.25">
      <c r="C68" s="48" t="s">
        <v>186</v>
      </c>
    </row>
    <row r="71" spans="2:3" x14ac:dyDescent="0.25">
      <c r="B71" s="47" t="s">
        <v>185</v>
      </c>
    </row>
  </sheetData>
  <hyperlinks>
    <hyperlink ref="C67" r:id="rId1"/>
    <hyperlink ref="B71" r:id="rId2"/>
  </hyperlinks>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
  <sheetViews>
    <sheetView workbookViewId="0">
      <selection activeCell="D4" sqref="D4:E4"/>
    </sheetView>
  </sheetViews>
  <sheetFormatPr defaultRowHeight="15" x14ac:dyDescent="0.25"/>
  <cols>
    <col min="4" max="5" width="11.140625" bestFit="1" customWidth="1"/>
  </cols>
  <sheetData>
    <row r="2" spans="1:7" ht="14.45" x14ac:dyDescent="0.35">
      <c r="D2" t="str">
        <f t="shared" ref="D2:E2" si="0">D14</f>
        <v>2025</v>
      </c>
      <c r="E2" t="str">
        <f t="shared" si="0"/>
        <v>2030</v>
      </c>
    </row>
    <row r="3" spans="1:7" ht="14.45" x14ac:dyDescent="0.35">
      <c r="D3">
        <f>D16/2</f>
        <v>1.3399419401448769E-2</v>
      </c>
      <c r="E3">
        <f>E16/2</f>
        <v>2.7369222885595262E-2</v>
      </c>
    </row>
    <row r="4" spans="1:7" ht="14.45" x14ac:dyDescent="0.35">
      <c r="D4" s="44">
        <f>D3*25000000</f>
        <v>334985.48503621924</v>
      </c>
      <c r="E4" s="44">
        <f>E3*25000000</f>
        <v>684230.57213988155</v>
      </c>
      <c r="G4" t="s">
        <v>419</v>
      </c>
    </row>
    <row r="9" spans="1:7" ht="14.45" x14ac:dyDescent="0.35">
      <c r="A9" t="s">
        <v>418</v>
      </c>
    </row>
    <row r="12" spans="1:7" ht="15.6" x14ac:dyDescent="0.35">
      <c r="A12" s="55" t="s">
        <v>385</v>
      </c>
    </row>
    <row r="14" spans="1:7" ht="14.45" x14ac:dyDescent="0.35">
      <c r="A14" s="56" t="s">
        <v>386</v>
      </c>
      <c r="B14" s="57" t="s">
        <v>387</v>
      </c>
      <c r="C14" s="57" t="s">
        <v>388</v>
      </c>
      <c r="D14" s="57" t="s">
        <v>389</v>
      </c>
      <c r="E14" s="57" t="s">
        <v>390</v>
      </c>
      <c r="F14" s="57" t="s">
        <v>391</v>
      </c>
      <c r="G14" s="57" t="s">
        <v>392</v>
      </c>
    </row>
    <row r="15" spans="1:7" ht="14.45" x14ac:dyDescent="0.35">
      <c r="A15" t="s">
        <v>393</v>
      </c>
      <c r="B15" s="58">
        <v>2.9522629456546785E-3</v>
      </c>
      <c r="C15" s="58">
        <v>9.3096504531133394E-3</v>
      </c>
      <c r="D15" s="58">
        <v>2.6152231784079195E-2</v>
      </c>
      <c r="E15" s="58">
        <v>4.9738749704967479E-2</v>
      </c>
      <c r="F15" s="58">
        <v>0.1186292193459948</v>
      </c>
      <c r="G15" s="58">
        <v>0.23534295105078004</v>
      </c>
    </row>
    <row r="16" spans="1:7" ht="14.45" x14ac:dyDescent="0.35">
      <c r="A16" t="s">
        <v>394</v>
      </c>
      <c r="B16" s="59">
        <v>2.5937530960459627E-3</v>
      </c>
      <c r="C16" s="59">
        <v>8.329420867245212E-3</v>
      </c>
      <c r="D16" s="59">
        <v>2.6798838802897539E-2</v>
      </c>
      <c r="E16" s="59">
        <v>5.4738445771190525E-2</v>
      </c>
      <c r="F16" s="59">
        <v>9.5986648057146393E-2</v>
      </c>
      <c r="G16" s="59">
        <v>0.15022901119639692</v>
      </c>
    </row>
    <row r="18" spans="1:1" x14ac:dyDescent="0.25">
      <c r="A18" t="s">
        <v>395</v>
      </c>
    </row>
    <row r="21" spans="1:1" ht="14.45" x14ac:dyDescent="0.35">
      <c r="A21" s="47" t="s">
        <v>396</v>
      </c>
    </row>
  </sheetData>
  <hyperlinks>
    <hyperlink ref="A21"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0"/>
  <sheetViews>
    <sheetView workbookViewId="0">
      <selection activeCell="K37" sqref="K37"/>
    </sheetView>
  </sheetViews>
  <sheetFormatPr defaultRowHeight="15" x14ac:dyDescent="0.25"/>
  <sheetData>
    <row r="1" spans="2:8" ht="14.45" x14ac:dyDescent="0.35">
      <c r="B1" t="s">
        <v>678</v>
      </c>
    </row>
    <row r="3" spans="2:8" ht="21" x14ac:dyDescent="0.4">
      <c r="B3" s="62" t="s">
        <v>414</v>
      </c>
    </row>
    <row r="5" spans="2:8" ht="14.45" x14ac:dyDescent="0.35">
      <c r="B5" s="47" t="s">
        <v>415</v>
      </c>
    </row>
    <row r="7" spans="2:8" x14ac:dyDescent="0.25">
      <c r="B7" s="63" t="s">
        <v>416</v>
      </c>
    </row>
    <row r="9" spans="2:8" ht="14.45" x14ac:dyDescent="0.35">
      <c r="B9" t="s">
        <v>417</v>
      </c>
      <c r="G9">
        <v>50</v>
      </c>
      <c r="H9">
        <v>2025</v>
      </c>
    </row>
    <row r="10" spans="2:8" ht="14.45" x14ac:dyDescent="0.35">
      <c r="G10">
        <v>128</v>
      </c>
      <c r="H10">
        <v>2030</v>
      </c>
    </row>
    <row r="41" spans="10:10" x14ac:dyDescent="0.25">
      <c r="J41" s="47" t="s">
        <v>199</v>
      </c>
    </row>
    <row r="44" spans="10:10" x14ac:dyDescent="0.25">
      <c r="J44" t="s">
        <v>401</v>
      </c>
    </row>
    <row r="46" spans="10:10" x14ac:dyDescent="0.25">
      <c r="J46" t="s">
        <v>397</v>
      </c>
    </row>
    <row r="47" spans="10:10" x14ac:dyDescent="0.25">
      <c r="J47" t="s">
        <v>398</v>
      </c>
    </row>
    <row r="48" spans="10:10" x14ac:dyDescent="0.25">
      <c r="J48" t="s">
        <v>399</v>
      </c>
    </row>
    <row r="50" spans="10:10" x14ac:dyDescent="0.25">
      <c r="J50" t="s">
        <v>400</v>
      </c>
    </row>
  </sheetData>
  <hyperlinks>
    <hyperlink ref="B5" r:id="rId1"/>
    <hyperlink ref="B7" r:id="rId2" display="https://www.iea.org/tcep/"/>
    <hyperlink ref="J41" r:id="rId3"/>
  </hyperlinks>
  <pageMargins left="0.7" right="0.7" top="0.75" bottom="0.75" header="0.3" footer="0.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9"/>
  <sheetViews>
    <sheetView topLeftCell="B79" workbookViewId="0">
      <selection activeCell="D109" sqref="D109"/>
    </sheetView>
  </sheetViews>
  <sheetFormatPr defaultRowHeight="15" x14ac:dyDescent="0.25"/>
  <cols>
    <col min="1" max="1" width="19.85546875" hidden="1" customWidth="1"/>
    <col min="2" max="2" width="43.5703125" customWidth="1"/>
  </cols>
  <sheetData>
    <row r="1" spans="1:37" ht="15" customHeight="1" thickBot="1" x14ac:dyDescent="0.4">
      <c r="B1" s="9" t="s">
        <v>70</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x14ac:dyDescent="0.35"/>
    <row r="3" spans="1:37" ht="15" customHeight="1" x14ac:dyDescent="0.35">
      <c r="C3" s="40" t="s">
        <v>48</v>
      </c>
      <c r="D3" s="40" t="s">
        <v>71</v>
      </c>
      <c r="E3" s="40"/>
      <c r="F3" s="40"/>
      <c r="G3" s="40"/>
    </row>
    <row r="4" spans="1:37" ht="15" customHeight="1" x14ac:dyDescent="0.35">
      <c r="C4" s="40" t="s">
        <v>47</v>
      </c>
      <c r="D4" s="40" t="s">
        <v>72</v>
      </c>
      <c r="E4" s="40"/>
      <c r="F4" s="40"/>
      <c r="G4" s="40" t="s">
        <v>46</v>
      </c>
    </row>
    <row r="5" spans="1:37" ht="15" customHeight="1" x14ac:dyDescent="0.35">
      <c r="C5" s="40" t="s">
        <v>45</v>
      </c>
      <c r="D5" s="40" t="s">
        <v>73</v>
      </c>
      <c r="E5" s="40"/>
      <c r="F5" s="40"/>
      <c r="G5" s="40"/>
    </row>
    <row r="6" spans="1:37" ht="15" customHeight="1" x14ac:dyDescent="0.35">
      <c r="C6" s="40" t="s">
        <v>44</v>
      </c>
      <c r="D6" s="40"/>
      <c r="E6" s="40" t="s">
        <v>74</v>
      </c>
      <c r="F6" s="40"/>
      <c r="G6" s="40"/>
    </row>
    <row r="10" spans="1:37" ht="15" customHeight="1" x14ac:dyDescent="0.35">
      <c r="A10" s="41" t="s">
        <v>75</v>
      </c>
      <c r="B10" s="10" t="s">
        <v>76</v>
      </c>
    </row>
    <row r="11" spans="1:37" ht="15" customHeight="1" x14ac:dyDescent="0.35">
      <c r="B11" s="9" t="s">
        <v>77</v>
      </c>
    </row>
    <row r="12" spans="1:37" ht="15" customHeight="1" x14ac:dyDescent="0.35">
      <c r="B12" s="9" t="s">
        <v>78</v>
      </c>
      <c r="C12" s="42" t="s">
        <v>43</v>
      </c>
      <c r="D12" s="42" t="s">
        <v>43</v>
      </c>
      <c r="E12" s="42" t="s">
        <v>43</v>
      </c>
      <c r="F12" s="42" t="s">
        <v>43</v>
      </c>
      <c r="G12" s="42" t="s">
        <v>43</v>
      </c>
      <c r="H12" s="42" t="s">
        <v>43</v>
      </c>
      <c r="I12" s="42" t="s">
        <v>43</v>
      </c>
      <c r="J12" s="42" t="s">
        <v>43</v>
      </c>
      <c r="K12" s="42" t="s">
        <v>43</v>
      </c>
      <c r="L12" s="42" t="s">
        <v>43</v>
      </c>
      <c r="M12" s="42" t="s">
        <v>43</v>
      </c>
      <c r="N12" s="42" t="s">
        <v>43</v>
      </c>
      <c r="O12" s="42" t="s">
        <v>43</v>
      </c>
      <c r="P12" s="42" t="s">
        <v>43</v>
      </c>
      <c r="Q12" s="42" t="s">
        <v>43</v>
      </c>
      <c r="R12" s="42" t="s">
        <v>43</v>
      </c>
      <c r="S12" s="42" t="s">
        <v>43</v>
      </c>
      <c r="T12" s="42" t="s">
        <v>43</v>
      </c>
      <c r="U12" s="42" t="s">
        <v>43</v>
      </c>
      <c r="V12" s="42" t="s">
        <v>43</v>
      </c>
      <c r="W12" s="42" t="s">
        <v>43</v>
      </c>
      <c r="X12" s="42" t="s">
        <v>43</v>
      </c>
      <c r="Y12" s="42" t="s">
        <v>43</v>
      </c>
      <c r="Z12" s="42" t="s">
        <v>43</v>
      </c>
      <c r="AA12" s="42" t="s">
        <v>43</v>
      </c>
      <c r="AB12" s="42" t="s">
        <v>43</v>
      </c>
      <c r="AC12" s="42" t="s">
        <v>43</v>
      </c>
      <c r="AD12" s="42" t="s">
        <v>43</v>
      </c>
      <c r="AE12" s="42" t="s">
        <v>43</v>
      </c>
      <c r="AF12" s="42" t="s">
        <v>43</v>
      </c>
      <c r="AG12" s="42" t="s">
        <v>43</v>
      </c>
      <c r="AH12" s="42" t="s">
        <v>43</v>
      </c>
      <c r="AI12" s="42" t="s">
        <v>43</v>
      </c>
      <c r="AJ12" s="42" t="s">
        <v>43</v>
      </c>
      <c r="AK12" s="42" t="s">
        <v>79</v>
      </c>
    </row>
    <row r="13" spans="1:37" ht="15" customHeight="1" thickBot="1" x14ac:dyDescent="0.4">
      <c r="B13" s="8" t="s">
        <v>42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x14ac:dyDescent="0.35"/>
    <row r="15" spans="1:37" ht="15" customHeight="1" x14ac:dyDescent="0.35">
      <c r="B15" s="5" t="s">
        <v>80</v>
      </c>
    </row>
    <row r="16" spans="1:37" ht="15" customHeight="1" x14ac:dyDescent="0.35">
      <c r="B16" s="5" t="s">
        <v>41</v>
      </c>
    </row>
    <row r="17" spans="1:37" ht="15" customHeight="1" x14ac:dyDescent="0.35">
      <c r="A17" s="41" t="s">
        <v>81</v>
      </c>
      <c r="B17" s="7" t="s">
        <v>36</v>
      </c>
      <c r="C17" s="14">
        <v>1368.959717</v>
      </c>
      <c r="D17" s="14">
        <v>1308.1551509999999</v>
      </c>
      <c r="E17" s="14">
        <v>1231.1983640000001</v>
      </c>
      <c r="F17" s="14">
        <v>1191.591797</v>
      </c>
      <c r="G17" s="14">
        <v>1153.9039310000001</v>
      </c>
      <c r="H17" s="14">
        <v>1109.0738530000001</v>
      </c>
      <c r="I17" s="14">
        <v>1105.6064449999999</v>
      </c>
      <c r="J17" s="14">
        <v>1096.7276609999999</v>
      </c>
      <c r="K17" s="14">
        <v>1083.8304439999999</v>
      </c>
      <c r="L17" s="14">
        <v>1083.5874020000001</v>
      </c>
      <c r="M17" s="14">
        <v>1089.6251219999999</v>
      </c>
      <c r="N17" s="14">
        <v>1096.9580080000001</v>
      </c>
      <c r="O17" s="14">
        <v>1118.663452</v>
      </c>
      <c r="P17" s="14">
        <v>1117.5622559999999</v>
      </c>
      <c r="Q17" s="14">
        <v>1137.283081</v>
      </c>
      <c r="R17" s="14">
        <v>1140.2136230000001</v>
      </c>
      <c r="S17" s="14">
        <v>1145.262207</v>
      </c>
      <c r="T17" s="14">
        <v>1150.464966</v>
      </c>
      <c r="U17" s="14">
        <v>1150.860107</v>
      </c>
      <c r="V17" s="14">
        <v>1152.449341</v>
      </c>
      <c r="W17" s="14">
        <v>1157.484009</v>
      </c>
      <c r="X17" s="14">
        <v>1163.3951420000001</v>
      </c>
      <c r="Y17" s="14">
        <v>1164.0805660000001</v>
      </c>
      <c r="Z17" s="14">
        <v>1166.5153809999999</v>
      </c>
      <c r="AA17" s="14">
        <v>1170.3557129999999</v>
      </c>
      <c r="AB17" s="14">
        <v>1171.4925539999999</v>
      </c>
      <c r="AC17" s="14">
        <v>1173.706177</v>
      </c>
      <c r="AD17" s="14">
        <v>1180.934937</v>
      </c>
      <c r="AE17" s="14">
        <v>1186.320068</v>
      </c>
      <c r="AF17" s="14">
        <v>1188.0920410000001</v>
      </c>
      <c r="AG17" s="14">
        <v>1184.8618160000001</v>
      </c>
      <c r="AH17" s="14">
        <v>1178.1141359999999</v>
      </c>
      <c r="AI17" s="14">
        <v>1173.209961</v>
      </c>
      <c r="AJ17" s="14">
        <v>1166.2670900000001</v>
      </c>
      <c r="AK17" s="6">
        <v>-3.581E-3</v>
      </c>
    </row>
    <row r="18" spans="1:37" ht="15" customHeight="1" x14ac:dyDescent="0.35">
      <c r="A18" s="41" t="s">
        <v>82</v>
      </c>
      <c r="B18" s="7" t="s">
        <v>35</v>
      </c>
      <c r="C18" s="14">
        <v>0.382025</v>
      </c>
      <c r="D18" s="14">
        <v>1.662002</v>
      </c>
      <c r="E18" s="14">
        <v>4.8886440000000002</v>
      </c>
      <c r="F18" s="14">
        <v>8.0179819999999999</v>
      </c>
      <c r="G18" s="14">
        <v>8.8983260000000008</v>
      </c>
      <c r="H18" s="14">
        <v>10.017041000000001</v>
      </c>
      <c r="I18" s="14">
        <v>11.700773999999999</v>
      </c>
      <c r="J18" s="14">
        <v>13.518420000000001</v>
      </c>
      <c r="K18" s="14">
        <v>16.120138000000001</v>
      </c>
      <c r="L18" s="14">
        <v>19.306246000000002</v>
      </c>
      <c r="M18" s="14">
        <v>22.950695</v>
      </c>
      <c r="N18" s="14">
        <v>27.546612</v>
      </c>
      <c r="O18" s="14">
        <v>31.022551</v>
      </c>
      <c r="P18" s="14">
        <v>34.830235000000002</v>
      </c>
      <c r="Q18" s="14">
        <v>35.630305999999997</v>
      </c>
      <c r="R18" s="14">
        <v>35.754829000000001</v>
      </c>
      <c r="S18" s="14">
        <v>34.754359999999998</v>
      </c>
      <c r="T18" s="14">
        <v>35.783175999999997</v>
      </c>
      <c r="U18" s="14">
        <v>34.720081</v>
      </c>
      <c r="V18" s="14">
        <v>33.878197</v>
      </c>
      <c r="W18" s="14">
        <v>33.412303999999999</v>
      </c>
      <c r="X18" s="14">
        <v>32.724361000000002</v>
      </c>
      <c r="Y18" s="14">
        <v>32.062683</v>
      </c>
      <c r="Z18" s="14">
        <v>31.717382000000001</v>
      </c>
      <c r="AA18" s="14">
        <v>31.552546</v>
      </c>
      <c r="AB18" s="14">
        <v>31.094904</v>
      </c>
      <c r="AC18" s="14">
        <v>30.704723000000001</v>
      </c>
      <c r="AD18" s="14">
        <v>30.368442999999999</v>
      </c>
      <c r="AE18" s="14">
        <v>29.969891000000001</v>
      </c>
      <c r="AF18" s="14">
        <v>30.144876</v>
      </c>
      <c r="AG18" s="14">
        <v>30.018340999999999</v>
      </c>
      <c r="AH18" s="14">
        <v>29.510266999999999</v>
      </c>
      <c r="AI18" s="14">
        <v>28.975778999999999</v>
      </c>
      <c r="AJ18" s="14">
        <v>28.178191999999999</v>
      </c>
      <c r="AK18" s="6">
        <v>9.2483999999999997E-2</v>
      </c>
    </row>
    <row r="19" spans="1:37" ht="15" customHeight="1" x14ac:dyDescent="0.35">
      <c r="A19" s="41" t="s">
        <v>83</v>
      </c>
      <c r="B19" s="7" t="s">
        <v>40</v>
      </c>
      <c r="C19" s="14">
        <v>1369.341797</v>
      </c>
      <c r="D19" s="14">
        <v>1309.817139</v>
      </c>
      <c r="E19" s="14">
        <v>1236.0870359999999</v>
      </c>
      <c r="F19" s="14">
        <v>1199.609741</v>
      </c>
      <c r="G19" s="14">
        <v>1162.802246</v>
      </c>
      <c r="H19" s="14">
        <v>1119.090942</v>
      </c>
      <c r="I19" s="14">
        <v>1117.307251</v>
      </c>
      <c r="J19" s="14">
        <v>1110.2460940000001</v>
      </c>
      <c r="K19" s="14">
        <v>1099.950562</v>
      </c>
      <c r="L19" s="14">
        <v>1102.893677</v>
      </c>
      <c r="M19" s="14">
        <v>1112.5758060000001</v>
      </c>
      <c r="N19" s="14">
        <v>1124.504639</v>
      </c>
      <c r="O19" s="14">
        <v>1149.6860349999999</v>
      </c>
      <c r="P19" s="14">
        <v>1152.392456</v>
      </c>
      <c r="Q19" s="14">
        <v>1172.9133300000001</v>
      </c>
      <c r="R19" s="14">
        <v>1175.9685059999999</v>
      </c>
      <c r="S19" s="14">
        <v>1180.0166019999999</v>
      </c>
      <c r="T19" s="14">
        <v>1186.248169</v>
      </c>
      <c r="U19" s="14">
        <v>1185.5802000000001</v>
      </c>
      <c r="V19" s="14">
        <v>1186.3275149999999</v>
      </c>
      <c r="W19" s="14">
        <v>1190.896362</v>
      </c>
      <c r="X19" s="14">
        <v>1196.1195070000001</v>
      </c>
      <c r="Y19" s="14">
        <v>1196.143311</v>
      </c>
      <c r="Z19" s="14">
        <v>1198.232788</v>
      </c>
      <c r="AA19" s="14">
        <v>1201.908203</v>
      </c>
      <c r="AB19" s="14">
        <v>1202.5874020000001</v>
      </c>
      <c r="AC19" s="14">
        <v>1204.410889</v>
      </c>
      <c r="AD19" s="14">
        <v>1211.303345</v>
      </c>
      <c r="AE19" s="14">
        <v>1216.2899170000001</v>
      </c>
      <c r="AF19" s="14">
        <v>1218.236938</v>
      </c>
      <c r="AG19" s="14">
        <v>1214.8801269999999</v>
      </c>
      <c r="AH19" s="14">
        <v>1207.6243899999999</v>
      </c>
      <c r="AI19" s="14">
        <v>1202.1857910000001</v>
      </c>
      <c r="AJ19" s="14">
        <v>1194.4453120000001</v>
      </c>
      <c r="AK19" s="6">
        <v>-2.8770000000000002E-3</v>
      </c>
    </row>
    <row r="21" spans="1:37" ht="15" customHeight="1" x14ac:dyDescent="0.35">
      <c r="B21" s="5" t="s">
        <v>39</v>
      </c>
    </row>
    <row r="22" spans="1:37" ht="15" customHeight="1" x14ac:dyDescent="0.35">
      <c r="A22" s="41" t="s">
        <v>84</v>
      </c>
      <c r="B22" s="7" t="s">
        <v>32</v>
      </c>
      <c r="C22" s="14">
        <v>42.082408999999998</v>
      </c>
      <c r="D22" s="14">
        <v>39.348720999999998</v>
      </c>
      <c r="E22" s="14">
        <v>37.713673</v>
      </c>
      <c r="F22" s="14">
        <v>36.909809000000003</v>
      </c>
      <c r="G22" s="14">
        <v>36.247962999999999</v>
      </c>
      <c r="H22" s="14">
        <v>35.249656999999999</v>
      </c>
      <c r="I22" s="14">
        <v>35.252220000000001</v>
      </c>
      <c r="J22" s="14">
        <v>35.158428000000001</v>
      </c>
      <c r="K22" s="14">
        <v>35.986736000000001</v>
      </c>
      <c r="L22" s="14">
        <v>36.722340000000003</v>
      </c>
      <c r="M22" s="14">
        <v>39.302723</v>
      </c>
      <c r="N22" s="14">
        <v>41.418120999999999</v>
      </c>
      <c r="O22" s="14">
        <v>47.360343999999998</v>
      </c>
      <c r="P22" s="14">
        <v>50.078972</v>
      </c>
      <c r="Q22" s="14">
        <v>52.649192999999997</v>
      </c>
      <c r="R22" s="14">
        <v>53.342598000000002</v>
      </c>
      <c r="S22" s="14">
        <v>54.648907000000001</v>
      </c>
      <c r="T22" s="14">
        <v>56.923552999999998</v>
      </c>
      <c r="U22" s="14">
        <v>57.483356000000001</v>
      </c>
      <c r="V22" s="14">
        <v>58.787433999999998</v>
      </c>
      <c r="W22" s="14">
        <v>59.597309000000003</v>
      </c>
      <c r="X22" s="14">
        <v>60.030071</v>
      </c>
      <c r="Y22" s="14">
        <v>59.059063000000002</v>
      </c>
      <c r="Z22" s="14">
        <v>58.340004</v>
      </c>
      <c r="AA22" s="14">
        <v>56.575721999999999</v>
      </c>
      <c r="AB22" s="14">
        <v>54.833309</v>
      </c>
      <c r="AC22" s="14">
        <v>52.318218000000002</v>
      </c>
      <c r="AD22" s="14">
        <v>50.512878000000001</v>
      </c>
      <c r="AE22" s="14">
        <v>49.248665000000003</v>
      </c>
      <c r="AF22" s="14">
        <v>45.552543999999997</v>
      </c>
      <c r="AG22" s="14">
        <v>40.480316000000002</v>
      </c>
      <c r="AH22" s="14">
        <v>37.552864</v>
      </c>
      <c r="AI22" s="14">
        <v>37.368358999999998</v>
      </c>
      <c r="AJ22" s="14">
        <v>37.221508</v>
      </c>
      <c r="AK22" s="6">
        <v>-1.735E-3</v>
      </c>
    </row>
    <row r="23" spans="1:37" ht="15" customHeight="1" x14ac:dyDescent="0.35">
      <c r="A23" s="41" t="s">
        <v>85</v>
      </c>
      <c r="B23" s="7" t="s">
        <v>31</v>
      </c>
      <c r="C23" s="14">
        <v>10.664</v>
      </c>
      <c r="D23" s="14">
        <v>2.9652829999999999</v>
      </c>
      <c r="E23" s="14">
        <v>10.500658</v>
      </c>
      <c r="F23" s="14">
        <v>10.842278</v>
      </c>
      <c r="G23" s="14">
        <v>11.665779000000001</v>
      </c>
      <c r="H23" s="14">
        <v>13.152122</v>
      </c>
      <c r="I23" s="14">
        <v>14.169079999999999</v>
      </c>
      <c r="J23" s="14">
        <v>16.073682999999999</v>
      </c>
      <c r="K23" s="14">
        <v>16.821209</v>
      </c>
      <c r="L23" s="14">
        <v>15.762579000000001</v>
      </c>
      <c r="M23" s="14">
        <v>15.840916</v>
      </c>
      <c r="N23" s="14">
        <v>14.990503</v>
      </c>
      <c r="O23" s="14">
        <v>15.626322999999999</v>
      </c>
      <c r="P23" s="14">
        <v>15.115997999999999</v>
      </c>
      <c r="Q23" s="14">
        <v>15.243326</v>
      </c>
      <c r="R23" s="14">
        <v>14.572824000000001</v>
      </c>
      <c r="S23" s="14">
        <v>14.487465</v>
      </c>
      <c r="T23" s="14">
        <v>14.598224999999999</v>
      </c>
      <c r="U23" s="14">
        <v>14.620628</v>
      </c>
      <c r="V23" s="14">
        <v>14.82532</v>
      </c>
      <c r="W23" s="14">
        <v>14.741987</v>
      </c>
      <c r="X23" s="14">
        <v>14.997965000000001</v>
      </c>
      <c r="Y23" s="14">
        <v>15.218919</v>
      </c>
      <c r="Z23" s="14">
        <v>15.541888999999999</v>
      </c>
      <c r="AA23" s="14">
        <v>15.616436</v>
      </c>
      <c r="AB23" s="14">
        <v>15.792721999999999</v>
      </c>
      <c r="AC23" s="14">
        <v>15.97883</v>
      </c>
      <c r="AD23" s="14">
        <v>16.146933000000001</v>
      </c>
      <c r="AE23" s="14">
        <v>16.327375</v>
      </c>
      <c r="AF23" s="14">
        <v>16.592272000000001</v>
      </c>
      <c r="AG23" s="14">
        <v>16.774652</v>
      </c>
      <c r="AH23" s="14">
        <v>16.988015999999998</v>
      </c>
      <c r="AI23" s="14">
        <v>17.137187999999998</v>
      </c>
      <c r="AJ23" s="14">
        <v>17.328802</v>
      </c>
      <c r="AK23" s="6">
        <v>5.6718999999999999E-2</v>
      </c>
    </row>
    <row r="24" spans="1:37" ht="15" customHeight="1" x14ac:dyDescent="0.35">
      <c r="A24" s="41" t="s">
        <v>86</v>
      </c>
      <c r="B24" s="7" t="s">
        <v>30</v>
      </c>
      <c r="C24" s="14">
        <v>10.582746999999999</v>
      </c>
      <c r="D24" s="14">
        <v>9.3707469999999997</v>
      </c>
      <c r="E24" s="14">
        <v>32.982109000000001</v>
      </c>
      <c r="F24" s="14">
        <v>41.887611</v>
      </c>
      <c r="G24" s="14">
        <v>45.307613000000003</v>
      </c>
      <c r="H24" s="14">
        <v>47.329700000000003</v>
      </c>
      <c r="I24" s="14">
        <v>52.057994999999998</v>
      </c>
      <c r="J24" s="14">
        <v>59.773288999999998</v>
      </c>
      <c r="K24" s="14">
        <v>66.97345</v>
      </c>
      <c r="L24" s="14">
        <v>65.674210000000002</v>
      </c>
      <c r="M24" s="14">
        <v>65.598022</v>
      </c>
      <c r="N24" s="14">
        <v>66.051956000000004</v>
      </c>
      <c r="O24" s="14">
        <v>72.448455999999993</v>
      </c>
      <c r="P24" s="14">
        <v>72.199141999999995</v>
      </c>
      <c r="Q24" s="14">
        <v>76.535674999999998</v>
      </c>
      <c r="R24" s="14">
        <v>80.564880000000002</v>
      </c>
      <c r="S24" s="14">
        <v>85.321738999999994</v>
      </c>
      <c r="T24" s="14">
        <v>90.905158999999998</v>
      </c>
      <c r="U24" s="14">
        <v>96.159851000000003</v>
      </c>
      <c r="V24" s="14">
        <v>101.854462</v>
      </c>
      <c r="W24" s="14">
        <v>106.837746</v>
      </c>
      <c r="X24" s="14">
        <v>113.04016900000001</v>
      </c>
      <c r="Y24" s="14">
        <v>118.88679500000001</v>
      </c>
      <c r="Z24" s="14">
        <v>125.57424899999999</v>
      </c>
      <c r="AA24" s="14">
        <v>129.23329200000001</v>
      </c>
      <c r="AB24" s="14">
        <v>132.21899400000001</v>
      </c>
      <c r="AC24" s="14">
        <v>134.91619900000001</v>
      </c>
      <c r="AD24" s="14">
        <v>137.26396199999999</v>
      </c>
      <c r="AE24" s="14">
        <v>139.82231100000001</v>
      </c>
      <c r="AF24" s="14">
        <v>143.783356</v>
      </c>
      <c r="AG24" s="14">
        <v>146.78540000000001</v>
      </c>
      <c r="AH24" s="14">
        <v>150.228531</v>
      </c>
      <c r="AI24" s="14">
        <v>153.018631</v>
      </c>
      <c r="AJ24" s="14">
        <v>155.64054899999999</v>
      </c>
      <c r="AK24" s="6">
        <v>9.1782000000000002E-2</v>
      </c>
    </row>
    <row r="25" spans="1:37" ht="15" customHeight="1" x14ac:dyDescent="0.35">
      <c r="A25" s="41" t="s">
        <v>87</v>
      </c>
      <c r="B25" s="7" t="s">
        <v>88</v>
      </c>
      <c r="C25" s="14">
        <v>8.1202380000000005</v>
      </c>
      <c r="D25" s="14">
        <v>28.932486999999998</v>
      </c>
      <c r="E25" s="14">
        <v>42.179028000000002</v>
      </c>
      <c r="F25" s="14">
        <v>54.580441</v>
      </c>
      <c r="G25" s="14">
        <v>70.900527999999994</v>
      </c>
      <c r="H25" s="14">
        <v>76.703368999999995</v>
      </c>
      <c r="I25" s="14">
        <v>82.053000999999995</v>
      </c>
      <c r="J25" s="14">
        <v>86.272362000000001</v>
      </c>
      <c r="K25" s="14">
        <v>90.458916000000002</v>
      </c>
      <c r="L25" s="14">
        <v>90.054237000000001</v>
      </c>
      <c r="M25" s="14">
        <v>91.621482999999998</v>
      </c>
      <c r="N25" s="14">
        <v>94.204993999999999</v>
      </c>
      <c r="O25" s="14">
        <v>99.589614999999995</v>
      </c>
      <c r="P25" s="14">
        <v>108.21814000000001</v>
      </c>
      <c r="Q25" s="14">
        <v>115.228531</v>
      </c>
      <c r="R25" s="14">
        <v>121.800156</v>
      </c>
      <c r="S25" s="14">
        <v>128.23429899999999</v>
      </c>
      <c r="T25" s="14">
        <v>134.40069600000001</v>
      </c>
      <c r="U25" s="14">
        <v>139.82550000000001</v>
      </c>
      <c r="V25" s="14">
        <v>144.41326900000001</v>
      </c>
      <c r="W25" s="14">
        <v>148.28833</v>
      </c>
      <c r="X25" s="14">
        <v>151.702911</v>
      </c>
      <c r="Y25" s="14">
        <v>154.076584</v>
      </c>
      <c r="Z25" s="14">
        <v>155.972656</v>
      </c>
      <c r="AA25" s="14">
        <v>158.673889</v>
      </c>
      <c r="AB25" s="14">
        <v>161.21054100000001</v>
      </c>
      <c r="AC25" s="14">
        <v>164.38110399999999</v>
      </c>
      <c r="AD25" s="14">
        <v>167.349884</v>
      </c>
      <c r="AE25" s="14">
        <v>169.90263400000001</v>
      </c>
      <c r="AF25" s="14">
        <v>173.770599</v>
      </c>
      <c r="AG25" s="14">
        <v>177.09397899999999</v>
      </c>
      <c r="AH25" s="14">
        <v>180.242142</v>
      </c>
      <c r="AI25" s="14">
        <v>183.60089099999999</v>
      </c>
      <c r="AJ25" s="14">
        <v>186.302246</v>
      </c>
      <c r="AK25" s="6">
        <v>5.9927000000000001E-2</v>
      </c>
    </row>
    <row r="26" spans="1:37" ht="15" customHeight="1" x14ac:dyDescent="0.35">
      <c r="A26" s="41" t="s">
        <v>89</v>
      </c>
      <c r="B26" s="7" t="s">
        <v>29</v>
      </c>
      <c r="C26" s="14">
        <v>5.821885</v>
      </c>
      <c r="D26" s="14">
        <v>4.8551469999999997</v>
      </c>
      <c r="E26" s="14">
        <v>5.4273850000000001</v>
      </c>
      <c r="F26" s="14">
        <v>6.2494620000000003</v>
      </c>
      <c r="G26" s="14">
        <v>8.8708130000000001</v>
      </c>
      <c r="H26" s="14">
        <v>10.225311</v>
      </c>
      <c r="I26" s="14">
        <v>10.865969</v>
      </c>
      <c r="J26" s="14">
        <v>11.382069</v>
      </c>
      <c r="K26" s="14">
        <v>12.029762</v>
      </c>
      <c r="L26" s="14">
        <v>12.126734000000001</v>
      </c>
      <c r="M26" s="14">
        <v>12.331738</v>
      </c>
      <c r="N26" s="14">
        <v>12.462318</v>
      </c>
      <c r="O26" s="14">
        <v>12.68816</v>
      </c>
      <c r="P26" s="14">
        <v>12.625655</v>
      </c>
      <c r="Q26" s="14">
        <v>12.687227</v>
      </c>
      <c r="R26" s="14">
        <v>12.672026000000001</v>
      </c>
      <c r="S26" s="14">
        <v>12.636486</v>
      </c>
      <c r="T26" s="14">
        <v>12.636333</v>
      </c>
      <c r="U26" s="14">
        <v>12.575574</v>
      </c>
      <c r="V26" s="14">
        <v>12.704579000000001</v>
      </c>
      <c r="W26" s="14">
        <v>12.862606</v>
      </c>
      <c r="X26" s="14">
        <v>12.757512</v>
      </c>
      <c r="Y26" s="14">
        <v>12.850717</v>
      </c>
      <c r="Z26" s="14">
        <v>12.975391</v>
      </c>
      <c r="AA26" s="14">
        <v>13.019676</v>
      </c>
      <c r="AB26" s="14">
        <v>13.040222999999999</v>
      </c>
      <c r="AC26" s="14">
        <v>13.085635999999999</v>
      </c>
      <c r="AD26" s="14">
        <v>13.142792999999999</v>
      </c>
      <c r="AE26" s="14">
        <v>13.173461</v>
      </c>
      <c r="AF26" s="14">
        <v>13.217479000000001</v>
      </c>
      <c r="AG26" s="14">
        <v>13.24052</v>
      </c>
      <c r="AH26" s="14">
        <v>13.238092999999999</v>
      </c>
      <c r="AI26" s="14">
        <v>13.236514</v>
      </c>
      <c r="AJ26" s="14">
        <v>13.274616999999999</v>
      </c>
      <c r="AK26" s="6">
        <v>3.1931000000000001E-2</v>
      </c>
    </row>
    <row r="27" spans="1:37" ht="15" customHeight="1" x14ac:dyDescent="0.35">
      <c r="A27" s="41" t="s">
        <v>90</v>
      </c>
      <c r="B27" s="7" t="s">
        <v>28</v>
      </c>
      <c r="C27" s="14">
        <v>19.077069999999999</v>
      </c>
      <c r="D27" s="14">
        <v>17.784832000000002</v>
      </c>
      <c r="E27" s="14">
        <v>18.489308999999999</v>
      </c>
      <c r="F27" s="14">
        <v>19.693850000000001</v>
      </c>
      <c r="G27" s="14">
        <v>18.526966000000002</v>
      </c>
      <c r="H27" s="14">
        <v>16.621355000000001</v>
      </c>
      <c r="I27" s="14">
        <v>15.737971</v>
      </c>
      <c r="J27" s="14">
        <v>15.725611000000001</v>
      </c>
      <c r="K27" s="14">
        <v>14.889583</v>
      </c>
      <c r="L27" s="14">
        <v>14.946887</v>
      </c>
      <c r="M27" s="14">
        <v>15.586425</v>
      </c>
      <c r="N27" s="14">
        <v>16.405275</v>
      </c>
      <c r="O27" s="14">
        <v>19.71022</v>
      </c>
      <c r="P27" s="14">
        <v>20.47982</v>
      </c>
      <c r="Q27" s="14">
        <v>21.745411000000001</v>
      </c>
      <c r="R27" s="14">
        <v>22.755032</v>
      </c>
      <c r="S27" s="14">
        <v>23.755490999999999</v>
      </c>
      <c r="T27" s="14">
        <v>24.929397999999999</v>
      </c>
      <c r="U27" s="14">
        <v>25.833372000000001</v>
      </c>
      <c r="V27" s="14">
        <v>26.879584999999999</v>
      </c>
      <c r="W27" s="14">
        <v>27.602684</v>
      </c>
      <c r="X27" s="14">
        <v>28.542036</v>
      </c>
      <c r="Y27" s="14">
        <v>29.384504</v>
      </c>
      <c r="Z27" s="14">
        <v>30.375274999999998</v>
      </c>
      <c r="AA27" s="14">
        <v>30.883814000000001</v>
      </c>
      <c r="AB27" s="14">
        <v>31.337057000000001</v>
      </c>
      <c r="AC27" s="14">
        <v>31.705249999999999</v>
      </c>
      <c r="AD27" s="14">
        <v>32.006583999999997</v>
      </c>
      <c r="AE27" s="14">
        <v>32.354343</v>
      </c>
      <c r="AF27" s="14">
        <v>32.811745000000002</v>
      </c>
      <c r="AG27" s="14">
        <v>33.040474000000003</v>
      </c>
      <c r="AH27" s="14">
        <v>33.364773</v>
      </c>
      <c r="AI27" s="14">
        <v>33.511184999999998</v>
      </c>
      <c r="AJ27" s="14">
        <v>33.686821000000002</v>
      </c>
      <c r="AK27" s="6">
        <v>2.0161999999999999E-2</v>
      </c>
    </row>
    <row r="28" spans="1:37" ht="15" customHeight="1" x14ac:dyDescent="0.35">
      <c r="A28" s="41" t="s">
        <v>91</v>
      </c>
      <c r="B28" s="7" t="s">
        <v>27</v>
      </c>
      <c r="C28" s="14">
        <v>0</v>
      </c>
      <c r="D28" s="14">
        <v>0</v>
      </c>
      <c r="E28" s="14">
        <v>0</v>
      </c>
      <c r="F28" s="14">
        <v>0</v>
      </c>
      <c r="G28" s="14">
        <v>0</v>
      </c>
      <c r="H28" s="14">
        <v>0</v>
      </c>
      <c r="I28" s="14">
        <v>0</v>
      </c>
      <c r="J28" s="14">
        <v>0</v>
      </c>
      <c r="K28" s="14">
        <v>0</v>
      </c>
      <c r="L28" s="14">
        <v>0</v>
      </c>
      <c r="M28" s="14">
        <v>0</v>
      </c>
      <c r="N28" s="14">
        <v>0</v>
      </c>
      <c r="O28" s="14">
        <v>0</v>
      </c>
      <c r="P28" s="14">
        <v>0.217586</v>
      </c>
      <c r="Q28" s="14">
        <v>0.98848400000000003</v>
      </c>
      <c r="R28" s="14">
        <v>1.666326</v>
      </c>
      <c r="S28" s="14">
        <v>2.0466380000000002</v>
      </c>
      <c r="T28" s="14">
        <v>2.2446519999999999</v>
      </c>
      <c r="U28" s="14">
        <v>2.3278789999999998</v>
      </c>
      <c r="V28" s="14">
        <v>2.3693420000000001</v>
      </c>
      <c r="W28" s="14">
        <v>2.419378</v>
      </c>
      <c r="X28" s="14">
        <v>2.444178</v>
      </c>
      <c r="Y28" s="14">
        <v>2.4616730000000002</v>
      </c>
      <c r="Z28" s="14">
        <v>2.5010949999999998</v>
      </c>
      <c r="AA28" s="14">
        <v>2.5557690000000002</v>
      </c>
      <c r="AB28" s="14">
        <v>2.585124</v>
      </c>
      <c r="AC28" s="14">
        <v>2.6129419999999999</v>
      </c>
      <c r="AD28" s="14">
        <v>2.635294</v>
      </c>
      <c r="AE28" s="14">
        <v>2.6493530000000001</v>
      </c>
      <c r="AF28" s="14">
        <v>2.6941989999999998</v>
      </c>
      <c r="AG28" s="14">
        <v>2.7266499999999998</v>
      </c>
      <c r="AH28" s="14">
        <v>2.7345299999999999</v>
      </c>
      <c r="AI28" s="14">
        <v>2.7430319999999999</v>
      </c>
      <c r="AJ28" s="14">
        <v>2.7238630000000001</v>
      </c>
      <c r="AK28" s="6" t="s">
        <v>20</v>
      </c>
    </row>
    <row r="29" spans="1:37" ht="15" customHeight="1" x14ac:dyDescent="0.35">
      <c r="A29" s="41" t="s">
        <v>92</v>
      </c>
      <c r="B29" s="7" t="s">
        <v>26</v>
      </c>
      <c r="C29" s="14">
        <v>86.90625</v>
      </c>
      <c r="D29" s="14">
        <v>92.852783000000002</v>
      </c>
      <c r="E29" s="14">
        <v>91.641441</v>
      </c>
      <c r="F29" s="14">
        <v>91.252876000000001</v>
      </c>
      <c r="G29" s="14">
        <v>90.582633999999999</v>
      </c>
      <c r="H29" s="14">
        <v>90.061797999999996</v>
      </c>
      <c r="I29" s="14">
        <v>93.835402999999999</v>
      </c>
      <c r="J29" s="14">
        <v>98.402495999999999</v>
      </c>
      <c r="K29" s="14">
        <v>99.904128999999998</v>
      </c>
      <c r="L29" s="14">
        <v>104.16091900000001</v>
      </c>
      <c r="M29" s="14">
        <v>109.20642100000001</v>
      </c>
      <c r="N29" s="14">
        <v>113.962379</v>
      </c>
      <c r="O29" s="14">
        <v>123.466492</v>
      </c>
      <c r="P29" s="14">
        <v>127.063705</v>
      </c>
      <c r="Q29" s="14">
        <v>132.06895399999999</v>
      </c>
      <c r="R29" s="14">
        <v>134.369202</v>
      </c>
      <c r="S29" s="14">
        <v>136.52050800000001</v>
      </c>
      <c r="T29" s="14">
        <v>138.86288500000001</v>
      </c>
      <c r="U29" s="14">
        <v>140.208969</v>
      </c>
      <c r="V29" s="14">
        <v>141.71771200000001</v>
      </c>
      <c r="W29" s="14">
        <v>142.973175</v>
      </c>
      <c r="X29" s="14">
        <v>144.41682399999999</v>
      </c>
      <c r="Y29" s="14">
        <v>145.081299</v>
      </c>
      <c r="Z29" s="14">
        <v>146.12127699999999</v>
      </c>
      <c r="AA29" s="14">
        <v>147.553864</v>
      </c>
      <c r="AB29" s="14">
        <v>147.78105199999999</v>
      </c>
      <c r="AC29" s="14">
        <v>147.76452599999999</v>
      </c>
      <c r="AD29" s="14">
        <v>148.06796299999999</v>
      </c>
      <c r="AE29" s="14">
        <v>148.384918</v>
      </c>
      <c r="AF29" s="14">
        <v>148.608856</v>
      </c>
      <c r="AG29" s="14">
        <v>147.92797899999999</v>
      </c>
      <c r="AH29" s="14">
        <v>147.11715699999999</v>
      </c>
      <c r="AI29" s="14">
        <v>146.31634500000001</v>
      </c>
      <c r="AJ29" s="14">
        <v>145.23945599999999</v>
      </c>
      <c r="AK29" s="6">
        <v>1.4078E-2</v>
      </c>
    </row>
    <row r="30" spans="1:37" ht="15" customHeight="1" x14ac:dyDescent="0.35">
      <c r="A30" s="41" t="s">
        <v>93</v>
      </c>
      <c r="B30" s="7" t="s">
        <v>25</v>
      </c>
      <c r="C30" s="14">
        <v>1.7897160000000001</v>
      </c>
      <c r="D30" s="14">
        <v>0.13026299999999999</v>
      </c>
      <c r="E30" s="14">
        <v>0.12748200000000001</v>
      </c>
      <c r="F30" s="14">
        <v>0.12534200000000001</v>
      </c>
      <c r="G30" s="14">
        <v>0.12389500000000001</v>
      </c>
      <c r="H30" s="14">
        <v>0.119382</v>
      </c>
      <c r="I30" s="14">
        <v>0.11874800000000001</v>
      </c>
      <c r="J30" s="14">
        <v>0.117924</v>
      </c>
      <c r="K30" s="14">
        <v>0.115144</v>
      </c>
      <c r="L30" s="14">
        <v>0.114768</v>
      </c>
      <c r="M30" s="14">
        <v>0.11554300000000001</v>
      </c>
      <c r="N30" s="14">
        <v>0.11637699999999999</v>
      </c>
      <c r="O30" s="14">
        <v>0.112113</v>
      </c>
      <c r="P30" s="14">
        <v>0.114568</v>
      </c>
      <c r="Q30" s="14">
        <v>0.11541999999999999</v>
      </c>
      <c r="R30" s="14">
        <v>0.115745</v>
      </c>
      <c r="S30" s="14">
        <v>0.115914</v>
      </c>
      <c r="T30" s="14">
        <v>0.11634</v>
      </c>
      <c r="U30" s="14">
        <v>0.11601300000000001</v>
      </c>
      <c r="V30" s="14">
        <v>0.116687</v>
      </c>
      <c r="W30" s="14">
        <v>0.117439</v>
      </c>
      <c r="X30" s="14">
        <v>0.118279</v>
      </c>
      <c r="Y30" s="14">
        <v>0.118685</v>
      </c>
      <c r="Z30" s="14">
        <v>0.11923</v>
      </c>
      <c r="AA30" s="14">
        <v>0.11992999999999999</v>
      </c>
      <c r="AB30" s="14">
        <v>0.12088500000000001</v>
      </c>
      <c r="AC30" s="14">
        <v>0.12175999999999999</v>
      </c>
      <c r="AD30" s="14">
        <v>0.122873</v>
      </c>
      <c r="AE30" s="14">
        <v>0.12380099999999999</v>
      </c>
      <c r="AF30" s="14">
        <v>0.12468899999999999</v>
      </c>
      <c r="AG30" s="14">
        <v>0.12497900000000001</v>
      </c>
      <c r="AH30" s="14">
        <v>0.12509500000000001</v>
      </c>
      <c r="AI30" s="14">
        <v>0.125386</v>
      </c>
      <c r="AJ30" s="14">
        <v>0.125333</v>
      </c>
      <c r="AK30" s="6">
        <v>-1.2049999999999999E-3</v>
      </c>
    </row>
    <row r="31" spans="1:37" ht="15" customHeight="1" x14ac:dyDescent="0.35">
      <c r="A31" s="41" t="s">
        <v>94</v>
      </c>
      <c r="B31" s="7" t="s">
        <v>24</v>
      </c>
      <c r="C31" s="14">
        <v>0.61892999999999998</v>
      </c>
      <c r="D31" s="14">
        <v>0.63135799999999997</v>
      </c>
      <c r="E31" s="14">
        <v>0.62787400000000004</v>
      </c>
      <c r="F31" s="14">
        <v>0.62601700000000005</v>
      </c>
      <c r="G31" s="14">
        <v>0.61948899999999996</v>
      </c>
      <c r="H31" s="14">
        <v>0.60175900000000004</v>
      </c>
      <c r="I31" s="14">
        <v>0.601549</v>
      </c>
      <c r="J31" s="14">
        <v>0.59432799999999997</v>
      </c>
      <c r="K31" s="14">
        <v>0.58258299999999996</v>
      </c>
      <c r="L31" s="14">
        <v>0.57934799999999997</v>
      </c>
      <c r="M31" s="14">
        <v>0.58301800000000004</v>
      </c>
      <c r="N31" s="14">
        <v>0.58698600000000001</v>
      </c>
      <c r="O31" s="14">
        <v>0.58655100000000004</v>
      </c>
      <c r="P31" s="14">
        <v>0.59358</v>
      </c>
      <c r="Q31" s="14">
        <v>0.602383</v>
      </c>
      <c r="R31" s="14">
        <v>0.60413700000000004</v>
      </c>
      <c r="S31" s="14">
        <v>0.60619500000000004</v>
      </c>
      <c r="T31" s="14">
        <v>0.60916899999999996</v>
      </c>
      <c r="U31" s="14">
        <v>0.60827100000000001</v>
      </c>
      <c r="V31" s="14">
        <v>0.61427799999999999</v>
      </c>
      <c r="W31" s="14">
        <v>0.62110299999999996</v>
      </c>
      <c r="X31" s="14">
        <v>0.62831199999999998</v>
      </c>
      <c r="Y31" s="14">
        <v>0.63304400000000005</v>
      </c>
      <c r="Z31" s="14">
        <v>0.63846599999999998</v>
      </c>
      <c r="AA31" s="14">
        <v>0.64268899999999995</v>
      </c>
      <c r="AB31" s="14">
        <v>0.64529899999999996</v>
      </c>
      <c r="AC31" s="14">
        <v>0.64783100000000005</v>
      </c>
      <c r="AD31" s="14">
        <v>0.65259699999999998</v>
      </c>
      <c r="AE31" s="14">
        <v>0.65615500000000004</v>
      </c>
      <c r="AF31" s="14">
        <v>0.65844400000000003</v>
      </c>
      <c r="AG31" s="14">
        <v>0.65800700000000001</v>
      </c>
      <c r="AH31" s="14">
        <v>0.656721</v>
      </c>
      <c r="AI31" s="14">
        <v>0.65695099999999995</v>
      </c>
      <c r="AJ31" s="14">
        <v>0.65559699999999999</v>
      </c>
      <c r="AK31" s="6">
        <v>1.178E-3</v>
      </c>
    </row>
    <row r="32" spans="1:37" ht="15" customHeight="1" x14ac:dyDescent="0.35">
      <c r="A32" s="41" t="s">
        <v>95</v>
      </c>
      <c r="B32" s="7" t="s">
        <v>23</v>
      </c>
      <c r="C32" s="14">
        <v>0.104226</v>
      </c>
      <c r="D32" s="14">
        <v>9.4071000000000002E-2</v>
      </c>
      <c r="E32" s="14">
        <v>9.3602000000000005E-2</v>
      </c>
      <c r="F32" s="14">
        <v>9.2592999999999995E-2</v>
      </c>
      <c r="G32" s="14">
        <v>9.2160000000000006E-2</v>
      </c>
      <c r="H32" s="14">
        <v>8.8728000000000001E-2</v>
      </c>
      <c r="I32" s="14">
        <v>8.8220999999999994E-2</v>
      </c>
      <c r="J32" s="14">
        <v>8.7738999999999998E-2</v>
      </c>
      <c r="K32" s="14">
        <v>8.6232000000000003E-2</v>
      </c>
      <c r="L32" s="14">
        <v>8.6378999999999997E-2</v>
      </c>
      <c r="M32" s="14">
        <v>8.7291999999999995E-2</v>
      </c>
      <c r="N32" s="14">
        <v>8.8860999999999996E-2</v>
      </c>
      <c r="O32" s="14">
        <v>8.9288999999999993E-2</v>
      </c>
      <c r="P32" s="14">
        <v>9.4204999999999997E-2</v>
      </c>
      <c r="Q32" s="14">
        <v>9.6507999999999997E-2</v>
      </c>
      <c r="R32" s="14">
        <v>9.8318000000000003E-2</v>
      </c>
      <c r="S32" s="14">
        <v>9.9822999999999995E-2</v>
      </c>
      <c r="T32" s="14">
        <v>0.101353</v>
      </c>
      <c r="U32" s="14">
        <v>0.102573</v>
      </c>
      <c r="V32" s="14">
        <v>0.10444000000000001</v>
      </c>
      <c r="W32" s="14">
        <v>0.106945</v>
      </c>
      <c r="X32" s="14">
        <v>0.109085</v>
      </c>
      <c r="Y32" s="14">
        <v>0.111152</v>
      </c>
      <c r="Z32" s="14">
        <v>0.11339100000000001</v>
      </c>
      <c r="AA32" s="14">
        <v>0.11575100000000001</v>
      </c>
      <c r="AB32" s="14">
        <v>0.11759600000000001</v>
      </c>
      <c r="AC32" s="14">
        <v>0.119704</v>
      </c>
      <c r="AD32" s="14">
        <v>0.12196899999999999</v>
      </c>
      <c r="AE32" s="14">
        <v>0.123891</v>
      </c>
      <c r="AF32" s="14">
        <v>0.125976</v>
      </c>
      <c r="AG32" s="14">
        <v>0.12793399999999999</v>
      </c>
      <c r="AH32" s="14">
        <v>0.12953200000000001</v>
      </c>
      <c r="AI32" s="14">
        <v>0.131857</v>
      </c>
      <c r="AJ32" s="14">
        <v>0.133601</v>
      </c>
      <c r="AK32" s="6">
        <v>1.1023E-2</v>
      </c>
    </row>
    <row r="33" spans="1:37" ht="15" customHeight="1" x14ac:dyDescent="0.35">
      <c r="A33" s="41" t="s">
        <v>96</v>
      </c>
      <c r="B33" s="7" t="s">
        <v>22</v>
      </c>
      <c r="C33" s="14">
        <v>0.18596399999999999</v>
      </c>
      <c r="D33" s="14">
        <v>0.165239</v>
      </c>
      <c r="E33" s="14">
        <v>0.15979199999999999</v>
      </c>
      <c r="F33" s="14">
        <v>0.158577</v>
      </c>
      <c r="G33" s="14">
        <v>0.156278</v>
      </c>
      <c r="H33" s="14">
        <v>0.151341</v>
      </c>
      <c r="I33" s="14">
        <v>0.151144</v>
      </c>
      <c r="J33" s="14">
        <v>0.149311</v>
      </c>
      <c r="K33" s="14">
        <v>0.146285</v>
      </c>
      <c r="L33" s="14">
        <v>0.14532700000000001</v>
      </c>
      <c r="M33" s="14">
        <v>0.14626400000000001</v>
      </c>
      <c r="N33" s="14">
        <v>0.14723</v>
      </c>
      <c r="O33" s="14">
        <v>0.148039</v>
      </c>
      <c r="P33" s="14">
        <v>0.150006</v>
      </c>
      <c r="Q33" s="14">
        <v>0.15240300000000001</v>
      </c>
      <c r="R33" s="14">
        <v>0.152889</v>
      </c>
      <c r="S33" s="14">
        <v>0.15332699999999999</v>
      </c>
      <c r="T33" s="14">
        <v>0.154026</v>
      </c>
      <c r="U33" s="14">
        <v>0.15379200000000001</v>
      </c>
      <c r="V33" s="14">
        <v>0.155302</v>
      </c>
      <c r="W33" s="14">
        <v>0.15693299999999999</v>
      </c>
      <c r="X33" s="14">
        <v>0.15874199999999999</v>
      </c>
      <c r="Y33" s="14">
        <v>0.159912</v>
      </c>
      <c r="Z33" s="14">
        <v>0.16131599999999999</v>
      </c>
      <c r="AA33" s="14">
        <v>0.162436</v>
      </c>
      <c r="AB33" s="14">
        <v>0.163191</v>
      </c>
      <c r="AC33" s="14">
        <v>0.16383500000000001</v>
      </c>
      <c r="AD33" s="14">
        <v>0.164962</v>
      </c>
      <c r="AE33" s="14">
        <v>0.16589300000000001</v>
      </c>
      <c r="AF33" s="14">
        <v>0.16661899999999999</v>
      </c>
      <c r="AG33" s="14">
        <v>0.16661200000000001</v>
      </c>
      <c r="AH33" s="14">
        <v>0.166461</v>
      </c>
      <c r="AI33" s="14">
        <v>0.16661500000000001</v>
      </c>
      <c r="AJ33" s="14">
        <v>0.166375</v>
      </c>
      <c r="AK33" s="6">
        <v>2.14E-4</v>
      </c>
    </row>
    <row r="34" spans="1:37" ht="15" customHeight="1" x14ac:dyDescent="0.35">
      <c r="A34" s="41" t="s">
        <v>97</v>
      </c>
      <c r="B34" s="7" t="s">
        <v>21</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0</v>
      </c>
      <c r="T34" s="14">
        <v>0</v>
      </c>
      <c r="U34" s="14">
        <v>0</v>
      </c>
      <c r="V34" s="14">
        <v>0</v>
      </c>
      <c r="W34" s="14">
        <v>0</v>
      </c>
      <c r="X34" s="14">
        <v>0</v>
      </c>
      <c r="Y34" s="14">
        <v>0</v>
      </c>
      <c r="Z34" s="14">
        <v>0</v>
      </c>
      <c r="AA34" s="14">
        <v>0</v>
      </c>
      <c r="AB34" s="14">
        <v>0</v>
      </c>
      <c r="AC34" s="14">
        <v>0</v>
      </c>
      <c r="AD34" s="14">
        <v>0</v>
      </c>
      <c r="AE34" s="14">
        <v>0</v>
      </c>
      <c r="AF34" s="14">
        <v>0</v>
      </c>
      <c r="AG34" s="14">
        <v>0</v>
      </c>
      <c r="AH34" s="14">
        <v>0</v>
      </c>
      <c r="AI34" s="14">
        <v>0</v>
      </c>
      <c r="AJ34" s="14">
        <v>0</v>
      </c>
      <c r="AK34" s="6" t="s">
        <v>20</v>
      </c>
    </row>
    <row r="35" spans="1:37" ht="15" customHeight="1" x14ac:dyDescent="0.35">
      <c r="A35" s="41" t="s">
        <v>98</v>
      </c>
      <c r="B35" s="7" t="s">
        <v>19</v>
      </c>
      <c r="C35" s="14">
        <v>0.26172400000000001</v>
      </c>
      <c r="D35" s="14">
        <v>0.455511</v>
      </c>
      <c r="E35" s="14">
        <v>0.85402100000000003</v>
      </c>
      <c r="F35" s="14">
        <v>1.4337500000000001</v>
      </c>
      <c r="G35" s="14">
        <v>2.5249450000000002</v>
      </c>
      <c r="H35" s="14">
        <v>3.626843</v>
      </c>
      <c r="I35" s="14">
        <v>3.7200799999999998</v>
      </c>
      <c r="J35" s="14">
        <v>4.0676880000000004</v>
      </c>
      <c r="K35" s="14">
        <v>4.2871230000000002</v>
      </c>
      <c r="L35" s="14">
        <v>4.1941610000000003</v>
      </c>
      <c r="M35" s="14">
        <v>4.1143900000000002</v>
      </c>
      <c r="N35" s="14">
        <v>3.8456769999999998</v>
      </c>
      <c r="O35" s="14">
        <v>3.8220010000000002</v>
      </c>
      <c r="P35" s="14">
        <v>3.7390300000000001</v>
      </c>
      <c r="Q35" s="14">
        <v>3.6968049999999999</v>
      </c>
      <c r="R35" s="14">
        <v>3.356827</v>
      </c>
      <c r="S35" s="14">
        <v>3.2806920000000002</v>
      </c>
      <c r="T35" s="14">
        <v>3.2552880000000002</v>
      </c>
      <c r="U35" s="14">
        <v>3.2223329999999999</v>
      </c>
      <c r="V35" s="14">
        <v>3.2537159999999998</v>
      </c>
      <c r="W35" s="14">
        <v>3.1930610000000001</v>
      </c>
      <c r="X35" s="14">
        <v>3.2105070000000002</v>
      </c>
      <c r="Y35" s="14">
        <v>3.2399049999999998</v>
      </c>
      <c r="Z35" s="14">
        <v>3.2757070000000001</v>
      </c>
      <c r="AA35" s="14">
        <v>3.2784779999999998</v>
      </c>
      <c r="AB35" s="14">
        <v>3.293936</v>
      </c>
      <c r="AC35" s="14">
        <v>3.3196870000000001</v>
      </c>
      <c r="AD35" s="14">
        <v>3.3488799999999999</v>
      </c>
      <c r="AE35" s="14">
        <v>3.3671310000000001</v>
      </c>
      <c r="AF35" s="14">
        <v>3.3912749999999998</v>
      </c>
      <c r="AG35" s="14">
        <v>3.418669</v>
      </c>
      <c r="AH35" s="14">
        <v>3.4364110000000001</v>
      </c>
      <c r="AI35" s="14">
        <v>3.4594990000000001</v>
      </c>
      <c r="AJ35" s="14">
        <v>3.4964550000000001</v>
      </c>
      <c r="AK35" s="6">
        <v>6.5762000000000001E-2</v>
      </c>
    </row>
    <row r="36" spans="1:37" ht="15" customHeight="1" x14ac:dyDescent="0.35">
      <c r="A36" s="41" t="s">
        <v>99</v>
      </c>
      <c r="B36" s="7" t="s">
        <v>38</v>
      </c>
      <c r="C36" s="14">
        <v>186.21516399999999</v>
      </c>
      <c r="D36" s="14">
        <v>197.586456</v>
      </c>
      <c r="E36" s="14">
        <v>240.79637099999999</v>
      </c>
      <c r="F36" s="14">
        <v>263.85257000000001</v>
      </c>
      <c r="G36" s="14">
        <v>285.61904900000002</v>
      </c>
      <c r="H36" s="14">
        <v>293.93133499999999</v>
      </c>
      <c r="I36" s="14">
        <v>308.65139799999997</v>
      </c>
      <c r="J36" s="14">
        <v>327.80493200000001</v>
      </c>
      <c r="K36" s="14">
        <v>342.28112800000002</v>
      </c>
      <c r="L36" s="14">
        <v>344.56787100000003</v>
      </c>
      <c r="M36" s="14">
        <v>354.53424100000001</v>
      </c>
      <c r="N36" s="14">
        <v>364.28060900000003</v>
      </c>
      <c r="O36" s="14">
        <v>395.64761399999998</v>
      </c>
      <c r="P36" s="14">
        <v>410.69039900000001</v>
      </c>
      <c r="Q36" s="14">
        <v>431.81033300000001</v>
      </c>
      <c r="R36" s="14">
        <v>446.07092299999999</v>
      </c>
      <c r="S36" s="14">
        <v>461.90747099999999</v>
      </c>
      <c r="T36" s="14">
        <v>479.73703</v>
      </c>
      <c r="U36" s="14">
        <v>493.23809799999998</v>
      </c>
      <c r="V36" s="14">
        <v>507.79614299999997</v>
      </c>
      <c r="W36" s="14">
        <v>519.51861599999995</v>
      </c>
      <c r="X36" s="14">
        <v>532.15661599999999</v>
      </c>
      <c r="Y36" s="14">
        <v>541.28228799999999</v>
      </c>
      <c r="Z36" s="14">
        <v>551.70996100000002</v>
      </c>
      <c r="AA36" s="14">
        <v>558.43182400000001</v>
      </c>
      <c r="AB36" s="14">
        <v>563.13989300000003</v>
      </c>
      <c r="AC36" s="14">
        <v>567.13549799999998</v>
      </c>
      <c r="AD36" s="14">
        <v>571.537598</v>
      </c>
      <c r="AE36" s="14">
        <v>576.29998799999998</v>
      </c>
      <c r="AF36" s="14">
        <v>581.498108</v>
      </c>
      <c r="AG36" s="14">
        <v>582.56616199999996</v>
      </c>
      <c r="AH36" s="14">
        <v>585.98034700000005</v>
      </c>
      <c r="AI36" s="14">
        <v>591.47247300000004</v>
      </c>
      <c r="AJ36" s="14">
        <v>595.99530000000004</v>
      </c>
      <c r="AK36" s="6">
        <v>3.5104000000000003E-2</v>
      </c>
    </row>
    <row r="38" spans="1:37" ht="15" customHeight="1" x14ac:dyDescent="0.35">
      <c r="A38" s="41" t="s">
        <v>100</v>
      </c>
      <c r="B38" s="7" t="s">
        <v>101</v>
      </c>
      <c r="C38" s="14">
        <v>11.970962999999999</v>
      </c>
      <c r="D38" s="14">
        <v>13.107735</v>
      </c>
      <c r="E38" s="14">
        <v>16.304359000000002</v>
      </c>
      <c r="F38" s="14">
        <v>18.029339</v>
      </c>
      <c r="G38" s="14">
        <v>19.719335999999998</v>
      </c>
      <c r="H38" s="14">
        <v>20.801607000000001</v>
      </c>
      <c r="I38" s="14">
        <v>21.645187</v>
      </c>
      <c r="J38" s="14">
        <v>22.795083999999999</v>
      </c>
      <c r="K38" s="14">
        <v>23.732741999999998</v>
      </c>
      <c r="L38" s="14">
        <v>23.804976</v>
      </c>
      <c r="M38" s="14">
        <v>24.165482999999998</v>
      </c>
      <c r="N38" s="14">
        <v>24.468309000000001</v>
      </c>
      <c r="O38" s="14">
        <v>25.602732</v>
      </c>
      <c r="P38" s="14">
        <v>26.274384000000001</v>
      </c>
      <c r="Q38" s="14">
        <v>26.908705000000001</v>
      </c>
      <c r="R38" s="14">
        <v>27.500620000000001</v>
      </c>
      <c r="S38" s="14">
        <v>28.132083999999999</v>
      </c>
      <c r="T38" s="14">
        <v>28.795995999999999</v>
      </c>
      <c r="U38" s="14">
        <v>29.380074</v>
      </c>
      <c r="V38" s="14">
        <v>29.973972</v>
      </c>
      <c r="W38" s="14">
        <v>30.373833000000001</v>
      </c>
      <c r="X38" s="14">
        <v>30.791181999999999</v>
      </c>
      <c r="Y38" s="14">
        <v>31.154271999999999</v>
      </c>
      <c r="Z38" s="14">
        <v>31.527312999999999</v>
      </c>
      <c r="AA38" s="14">
        <v>31.722950000000001</v>
      </c>
      <c r="AB38" s="14">
        <v>31.892799</v>
      </c>
      <c r="AC38" s="14">
        <v>32.013584000000002</v>
      </c>
      <c r="AD38" s="14">
        <v>32.057685999999997</v>
      </c>
      <c r="AE38" s="14">
        <v>32.149017000000001</v>
      </c>
      <c r="AF38" s="14">
        <v>32.310206999999998</v>
      </c>
      <c r="AG38" s="14">
        <v>32.410767</v>
      </c>
      <c r="AH38" s="14">
        <v>32.670540000000003</v>
      </c>
      <c r="AI38" s="14">
        <v>32.975760999999999</v>
      </c>
      <c r="AJ38" s="14">
        <v>33.287632000000002</v>
      </c>
      <c r="AK38" s="6">
        <v>2.9552999999999999E-2</v>
      </c>
    </row>
    <row r="39" spans="1:37" ht="15" customHeight="1" x14ac:dyDescent="0.35">
      <c r="A39" s="41" t="s">
        <v>102</v>
      </c>
      <c r="B39" s="5" t="s">
        <v>103</v>
      </c>
      <c r="C39" s="15">
        <v>1555.5570070000001</v>
      </c>
      <c r="D39" s="15">
        <v>1507.403564</v>
      </c>
      <c r="E39" s="15">
        <v>1476.883423</v>
      </c>
      <c r="F39" s="15">
        <v>1463.46228</v>
      </c>
      <c r="G39" s="15">
        <v>1448.4212649999999</v>
      </c>
      <c r="H39" s="15">
        <v>1413.022217</v>
      </c>
      <c r="I39" s="15">
        <v>1425.9586179999999</v>
      </c>
      <c r="J39" s="15">
        <v>1438.051025</v>
      </c>
      <c r="K39" s="15">
        <v>1442.231689</v>
      </c>
      <c r="L39" s="15">
        <v>1447.461548</v>
      </c>
      <c r="M39" s="15">
        <v>1467.110107</v>
      </c>
      <c r="N39" s="15">
        <v>1488.7852780000001</v>
      </c>
      <c r="O39" s="15">
        <v>1545.3336179999999</v>
      </c>
      <c r="P39" s="15">
        <v>1563.0828859999999</v>
      </c>
      <c r="Q39" s="15">
        <v>1604.7236330000001</v>
      </c>
      <c r="R39" s="15">
        <v>1622.0394289999999</v>
      </c>
      <c r="S39" s="15">
        <v>1641.924072</v>
      </c>
      <c r="T39" s="15">
        <v>1665.9852289999999</v>
      </c>
      <c r="U39" s="15">
        <v>1678.8183590000001</v>
      </c>
      <c r="V39" s="15">
        <v>1694.1236570000001</v>
      </c>
      <c r="W39" s="15">
        <v>1710.415039</v>
      </c>
      <c r="X39" s="15">
        <v>1728.2761230000001</v>
      </c>
      <c r="Y39" s="15">
        <v>1737.4255370000001</v>
      </c>
      <c r="Z39" s="15">
        <v>1749.942749</v>
      </c>
      <c r="AA39" s="15">
        <v>1760.3400879999999</v>
      </c>
      <c r="AB39" s="15">
        <v>1765.7272949999999</v>
      </c>
      <c r="AC39" s="15">
        <v>1771.5463870000001</v>
      </c>
      <c r="AD39" s="15">
        <v>1782.840942</v>
      </c>
      <c r="AE39" s="15">
        <v>1792.5898440000001</v>
      </c>
      <c r="AF39" s="15">
        <v>1799.735107</v>
      </c>
      <c r="AG39" s="15">
        <v>1797.446289</v>
      </c>
      <c r="AH39" s="15">
        <v>1793.604736</v>
      </c>
      <c r="AI39" s="15">
        <v>1793.658203</v>
      </c>
      <c r="AJ39" s="15">
        <v>1790.4406739999999</v>
      </c>
      <c r="AK39" s="4">
        <v>5.3920000000000001E-3</v>
      </c>
    </row>
    <row r="41" spans="1:37" ht="15" customHeight="1" x14ac:dyDescent="0.35">
      <c r="B41" s="5" t="s">
        <v>104</v>
      </c>
    </row>
    <row r="42" spans="1:37" ht="15" customHeight="1" x14ac:dyDescent="0.35">
      <c r="B42" s="5" t="s">
        <v>37</v>
      </c>
    </row>
    <row r="43" spans="1:37" ht="15" customHeight="1" x14ac:dyDescent="0.35">
      <c r="A43" s="41" t="s">
        <v>105</v>
      </c>
      <c r="B43" s="7" t="s">
        <v>36</v>
      </c>
      <c r="C43" s="14">
        <v>963.11309800000004</v>
      </c>
      <c r="D43" s="14">
        <v>960.57690400000001</v>
      </c>
      <c r="E43" s="14">
        <v>967.44824200000005</v>
      </c>
      <c r="F43" s="14">
        <v>950.35418700000002</v>
      </c>
      <c r="G43" s="14">
        <v>939.01403800000003</v>
      </c>
      <c r="H43" s="14">
        <v>907.07769800000005</v>
      </c>
      <c r="I43" s="14">
        <v>895.62780799999996</v>
      </c>
      <c r="J43" s="14">
        <v>876.89910899999995</v>
      </c>
      <c r="K43" s="14">
        <v>856.044983</v>
      </c>
      <c r="L43" s="14">
        <v>850.01873799999998</v>
      </c>
      <c r="M43" s="14">
        <v>822.53930700000001</v>
      </c>
      <c r="N43" s="14">
        <v>804.33441200000004</v>
      </c>
      <c r="O43" s="14">
        <v>749.36114499999996</v>
      </c>
      <c r="P43" s="14">
        <v>734.97119099999998</v>
      </c>
      <c r="Q43" s="14">
        <v>725.07629399999996</v>
      </c>
      <c r="R43" s="14">
        <v>712.42040999999995</v>
      </c>
      <c r="S43" s="14">
        <v>706.35485800000004</v>
      </c>
      <c r="T43" s="14">
        <v>697.60876499999995</v>
      </c>
      <c r="U43" s="14">
        <v>689.96887200000003</v>
      </c>
      <c r="V43" s="14">
        <v>680.17138699999998</v>
      </c>
      <c r="W43" s="14">
        <v>677.15106200000002</v>
      </c>
      <c r="X43" s="14">
        <v>674.056152</v>
      </c>
      <c r="Y43" s="14">
        <v>671.47039800000005</v>
      </c>
      <c r="Z43" s="14">
        <v>669.14483600000005</v>
      </c>
      <c r="AA43" s="14">
        <v>669.76769999999999</v>
      </c>
      <c r="AB43" s="14">
        <v>666.12237500000003</v>
      </c>
      <c r="AC43" s="14">
        <v>666.21368399999994</v>
      </c>
      <c r="AD43" s="14">
        <v>671.06848100000002</v>
      </c>
      <c r="AE43" s="14">
        <v>672.13189699999998</v>
      </c>
      <c r="AF43" s="14">
        <v>677.13836700000002</v>
      </c>
      <c r="AG43" s="14">
        <v>682.99200399999995</v>
      </c>
      <c r="AH43" s="14">
        <v>682.17687999999998</v>
      </c>
      <c r="AI43" s="14">
        <v>681.04425000000003</v>
      </c>
      <c r="AJ43" s="14">
        <v>678.55920400000002</v>
      </c>
      <c r="AK43" s="6">
        <v>-1.0803E-2</v>
      </c>
    </row>
    <row r="44" spans="1:37" ht="15" customHeight="1" x14ac:dyDescent="0.35">
      <c r="A44" s="41" t="s">
        <v>106</v>
      </c>
      <c r="B44" s="7" t="s">
        <v>35</v>
      </c>
      <c r="C44" s="14">
        <v>6.6520760000000001</v>
      </c>
      <c r="D44" s="14">
        <v>13.380789999999999</v>
      </c>
      <c r="E44" s="14">
        <v>22.829844999999999</v>
      </c>
      <c r="F44" s="14">
        <v>31.049527999999999</v>
      </c>
      <c r="G44" s="14">
        <v>31.237808000000001</v>
      </c>
      <c r="H44" s="14">
        <v>30.706126999999999</v>
      </c>
      <c r="I44" s="14">
        <v>30.675528</v>
      </c>
      <c r="J44" s="14">
        <v>30.348013000000002</v>
      </c>
      <c r="K44" s="14">
        <v>30.299498</v>
      </c>
      <c r="L44" s="14">
        <v>29.771196</v>
      </c>
      <c r="M44" s="14">
        <v>28.035191999999999</v>
      </c>
      <c r="N44" s="14">
        <v>26.718433000000001</v>
      </c>
      <c r="O44" s="14">
        <v>25.025725999999999</v>
      </c>
      <c r="P44" s="14">
        <v>24.030259999999998</v>
      </c>
      <c r="Q44" s="14">
        <v>23.577852</v>
      </c>
      <c r="R44" s="14">
        <v>22.699121000000002</v>
      </c>
      <c r="S44" s="14">
        <v>22.112964999999999</v>
      </c>
      <c r="T44" s="14">
        <v>21.830385</v>
      </c>
      <c r="U44" s="14">
        <v>21.112814</v>
      </c>
      <c r="V44" s="14">
        <v>20.552862000000001</v>
      </c>
      <c r="W44" s="14">
        <v>20.209425</v>
      </c>
      <c r="X44" s="14">
        <v>19.810478</v>
      </c>
      <c r="Y44" s="14">
        <v>19.345700999999998</v>
      </c>
      <c r="Z44" s="14">
        <v>19.055235</v>
      </c>
      <c r="AA44" s="14">
        <v>18.901040999999999</v>
      </c>
      <c r="AB44" s="14">
        <v>18.485807000000001</v>
      </c>
      <c r="AC44" s="14">
        <v>18.148689000000001</v>
      </c>
      <c r="AD44" s="14">
        <v>17.910264999999999</v>
      </c>
      <c r="AE44" s="14">
        <v>17.630295</v>
      </c>
      <c r="AF44" s="14">
        <v>17.839323</v>
      </c>
      <c r="AG44" s="14">
        <v>17.901848000000001</v>
      </c>
      <c r="AH44" s="14">
        <v>17.662865</v>
      </c>
      <c r="AI44" s="14">
        <v>17.336884000000001</v>
      </c>
      <c r="AJ44" s="14">
        <v>16.963297000000001</v>
      </c>
      <c r="AK44" s="6">
        <v>7.4409999999999997E-3</v>
      </c>
    </row>
    <row r="45" spans="1:37" ht="15" customHeight="1" x14ac:dyDescent="0.35">
      <c r="A45" s="41" t="s">
        <v>107</v>
      </c>
      <c r="B45" s="7" t="s">
        <v>34</v>
      </c>
      <c r="C45" s="14">
        <v>969.76519800000005</v>
      </c>
      <c r="D45" s="14">
        <v>973.95770300000004</v>
      </c>
      <c r="E45" s="14">
        <v>990.27807600000006</v>
      </c>
      <c r="F45" s="14">
        <v>981.40368699999999</v>
      </c>
      <c r="G45" s="14">
        <v>970.25183100000004</v>
      </c>
      <c r="H45" s="14">
        <v>937.78381300000001</v>
      </c>
      <c r="I45" s="14">
        <v>926.30334500000004</v>
      </c>
      <c r="J45" s="14">
        <v>907.24713099999997</v>
      </c>
      <c r="K45" s="14">
        <v>886.34448199999997</v>
      </c>
      <c r="L45" s="14">
        <v>879.78991699999995</v>
      </c>
      <c r="M45" s="14">
        <v>850.574524</v>
      </c>
      <c r="N45" s="14">
        <v>831.05285600000002</v>
      </c>
      <c r="O45" s="14">
        <v>774.386841</v>
      </c>
      <c r="P45" s="14">
        <v>759.00146500000005</v>
      </c>
      <c r="Q45" s="14">
        <v>748.65417500000001</v>
      </c>
      <c r="R45" s="14">
        <v>735.119507</v>
      </c>
      <c r="S45" s="14">
        <v>728.46783400000004</v>
      </c>
      <c r="T45" s="14">
        <v>719.43914800000005</v>
      </c>
      <c r="U45" s="14">
        <v>711.08166500000004</v>
      </c>
      <c r="V45" s="14">
        <v>700.724243</v>
      </c>
      <c r="W45" s="14">
        <v>697.36047399999995</v>
      </c>
      <c r="X45" s="14">
        <v>693.86663799999997</v>
      </c>
      <c r="Y45" s="14">
        <v>690.816101</v>
      </c>
      <c r="Z45" s="14">
        <v>688.20007299999997</v>
      </c>
      <c r="AA45" s="14">
        <v>688.66876200000002</v>
      </c>
      <c r="AB45" s="14">
        <v>684.60815400000001</v>
      </c>
      <c r="AC45" s="14">
        <v>684.36236599999995</v>
      </c>
      <c r="AD45" s="14">
        <v>688.97875999999997</v>
      </c>
      <c r="AE45" s="14">
        <v>689.76220699999999</v>
      </c>
      <c r="AF45" s="14">
        <v>694.97766100000001</v>
      </c>
      <c r="AG45" s="14">
        <v>700.89386000000002</v>
      </c>
      <c r="AH45" s="14">
        <v>699.83972200000005</v>
      </c>
      <c r="AI45" s="14">
        <v>698.38110400000005</v>
      </c>
      <c r="AJ45" s="14">
        <v>695.52252199999998</v>
      </c>
      <c r="AK45" s="6">
        <v>-1.0467000000000001E-2</v>
      </c>
    </row>
    <row r="47" spans="1:37" ht="15" customHeight="1" x14ac:dyDescent="0.35">
      <c r="B47" s="5" t="s">
        <v>33</v>
      </c>
    </row>
    <row r="48" spans="1:37" ht="15" customHeight="1" x14ac:dyDescent="0.35">
      <c r="A48" s="41" t="s">
        <v>108</v>
      </c>
      <c r="B48" s="7" t="s">
        <v>32</v>
      </c>
      <c r="C48" s="14">
        <v>102.591606</v>
      </c>
      <c r="D48" s="14">
        <v>100.98825100000001</v>
      </c>
      <c r="E48" s="14">
        <v>101.804253</v>
      </c>
      <c r="F48" s="14">
        <v>100.58419000000001</v>
      </c>
      <c r="G48" s="14">
        <v>100.23056</v>
      </c>
      <c r="H48" s="14">
        <v>97.343292000000005</v>
      </c>
      <c r="I48" s="14">
        <v>96.069595000000007</v>
      </c>
      <c r="J48" s="14">
        <v>94.002212999999998</v>
      </c>
      <c r="K48" s="14">
        <v>94.527823999999995</v>
      </c>
      <c r="L48" s="14">
        <v>95.931815999999998</v>
      </c>
      <c r="M48" s="14">
        <v>99.525290999999996</v>
      </c>
      <c r="N48" s="14">
        <v>102.39949</v>
      </c>
      <c r="O48" s="14">
        <v>109.406578</v>
      </c>
      <c r="P48" s="14">
        <v>114.647865</v>
      </c>
      <c r="Q48" s="14">
        <v>117.570618</v>
      </c>
      <c r="R48" s="14">
        <v>116.961365</v>
      </c>
      <c r="S48" s="14">
        <v>118.343231</v>
      </c>
      <c r="T48" s="14">
        <v>121.829582</v>
      </c>
      <c r="U48" s="14">
        <v>121.891121</v>
      </c>
      <c r="V48" s="14">
        <v>123.27195</v>
      </c>
      <c r="W48" s="14">
        <v>124.250648</v>
      </c>
      <c r="X48" s="14">
        <v>124.08008599999999</v>
      </c>
      <c r="Y48" s="14">
        <v>121.48297100000001</v>
      </c>
      <c r="Z48" s="14">
        <v>119.12175000000001</v>
      </c>
      <c r="AA48" s="14">
        <v>114.604607</v>
      </c>
      <c r="AB48" s="14">
        <v>110.073883</v>
      </c>
      <c r="AC48" s="14">
        <v>104.391006</v>
      </c>
      <c r="AD48" s="14">
        <v>100.52068300000001</v>
      </c>
      <c r="AE48" s="14">
        <v>97.315994000000003</v>
      </c>
      <c r="AF48" s="14">
        <v>89.655083000000005</v>
      </c>
      <c r="AG48" s="14">
        <v>79.488913999999994</v>
      </c>
      <c r="AH48" s="14">
        <v>73.547973999999996</v>
      </c>
      <c r="AI48" s="14">
        <v>73.320328000000003</v>
      </c>
      <c r="AJ48" s="14">
        <v>73.201149000000001</v>
      </c>
      <c r="AK48" s="6">
        <v>-1.0005999999999999E-2</v>
      </c>
    </row>
    <row r="49" spans="1:37" ht="15" customHeight="1" x14ac:dyDescent="0.35">
      <c r="A49" s="41" t="s">
        <v>109</v>
      </c>
      <c r="B49" s="7" t="s">
        <v>31</v>
      </c>
      <c r="C49" s="14">
        <v>0.67537100000000005</v>
      </c>
      <c r="D49" s="14">
        <v>0.88343499999999997</v>
      </c>
      <c r="E49" s="14">
        <v>3.5462229999999999</v>
      </c>
      <c r="F49" s="14">
        <v>4.9680260000000001</v>
      </c>
      <c r="G49" s="14">
        <v>7.262899</v>
      </c>
      <c r="H49" s="14">
        <v>9.4517480000000003</v>
      </c>
      <c r="I49" s="14">
        <v>9.566891</v>
      </c>
      <c r="J49" s="14">
        <v>10.306713</v>
      </c>
      <c r="K49" s="14">
        <v>10.788817999999999</v>
      </c>
      <c r="L49" s="14">
        <v>10.662231</v>
      </c>
      <c r="M49" s="14">
        <v>10.570973</v>
      </c>
      <c r="N49" s="14">
        <v>10.12626</v>
      </c>
      <c r="O49" s="14">
        <v>10.330000999999999</v>
      </c>
      <c r="P49" s="14">
        <v>10.375251</v>
      </c>
      <c r="Q49" s="14">
        <v>10.627041</v>
      </c>
      <c r="R49" s="14">
        <v>10.262269999999999</v>
      </c>
      <c r="S49" s="14">
        <v>10.563283999999999</v>
      </c>
      <c r="T49" s="14">
        <v>11.024782999999999</v>
      </c>
      <c r="U49" s="14">
        <v>11.512819</v>
      </c>
      <c r="V49" s="14">
        <v>12.191585999999999</v>
      </c>
      <c r="W49" s="14">
        <v>12.71284</v>
      </c>
      <c r="X49" s="14">
        <v>13.551587</v>
      </c>
      <c r="Y49" s="14">
        <v>14.477402</v>
      </c>
      <c r="Z49" s="14">
        <v>15.545973999999999</v>
      </c>
      <c r="AA49" s="14">
        <v>16.582847999999998</v>
      </c>
      <c r="AB49" s="14">
        <v>17.659033000000001</v>
      </c>
      <c r="AC49" s="14">
        <v>18.893272</v>
      </c>
      <c r="AD49" s="14">
        <v>20.280923999999999</v>
      </c>
      <c r="AE49" s="14">
        <v>21.745654999999999</v>
      </c>
      <c r="AF49" s="14">
        <v>23.533117000000001</v>
      </c>
      <c r="AG49" s="14">
        <v>25.469612000000001</v>
      </c>
      <c r="AH49" s="14">
        <v>27.594227</v>
      </c>
      <c r="AI49" s="14">
        <v>29.886572000000001</v>
      </c>
      <c r="AJ49" s="14">
        <v>32.406322000000003</v>
      </c>
      <c r="AK49" s="6">
        <v>0.11915199999999999</v>
      </c>
    </row>
    <row r="50" spans="1:37" ht="15" customHeight="1" x14ac:dyDescent="0.35">
      <c r="A50" s="41" t="s">
        <v>110</v>
      </c>
      <c r="B50" s="7" t="s">
        <v>30</v>
      </c>
      <c r="C50" s="14">
        <v>0.405223</v>
      </c>
      <c r="D50" s="14">
        <v>0.50629999999999997</v>
      </c>
      <c r="E50" s="14">
        <v>1.031647</v>
      </c>
      <c r="F50" s="14">
        <v>1.729314</v>
      </c>
      <c r="G50" s="14">
        <v>3.0619749999999999</v>
      </c>
      <c r="H50" s="14">
        <v>4.3944390000000002</v>
      </c>
      <c r="I50" s="14">
        <v>4.5206489999999997</v>
      </c>
      <c r="J50" s="14">
        <v>4.9593980000000002</v>
      </c>
      <c r="K50" s="14">
        <v>5.2749160000000002</v>
      </c>
      <c r="L50" s="14">
        <v>5.2076909999999996</v>
      </c>
      <c r="M50" s="14">
        <v>5.1573169999999999</v>
      </c>
      <c r="N50" s="14">
        <v>4.910895</v>
      </c>
      <c r="O50" s="14">
        <v>4.9418519999999999</v>
      </c>
      <c r="P50" s="14">
        <v>4.9200140000000001</v>
      </c>
      <c r="Q50" s="14">
        <v>4.9449690000000004</v>
      </c>
      <c r="R50" s="14">
        <v>4.6202870000000003</v>
      </c>
      <c r="S50" s="14">
        <v>4.6071419999999996</v>
      </c>
      <c r="T50" s="14">
        <v>4.6456600000000003</v>
      </c>
      <c r="U50" s="14">
        <v>4.6634779999999996</v>
      </c>
      <c r="V50" s="14">
        <v>4.7589269999999999</v>
      </c>
      <c r="W50" s="14">
        <v>4.7506709999999996</v>
      </c>
      <c r="X50" s="14">
        <v>4.8184560000000003</v>
      </c>
      <c r="Y50" s="14">
        <v>4.8893800000000001</v>
      </c>
      <c r="Z50" s="14">
        <v>4.9622789999999997</v>
      </c>
      <c r="AA50" s="14">
        <v>4.9891829999999997</v>
      </c>
      <c r="AB50" s="14">
        <v>5.0173100000000002</v>
      </c>
      <c r="AC50" s="14">
        <v>5.0587809999999998</v>
      </c>
      <c r="AD50" s="14">
        <v>5.1102910000000001</v>
      </c>
      <c r="AE50" s="14">
        <v>5.1467239999999999</v>
      </c>
      <c r="AF50" s="14">
        <v>5.1937150000000001</v>
      </c>
      <c r="AG50" s="14">
        <v>5.2418550000000002</v>
      </c>
      <c r="AH50" s="14">
        <v>5.2778720000000003</v>
      </c>
      <c r="AI50" s="14">
        <v>5.3287620000000002</v>
      </c>
      <c r="AJ50" s="14">
        <v>5.399991</v>
      </c>
      <c r="AK50" s="6">
        <v>7.6773999999999995E-2</v>
      </c>
    </row>
    <row r="51" spans="1:37" ht="15" customHeight="1" x14ac:dyDescent="0.35">
      <c r="A51" s="41" t="s">
        <v>111</v>
      </c>
      <c r="B51" s="7" t="s">
        <v>88</v>
      </c>
      <c r="C51" s="14">
        <v>0.22512399999999999</v>
      </c>
      <c r="D51" s="14">
        <v>0.424931</v>
      </c>
      <c r="E51" s="14">
        <v>0.89380999999999999</v>
      </c>
      <c r="F51" s="14">
        <v>1.4798210000000001</v>
      </c>
      <c r="G51" s="14">
        <v>2.5914250000000001</v>
      </c>
      <c r="H51" s="14">
        <v>3.7150669999999999</v>
      </c>
      <c r="I51" s="14">
        <v>3.82633</v>
      </c>
      <c r="J51" s="14">
        <v>4.2021119999999996</v>
      </c>
      <c r="K51" s="14">
        <v>4.4790999999999999</v>
      </c>
      <c r="L51" s="14">
        <v>4.4352520000000002</v>
      </c>
      <c r="M51" s="14">
        <v>4.4056730000000002</v>
      </c>
      <c r="N51" s="14">
        <v>4.2164239999999999</v>
      </c>
      <c r="O51" s="14">
        <v>4.2555459999999998</v>
      </c>
      <c r="P51" s="14">
        <v>4.2524249999999997</v>
      </c>
      <c r="Q51" s="14">
        <v>4.2862179999999999</v>
      </c>
      <c r="R51" s="14">
        <v>4.0382490000000004</v>
      </c>
      <c r="S51" s="14">
        <v>4.0343590000000003</v>
      </c>
      <c r="T51" s="14">
        <v>4.0695699999999997</v>
      </c>
      <c r="U51" s="14">
        <v>4.0826859999999998</v>
      </c>
      <c r="V51" s="14">
        <v>4.1602829999999997</v>
      </c>
      <c r="W51" s="14">
        <v>4.1541509999999997</v>
      </c>
      <c r="X51" s="14">
        <v>4.2039819999999999</v>
      </c>
      <c r="Y51" s="14">
        <v>4.2538239999999998</v>
      </c>
      <c r="Z51" s="14">
        <v>4.3037200000000002</v>
      </c>
      <c r="AA51" s="14">
        <v>4.3153800000000002</v>
      </c>
      <c r="AB51" s="14">
        <v>4.3263600000000002</v>
      </c>
      <c r="AC51" s="14">
        <v>4.3467029999999998</v>
      </c>
      <c r="AD51" s="14">
        <v>4.375076</v>
      </c>
      <c r="AE51" s="14">
        <v>4.3861929999999996</v>
      </c>
      <c r="AF51" s="14">
        <v>4.4032590000000003</v>
      </c>
      <c r="AG51" s="14">
        <v>4.4179469999999998</v>
      </c>
      <c r="AH51" s="14">
        <v>4.4186329999999998</v>
      </c>
      <c r="AI51" s="14">
        <v>4.4300309999999996</v>
      </c>
      <c r="AJ51" s="14">
        <v>4.4549219999999998</v>
      </c>
      <c r="AK51" s="6">
        <v>7.6196E-2</v>
      </c>
    </row>
    <row r="52" spans="1:37" ht="15" customHeight="1" x14ac:dyDescent="0.35">
      <c r="A52" s="41" t="s">
        <v>112</v>
      </c>
      <c r="B52" s="7" t="s">
        <v>29</v>
      </c>
      <c r="C52" s="14">
        <v>2.3836629999999999</v>
      </c>
      <c r="D52" s="14">
        <v>4.0800679999999998</v>
      </c>
      <c r="E52" s="14">
        <v>5.3924099999999999</v>
      </c>
      <c r="F52" s="14">
        <v>6.2706410000000004</v>
      </c>
      <c r="G52" s="14">
        <v>8.7997300000000003</v>
      </c>
      <c r="H52" s="14">
        <v>9.9977280000000004</v>
      </c>
      <c r="I52" s="14">
        <v>10.45448</v>
      </c>
      <c r="J52" s="14">
        <v>10.727164999999999</v>
      </c>
      <c r="K52" s="14">
        <v>11.144636</v>
      </c>
      <c r="L52" s="14">
        <v>11.00569</v>
      </c>
      <c r="M52" s="14">
        <v>10.890895</v>
      </c>
      <c r="N52" s="14">
        <v>10.636358</v>
      </c>
      <c r="O52" s="14">
        <v>10.69875</v>
      </c>
      <c r="P52" s="14">
        <v>10.780446</v>
      </c>
      <c r="Q52" s="14">
        <v>10.874776000000001</v>
      </c>
      <c r="R52" s="14">
        <v>10.981590000000001</v>
      </c>
      <c r="S52" s="14">
        <v>11.117576</v>
      </c>
      <c r="T52" s="14">
        <v>11.306139</v>
      </c>
      <c r="U52" s="14">
        <v>11.492851999999999</v>
      </c>
      <c r="V52" s="14">
        <v>11.888927000000001</v>
      </c>
      <c r="W52" s="14">
        <v>12.378484</v>
      </c>
      <c r="X52" s="14">
        <v>12.612935</v>
      </c>
      <c r="Y52" s="14">
        <v>13.119669</v>
      </c>
      <c r="Z52" s="14">
        <v>13.694502999999999</v>
      </c>
      <c r="AA52" s="14">
        <v>14.249104000000001</v>
      </c>
      <c r="AB52" s="14">
        <v>14.806381999999999</v>
      </c>
      <c r="AC52" s="14">
        <v>15.452674999999999</v>
      </c>
      <c r="AD52" s="14">
        <v>16.192101000000001</v>
      </c>
      <c r="AE52" s="14">
        <v>16.915396000000001</v>
      </c>
      <c r="AF52" s="14">
        <v>17.776630000000001</v>
      </c>
      <c r="AG52" s="14">
        <v>18.699349999999999</v>
      </c>
      <c r="AH52" s="14">
        <v>19.628271000000002</v>
      </c>
      <c r="AI52" s="14">
        <v>20.640412999999999</v>
      </c>
      <c r="AJ52" s="14">
        <v>21.746618000000002</v>
      </c>
      <c r="AK52" s="6">
        <v>5.3683000000000002E-2</v>
      </c>
    </row>
    <row r="53" spans="1:37" ht="15" customHeight="1" x14ac:dyDescent="0.35">
      <c r="A53" s="41" t="s">
        <v>113</v>
      </c>
      <c r="B53" s="7" t="s">
        <v>28</v>
      </c>
      <c r="C53" s="14">
        <v>1.3892990000000001</v>
      </c>
      <c r="D53" s="14">
        <v>2.4842849999999999</v>
      </c>
      <c r="E53" s="14">
        <v>3.2160190000000002</v>
      </c>
      <c r="F53" s="14">
        <v>3.8333599999999999</v>
      </c>
      <c r="G53" s="14">
        <v>5.3253880000000002</v>
      </c>
      <c r="H53" s="14">
        <v>5.9723470000000001</v>
      </c>
      <c r="I53" s="14">
        <v>6.1940569999999999</v>
      </c>
      <c r="J53" s="14">
        <v>6.3340959999999997</v>
      </c>
      <c r="K53" s="14">
        <v>6.5692529999999998</v>
      </c>
      <c r="L53" s="14">
        <v>6.453608</v>
      </c>
      <c r="M53" s="14">
        <v>6.3611170000000001</v>
      </c>
      <c r="N53" s="14">
        <v>6.1834889999999998</v>
      </c>
      <c r="O53" s="14">
        <v>6.1987899999999998</v>
      </c>
      <c r="P53" s="14">
        <v>6.1903990000000002</v>
      </c>
      <c r="Q53" s="14">
        <v>6.1813459999999996</v>
      </c>
      <c r="R53" s="14">
        <v>6.1720309999999996</v>
      </c>
      <c r="S53" s="14">
        <v>6.164485</v>
      </c>
      <c r="T53" s="14">
        <v>6.1793550000000002</v>
      </c>
      <c r="U53" s="14">
        <v>6.1833320000000001</v>
      </c>
      <c r="V53" s="14">
        <v>6.3084420000000003</v>
      </c>
      <c r="W53" s="14">
        <v>6.4727370000000004</v>
      </c>
      <c r="X53" s="14">
        <v>6.4885279999999996</v>
      </c>
      <c r="Y53" s="14">
        <v>6.640352</v>
      </c>
      <c r="Z53" s="14">
        <v>6.8264129999999996</v>
      </c>
      <c r="AA53" s="14">
        <v>6.9867039999999996</v>
      </c>
      <c r="AB53" s="14">
        <v>7.1474950000000002</v>
      </c>
      <c r="AC53" s="14">
        <v>7.3403660000000004</v>
      </c>
      <c r="AD53" s="14">
        <v>7.5573300000000003</v>
      </c>
      <c r="AE53" s="14">
        <v>7.7603220000000004</v>
      </c>
      <c r="AF53" s="14">
        <v>8.0106610000000007</v>
      </c>
      <c r="AG53" s="14">
        <v>8.2848600000000001</v>
      </c>
      <c r="AH53" s="14">
        <v>8.5618429999999996</v>
      </c>
      <c r="AI53" s="14">
        <v>8.8650549999999999</v>
      </c>
      <c r="AJ53" s="14">
        <v>9.2138840000000002</v>
      </c>
      <c r="AK53" s="6">
        <v>4.1811000000000001E-2</v>
      </c>
    </row>
    <row r="54" spans="1:37" ht="15" customHeight="1" x14ac:dyDescent="0.35">
      <c r="A54" s="41" t="s">
        <v>114</v>
      </c>
      <c r="B54" s="7" t="s">
        <v>27</v>
      </c>
      <c r="C54" s="14">
        <v>0</v>
      </c>
      <c r="D54" s="14">
        <v>0</v>
      </c>
      <c r="E54" s="14">
        <v>0</v>
      </c>
      <c r="F54" s="14">
        <v>0</v>
      </c>
      <c r="G54" s="14">
        <v>0</v>
      </c>
      <c r="H54" s="14">
        <v>0</v>
      </c>
      <c r="I54" s="14">
        <v>0</v>
      </c>
      <c r="J54" s="14">
        <v>0</v>
      </c>
      <c r="K54" s="14">
        <v>0</v>
      </c>
      <c r="L54" s="14">
        <v>1.9780000000000002E-3</v>
      </c>
      <c r="M54" s="14">
        <v>2.4589999999999998E-3</v>
      </c>
      <c r="N54" s="14">
        <v>3.0720000000000001E-3</v>
      </c>
      <c r="O54" s="14">
        <v>3.8240000000000001E-3</v>
      </c>
      <c r="P54" s="14">
        <v>6.1879999999999999E-3</v>
      </c>
      <c r="Q54" s="14">
        <v>8.4180000000000001E-3</v>
      </c>
      <c r="R54" s="14">
        <v>1.017E-2</v>
      </c>
      <c r="S54" s="14">
        <v>1.1957000000000001E-2</v>
      </c>
      <c r="T54" s="14">
        <v>1.3937E-2</v>
      </c>
      <c r="U54" s="14">
        <v>1.6005999999999999E-2</v>
      </c>
      <c r="V54" s="14">
        <v>1.8447000000000002E-2</v>
      </c>
      <c r="W54" s="14">
        <v>2.1158E-2</v>
      </c>
      <c r="X54" s="14">
        <v>2.3938000000000001E-2</v>
      </c>
      <c r="Y54" s="14">
        <v>2.6651999999999999E-2</v>
      </c>
      <c r="Z54" s="14">
        <v>2.9307E-2</v>
      </c>
      <c r="AA54" s="14">
        <v>3.1785000000000001E-2</v>
      </c>
      <c r="AB54" s="14">
        <v>3.3818000000000001E-2</v>
      </c>
      <c r="AC54" s="14">
        <v>3.5629000000000001E-2</v>
      </c>
      <c r="AD54" s="14">
        <v>3.7376E-2</v>
      </c>
      <c r="AE54" s="14">
        <v>3.8697000000000002E-2</v>
      </c>
      <c r="AF54" s="14">
        <v>3.9954999999999997E-2</v>
      </c>
      <c r="AG54" s="14">
        <v>4.0854000000000001E-2</v>
      </c>
      <c r="AH54" s="14">
        <v>4.1457000000000001E-2</v>
      </c>
      <c r="AI54" s="14">
        <v>4.2117000000000002E-2</v>
      </c>
      <c r="AJ54" s="14">
        <v>4.2619999999999998E-2</v>
      </c>
      <c r="AK54" s="6" t="s">
        <v>20</v>
      </c>
    </row>
    <row r="55" spans="1:37" ht="15" customHeight="1" x14ac:dyDescent="0.35">
      <c r="A55" s="41" t="s">
        <v>115</v>
      </c>
      <c r="B55" s="7" t="s">
        <v>26</v>
      </c>
      <c r="C55" s="14">
        <v>8.8569209999999998</v>
      </c>
      <c r="D55" s="14">
        <v>7.8830530000000003</v>
      </c>
      <c r="E55" s="14">
        <v>8.3052630000000001</v>
      </c>
      <c r="F55" s="14">
        <v>9.1412870000000002</v>
      </c>
      <c r="G55" s="14">
        <v>9.4523899999999994</v>
      </c>
      <c r="H55" s="14">
        <v>9.6341090000000005</v>
      </c>
      <c r="I55" s="14">
        <v>10.135116</v>
      </c>
      <c r="J55" s="14">
        <v>10.655744</v>
      </c>
      <c r="K55" s="14">
        <v>10.730943999999999</v>
      </c>
      <c r="L55" s="14">
        <v>11.3337</v>
      </c>
      <c r="M55" s="14">
        <v>11.688409999999999</v>
      </c>
      <c r="N55" s="14">
        <v>12.076476</v>
      </c>
      <c r="O55" s="14">
        <v>12.372728</v>
      </c>
      <c r="P55" s="14">
        <v>12.734305000000001</v>
      </c>
      <c r="Q55" s="14">
        <v>13.421702</v>
      </c>
      <c r="R55" s="14">
        <v>13.899252000000001</v>
      </c>
      <c r="S55" s="14">
        <v>14.488772000000001</v>
      </c>
      <c r="T55" s="14">
        <v>15.02403</v>
      </c>
      <c r="U55" s="14">
        <v>15.489943999999999</v>
      </c>
      <c r="V55" s="14">
        <v>15.979262</v>
      </c>
      <c r="W55" s="14">
        <v>16.528901999999999</v>
      </c>
      <c r="X55" s="14">
        <v>17.134336000000001</v>
      </c>
      <c r="Y55" s="14">
        <v>17.710615000000001</v>
      </c>
      <c r="Z55" s="14">
        <v>18.348998999999999</v>
      </c>
      <c r="AA55" s="14">
        <v>19.021868000000001</v>
      </c>
      <c r="AB55" s="14">
        <v>19.623638</v>
      </c>
      <c r="AC55" s="14">
        <v>20.315446999999999</v>
      </c>
      <c r="AD55" s="14">
        <v>21.183029000000001</v>
      </c>
      <c r="AE55" s="14">
        <v>22.035902</v>
      </c>
      <c r="AF55" s="14">
        <v>23.096449</v>
      </c>
      <c r="AG55" s="14">
        <v>24.193411000000001</v>
      </c>
      <c r="AH55" s="14">
        <v>25.292283999999999</v>
      </c>
      <c r="AI55" s="14">
        <v>26.503876000000002</v>
      </c>
      <c r="AJ55" s="14">
        <v>27.774405000000002</v>
      </c>
      <c r="AK55" s="6">
        <v>4.0141000000000003E-2</v>
      </c>
    </row>
    <row r="56" spans="1:37" ht="15" customHeight="1" x14ac:dyDescent="0.35">
      <c r="A56" s="41" t="s">
        <v>116</v>
      </c>
      <c r="B56" s="7" t="s">
        <v>25</v>
      </c>
      <c r="C56" s="14">
        <v>1.801056</v>
      </c>
      <c r="D56" s="14">
        <v>0.15182899999999999</v>
      </c>
      <c r="E56" s="14">
        <v>0.151086</v>
      </c>
      <c r="F56" s="14">
        <v>0.14899100000000001</v>
      </c>
      <c r="G56" s="14">
        <v>0.147592</v>
      </c>
      <c r="H56" s="14">
        <v>0.14217099999999999</v>
      </c>
      <c r="I56" s="14">
        <v>0.139016</v>
      </c>
      <c r="J56" s="14">
        <v>0.13406799999999999</v>
      </c>
      <c r="K56" s="14">
        <v>0.12801199999999999</v>
      </c>
      <c r="L56" s="14">
        <v>0.12592100000000001</v>
      </c>
      <c r="M56" s="14">
        <v>0.121738</v>
      </c>
      <c r="N56" s="14">
        <v>0.118309</v>
      </c>
      <c r="O56" s="14">
        <v>0.112888</v>
      </c>
      <c r="P56" s="14">
        <v>0.11038199999999999</v>
      </c>
      <c r="Q56" s="14">
        <v>0.10857899999999999</v>
      </c>
      <c r="R56" s="14">
        <v>0.10571</v>
      </c>
      <c r="S56" s="14">
        <v>0.10383000000000001</v>
      </c>
      <c r="T56" s="14">
        <v>0.10216600000000001</v>
      </c>
      <c r="U56" s="14">
        <v>0.10002900000000001</v>
      </c>
      <c r="V56" s="14">
        <v>9.9168000000000006E-2</v>
      </c>
      <c r="W56" s="14">
        <v>9.8867999999999998E-2</v>
      </c>
      <c r="X56" s="14">
        <v>9.8557000000000006E-2</v>
      </c>
      <c r="Y56" s="14">
        <v>9.7964999999999997E-2</v>
      </c>
      <c r="Z56" s="14">
        <v>9.7531999999999994E-2</v>
      </c>
      <c r="AA56" s="14">
        <v>9.7171999999999994E-2</v>
      </c>
      <c r="AB56" s="14">
        <v>9.6458000000000002E-2</v>
      </c>
      <c r="AC56" s="14">
        <v>9.6008999999999997E-2</v>
      </c>
      <c r="AD56" s="14">
        <v>9.622E-2</v>
      </c>
      <c r="AE56" s="14">
        <v>9.6166000000000001E-2</v>
      </c>
      <c r="AF56" s="14">
        <v>9.6365000000000006E-2</v>
      </c>
      <c r="AG56" s="14">
        <v>9.6223000000000003E-2</v>
      </c>
      <c r="AH56" s="14">
        <v>9.5849000000000004E-2</v>
      </c>
      <c r="AI56" s="14">
        <v>9.5994999999999997E-2</v>
      </c>
      <c r="AJ56" s="14">
        <v>9.6083000000000002E-2</v>
      </c>
      <c r="AK56" s="6">
        <v>-1.4197E-2</v>
      </c>
    </row>
    <row r="57" spans="1:37" ht="15" customHeight="1" x14ac:dyDescent="0.35">
      <c r="A57" s="41" t="s">
        <v>117</v>
      </c>
      <c r="B57" s="7" t="s">
        <v>24</v>
      </c>
      <c r="C57" s="14">
        <v>0.79880200000000001</v>
      </c>
      <c r="D57" s="14">
        <v>0.784918</v>
      </c>
      <c r="E57" s="14">
        <v>0.787999</v>
      </c>
      <c r="F57" s="14">
        <v>0.77805999999999997</v>
      </c>
      <c r="G57" s="14">
        <v>0.77088199999999996</v>
      </c>
      <c r="H57" s="14">
        <v>0.742174</v>
      </c>
      <c r="I57" s="14">
        <v>0.72541</v>
      </c>
      <c r="J57" s="14">
        <v>0.69836600000000004</v>
      </c>
      <c r="K57" s="14">
        <v>0.66781000000000001</v>
      </c>
      <c r="L57" s="14">
        <v>0.65652900000000003</v>
      </c>
      <c r="M57" s="14">
        <v>0.63472099999999998</v>
      </c>
      <c r="N57" s="14">
        <v>0.61769499999999999</v>
      </c>
      <c r="O57" s="14">
        <v>0.59691799999999995</v>
      </c>
      <c r="P57" s="14">
        <v>0.58484400000000003</v>
      </c>
      <c r="Q57" s="14">
        <v>0.57665</v>
      </c>
      <c r="R57" s="14">
        <v>0.56204500000000002</v>
      </c>
      <c r="S57" s="14">
        <v>0.55276899999999995</v>
      </c>
      <c r="T57" s="14">
        <v>0.54413500000000004</v>
      </c>
      <c r="U57" s="14">
        <v>0.53318299999999996</v>
      </c>
      <c r="V57" s="14">
        <v>0.52915599999999996</v>
      </c>
      <c r="W57" s="14">
        <v>0.52841400000000005</v>
      </c>
      <c r="X57" s="14">
        <v>0.52739800000000003</v>
      </c>
      <c r="Y57" s="14">
        <v>0.52489300000000005</v>
      </c>
      <c r="Z57" s="14">
        <v>0.52325900000000003</v>
      </c>
      <c r="AA57" s="14">
        <v>0.52193000000000001</v>
      </c>
      <c r="AB57" s="14">
        <v>0.51800299999999999</v>
      </c>
      <c r="AC57" s="14">
        <v>0.51569399999999999</v>
      </c>
      <c r="AD57" s="14">
        <v>0.51700599999999997</v>
      </c>
      <c r="AE57" s="14">
        <v>0.51685899999999996</v>
      </c>
      <c r="AF57" s="14">
        <v>0.51802000000000004</v>
      </c>
      <c r="AG57" s="14">
        <v>0.51744800000000002</v>
      </c>
      <c r="AH57" s="14">
        <v>0.51563400000000004</v>
      </c>
      <c r="AI57" s="14">
        <v>0.51675700000000002</v>
      </c>
      <c r="AJ57" s="14">
        <v>0.517536</v>
      </c>
      <c r="AK57" s="6">
        <v>-1.2931E-2</v>
      </c>
    </row>
    <row r="58" spans="1:37" ht="15" customHeight="1" x14ac:dyDescent="0.35">
      <c r="A58" s="41" t="s">
        <v>118</v>
      </c>
      <c r="B58" s="7" t="s">
        <v>23</v>
      </c>
      <c r="C58" s="14">
        <v>0.28213300000000002</v>
      </c>
      <c r="D58" s="14">
        <v>0.307759</v>
      </c>
      <c r="E58" s="14">
        <v>0.308477</v>
      </c>
      <c r="F58" s="14">
        <v>0.31395099999999998</v>
      </c>
      <c r="G58" s="14">
        <v>0.31015199999999998</v>
      </c>
      <c r="H58" s="14">
        <v>0.29538399999999998</v>
      </c>
      <c r="I58" s="14">
        <v>0.29104200000000002</v>
      </c>
      <c r="J58" s="14">
        <v>0.28427599999999997</v>
      </c>
      <c r="K58" s="14">
        <v>0.27448099999999998</v>
      </c>
      <c r="L58" s="14">
        <v>0.27785799999999999</v>
      </c>
      <c r="M58" s="14">
        <v>0.275343</v>
      </c>
      <c r="N58" s="14">
        <v>0.27313199999999999</v>
      </c>
      <c r="O58" s="14">
        <v>0.27058199999999999</v>
      </c>
      <c r="P58" s="14">
        <v>0.27000200000000002</v>
      </c>
      <c r="Q58" s="14">
        <v>0.27424399999999999</v>
      </c>
      <c r="R58" s="14">
        <v>0.27432899999999999</v>
      </c>
      <c r="S58" s="14">
        <v>0.27436500000000003</v>
      </c>
      <c r="T58" s="14">
        <v>0.27900599999999998</v>
      </c>
      <c r="U58" s="14">
        <v>0.28144400000000003</v>
      </c>
      <c r="V58" s="14">
        <v>0.28607199999999999</v>
      </c>
      <c r="W58" s="14">
        <v>0.29029300000000002</v>
      </c>
      <c r="X58" s="14">
        <v>0.29624</v>
      </c>
      <c r="Y58" s="14">
        <v>0.302402</v>
      </c>
      <c r="Z58" s="14">
        <v>0.30981500000000001</v>
      </c>
      <c r="AA58" s="14">
        <v>0.31576399999999999</v>
      </c>
      <c r="AB58" s="14">
        <v>0.32429400000000003</v>
      </c>
      <c r="AC58" s="14">
        <v>0.33104899999999998</v>
      </c>
      <c r="AD58" s="14">
        <v>0.33862300000000001</v>
      </c>
      <c r="AE58" s="14">
        <v>0.34587299999999999</v>
      </c>
      <c r="AF58" s="14">
        <v>0.35735600000000001</v>
      </c>
      <c r="AG58" s="14">
        <v>0.367865</v>
      </c>
      <c r="AH58" s="14">
        <v>0.37875199999999998</v>
      </c>
      <c r="AI58" s="14">
        <v>0.38867400000000002</v>
      </c>
      <c r="AJ58" s="14">
        <v>0.39871699999999999</v>
      </c>
      <c r="AK58" s="6">
        <v>8.1250000000000003E-3</v>
      </c>
    </row>
    <row r="59" spans="1:37" ht="15" customHeight="1" x14ac:dyDescent="0.35">
      <c r="A59" s="41" t="s">
        <v>119</v>
      </c>
      <c r="B59" s="7" t="s">
        <v>22</v>
      </c>
      <c r="C59" s="14">
        <v>0.50546199999999997</v>
      </c>
      <c r="D59" s="14">
        <v>0.50461</v>
      </c>
      <c r="E59" s="14">
        <v>0.50788</v>
      </c>
      <c r="F59" s="14">
        <v>0.501614</v>
      </c>
      <c r="G59" s="14">
        <v>0.49689</v>
      </c>
      <c r="H59" s="14">
        <v>0.47828900000000002</v>
      </c>
      <c r="I59" s="14">
        <v>0.46740399999999999</v>
      </c>
      <c r="J59" s="14">
        <v>0.44985399999999998</v>
      </c>
      <c r="K59" s="14">
        <v>0.43007600000000001</v>
      </c>
      <c r="L59" s="14">
        <v>0.42270200000000002</v>
      </c>
      <c r="M59" s="14">
        <v>0.40855200000000003</v>
      </c>
      <c r="N59" s="14">
        <v>0.39753500000000003</v>
      </c>
      <c r="O59" s="14">
        <v>0.38472800000000001</v>
      </c>
      <c r="P59" s="14">
        <v>0.37693399999999999</v>
      </c>
      <c r="Q59" s="14">
        <v>0.37168499999999999</v>
      </c>
      <c r="R59" s="14">
        <v>0.36222500000000002</v>
      </c>
      <c r="S59" s="14">
        <v>0.35622700000000002</v>
      </c>
      <c r="T59" s="14">
        <v>0.35061199999999998</v>
      </c>
      <c r="U59" s="14">
        <v>0.34350799999999998</v>
      </c>
      <c r="V59" s="14">
        <v>0.34087800000000001</v>
      </c>
      <c r="W59" s="14">
        <v>0.34038600000000002</v>
      </c>
      <c r="X59" s="14">
        <v>0.339696</v>
      </c>
      <c r="Y59" s="14">
        <v>0.33803699999999998</v>
      </c>
      <c r="Z59" s="14">
        <v>0.33694299999999999</v>
      </c>
      <c r="AA59" s="14">
        <v>0.33604600000000001</v>
      </c>
      <c r="AB59" s="14">
        <v>0.333455</v>
      </c>
      <c r="AC59" s="14">
        <v>0.33192199999999999</v>
      </c>
      <c r="AD59" s="14">
        <v>0.33271699999999998</v>
      </c>
      <c r="AE59" s="14">
        <v>0.332598</v>
      </c>
      <c r="AF59" s="14">
        <v>0.333291</v>
      </c>
      <c r="AG59" s="14">
        <v>0.332874</v>
      </c>
      <c r="AH59" s="14">
        <v>0.33167099999999999</v>
      </c>
      <c r="AI59" s="14">
        <v>0.33239800000000003</v>
      </c>
      <c r="AJ59" s="14">
        <v>0.33290399999999998</v>
      </c>
      <c r="AK59" s="6">
        <v>-1.2914E-2</v>
      </c>
    </row>
    <row r="60" spans="1:37" ht="15" customHeight="1" x14ac:dyDescent="0.35">
      <c r="A60" s="41" t="s">
        <v>120</v>
      </c>
      <c r="B60" s="7" t="s">
        <v>21</v>
      </c>
      <c r="C60" s="14">
        <v>0</v>
      </c>
      <c r="D60" s="14">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c r="AI60" s="14">
        <v>0</v>
      </c>
      <c r="AJ60" s="14">
        <v>0</v>
      </c>
      <c r="AK60" s="6" t="s">
        <v>20</v>
      </c>
    </row>
    <row r="61" spans="1:37" ht="15" customHeight="1" x14ac:dyDescent="0.35">
      <c r="A61" s="41" t="s">
        <v>121</v>
      </c>
      <c r="B61" s="7" t="s">
        <v>19</v>
      </c>
      <c r="C61" s="14">
        <v>0.22512399999999999</v>
      </c>
      <c r="D61" s="14">
        <v>0.424931</v>
      </c>
      <c r="E61" s="14">
        <v>0.82264099999999996</v>
      </c>
      <c r="F61" s="14">
        <v>1.4046920000000001</v>
      </c>
      <c r="G61" s="14">
        <v>2.492966</v>
      </c>
      <c r="H61" s="14">
        <v>3.592476</v>
      </c>
      <c r="I61" s="14">
        <v>3.6843110000000001</v>
      </c>
      <c r="J61" s="14">
        <v>4.0275869999999996</v>
      </c>
      <c r="K61" s="14">
        <v>4.2426019999999998</v>
      </c>
      <c r="L61" s="14">
        <v>4.1437369999999998</v>
      </c>
      <c r="M61" s="14">
        <v>4.0566180000000003</v>
      </c>
      <c r="N61" s="14">
        <v>3.7781189999999998</v>
      </c>
      <c r="O61" s="14">
        <v>3.7460870000000002</v>
      </c>
      <c r="P61" s="14">
        <v>3.6534949999999999</v>
      </c>
      <c r="Q61" s="14">
        <v>3.602309</v>
      </c>
      <c r="R61" s="14">
        <v>3.2365119999999998</v>
      </c>
      <c r="S61" s="14">
        <v>3.1522709999999998</v>
      </c>
      <c r="T61" s="14">
        <v>3.1193949999999999</v>
      </c>
      <c r="U61" s="14">
        <v>3.0806840000000002</v>
      </c>
      <c r="V61" s="14">
        <v>3.1055779999999999</v>
      </c>
      <c r="W61" s="14">
        <v>3.032438</v>
      </c>
      <c r="X61" s="14">
        <v>3.0446800000000001</v>
      </c>
      <c r="Y61" s="14">
        <v>3.0700789999999998</v>
      </c>
      <c r="Z61" s="14">
        <v>3.1023719999999999</v>
      </c>
      <c r="AA61" s="14">
        <v>3.1026359999999999</v>
      </c>
      <c r="AB61" s="14">
        <v>3.116266</v>
      </c>
      <c r="AC61" s="14">
        <v>3.1403780000000001</v>
      </c>
      <c r="AD61" s="14">
        <v>3.1679729999999999</v>
      </c>
      <c r="AE61" s="14">
        <v>3.1855509999999998</v>
      </c>
      <c r="AF61" s="14">
        <v>3.210493</v>
      </c>
      <c r="AG61" s="14">
        <v>3.2398639999999999</v>
      </c>
      <c r="AH61" s="14">
        <v>3.2607409999999999</v>
      </c>
      <c r="AI61" s="14">
        <v>3.2859440000000002</v>
      </c>
      <c r="AJ61" s="14">
        <v>3.326416</v>
      </c>
      <c r="AK61" s="6">
        <v>6.6416000000000003E-2</v>
      </c>
    </row>
    <row r="62" spans="1:37" ht="15" customHeight="1" x14ac:dyDescent="0.35">
      <c r="A62" s="41" t="s">
        <v>122</v>
      </c>
      <c r="B62" s="7" t="s">
        <v>18</v>
      </c>
      <c r="C62" s="14">
        <v>120.139771</v>
      </c>
      <c r="D62" s="14">
        <v>119.42437700000001</v>
      </c>
      <c r="E62" s="14">
        <v>126.767708</v>
      </c>
      <c r="F62" s="14">
        <v>131.15394599999999</v>
      </c>
      <c r="G62" s="14">
        <v>140.94285600000001</v>
      </c>
      <c r="H62" s="14">
        <v>145.75921600000001</v>
      </c>
      <c r="I62" s="14">
        <v>146.07431</v>
      </c>
      <c r="J62" s="14">
        <v>146.781586</v>
      </c>
      <c r="K62" s="14">
        <v>149.258453</v>
      </c>
      <c r="L62" s="14">
        <v>150.65870699999999</v>
      </c>
      <c r="M62" s="14">
        <v>154.099121</v>
      </c>
      <c r="N62" s="14">
        <v>155.73725899999999</v>
      </c>
      <c r="O62" s="14">
        <v>163.31929</v>
      </c>
      <c r="P62" s="14">
        <v>168.90254200000001</v>
      </c>
      <c r="Q62" s="14">
        <v>172.848557</v>
      </c>
      <c r="R62" s="14">
        <v>171.486008</v>
      </c>
      <c r="S62" s="14">
        <v>173.77027899999999</v>
      </c>
      <c r="T62" s="14">
        <v>178.488373</v>
      </c>
      <c r="U62" s="14">
        <v>179.671097</v>
      </c>
      <c r="V62" s="14">
        <v>182.93869000000001</v>
      </c>
      <c r="W62" s="14">
        <v>185.55999800000001</v>
      </c>
      <c r="X62" s="14">
        <v>187.22041300000001</v>
      </c>
      <c r="Y62" s="14">
        <v>186.93424999999999</v>
      </c>
      <c r="Z62" s="14">
        <v>187.20288099999999</v>
      </c>
      <c r="AA62" s="14">
        <v>185.15501399999999</v>
      </c>
      <c r="AB62" s="14">
        <v>183.07637</v>
      </c>
      <c r="AC62" s="14">
        <v>180.248932</v>
      </c>
      <c r="AD62" s="14">
        <v>179.70931999999999</v>
      </c>
      <c r="AE62" s="14">
        <v>179.82193000000001</v>
      </c>
      <c r="AF62" s="14">
        <v>176.22439600000001</v>
      </c>
      <c r="AG62" s="14">
        <v>170.391052</v>
      </c>
      <c r="AH62" s="14">
        <v>168.945221</v>
      </c>
      <c r="AI62" s="14">
        <v>173.63690199999999</v>
      </c>
      <c r="AJ62" s="14">
        <v>178.91154499999999</v>
      </c>
      <c r="AK62" s="6">
        <v>1.2711999999999999E-2</v>
      </c>
    </row>
    <row r="64" spans="1:37" ht="15" customHeight="1" x14ac:dyDescent="0.35">
      <c r="A64" s="41" t="s">
        <v>123</v>
      </c>
      <c r="B64" s="7" t="s">
        <v>124</v>
      </c>
      <c r="C64" s="14">
        <v>11.022957999999999</v>
      </c>
      <c r="D64" s="14">
        <v>10.922475</v>
      </c>
      <c r="E64" s="14">
        <v>11.348478999999999</v>
      </c>
      <c r="F64" s="14">
        <v>11.788508</v>
      </c>
      <c r="G64" s="14">
        <v>12.683903000000001</v>
      </c>
      <c r="H64" s="14">
        <v>13.452093</v>
      </c>
      <c r="I64" s="14">
        <v>13.621536000000001</v>
      </c>
      <c r="J64" s="14">
        <v>13.925767</v>
      </c>
      <c r="K64" s="14">
        <v>14.412711</v>
      </c>
      <c r="L64" s="14">
        <v>14.620691000000001</v>
      </c>
      <c r="M64" s="14">
        <v>15.338227</v>
      </c>
      <c r="N64" s="14">
        <v>15.782207</v>
      </c>
      <c r="O64" s="14">
        <v>17.416895</v>
      </c>
      <c r="P64" s="14">
        <v>18.202587000000001</v>
      </c>
      <c r="Q64" s="14">
        <v>18.757248000000001</v>
      </c>
      <c r="R64" s="14">
        <v>18.915172999999999</v>
      </c>
      <c r="S64" s="14">
        <v>19.259912</v>
      </c>
      <c r="T64" s="14">
        <v>19.877814999999998</v>
      </c>
      <c r="U64" s="14">
        <v>20.170704000000001</v>
      </c>
      <c r="V64" s="14">
        <v>20.702314000000001</v>
      </c>
      <c r="W64" s="14">
        <v>21.016615000000002</v>
      </c>
      <c r="X64" s="14">
        <v>21.248799999999999</v>
      </c>
      <c r="Y64" s="14">
        <v>21.296972</v>
      </c>
      <c r="Z64" s="14">
        <v>21.384768000000001</v>
      </c>
      <c r="AA64" s="14">
        <v>21.189056000000001</v>
      </c>
      <c r="AB64" s="14">
        <v>21.099416999999999</v>
      </c>
      <c r="AC64" s="14">
        <v>20.847393</v>
      </c>
      <c r="AD64" s="14">
        <v>20.687439000000001</v>
      </c>
      <c r="AE64" s="14">
        <v>20.679072999999999</v>
      </c>
      <c r="AF64" s="14">
        <v>20.227730000000001</v>
      </c>
      <c r="AG64" s="14">
        <v>19.556294999999999</v>
      </c>
      <c r="AH64" s="14">
        <v>19.446152000000001</v>
      </c>
      <c r="AI64" s="14">
        <v>19.912077</v>
      </c>
      <c r="AJ64" s="14">
        <v>20.460267999999999</v>
      </c>
      <c r="AK64" s="6">
        <v>1.9807999999999999E-2</v>
      </c>
    </row>
    <row r="65" spans="1:37" ht="15" customHeight="1" x14ac:dyDescent="0.35">
      <c r="A65" s="41" t="s">
        <v>125</v>
      </c>
      <c r="B65" s="5" t="s">
        <v>126</v>
      </c>
      <c r="C65" s="15">
        <v>1089.905029</v>
      </c>
      <c r="D65" s="15">
        <v>1093.3820800000001</v>
      </c>
      <c r="E65" s="15">
        <v>1117.0457759999999</v>
      </c>
      <c r="F65" s="15">
        <v>1112.5576169999999</v>
      </c>
      <c r="G65" s="15">
        <v>1111.194702</v>
      </c>
      <c r="H65" s="15">
        <v>1083.5429690000001</v>
      </c>
      <c r="I65" s="15">
        <v>1072.377686</v>
      </c>
      <c r="J65" s="15">
        <v>1054.028687</v>
      </c>
      <c r="K65" s="15">
        <v>1035.602905</v>
      </c>
      <c r="L65" s="15">
        <v>1030.4486079999999</v>
      </c>
      <c r="M65" s="15">
        <v>1004.673645</v>
      </c>
      <c r="N65" s="15">
        <v>986.79010000000005</v>
      </c>
      <c r="O65" s="15">
        <v>937.70611599999995</v>
      </c>
      <c r="P65" s="15">
        <v>927.90399200000002</v>
      </c>
      <c r="Q65" s="15">
        <v>921.502747</v>
      </c>
      <c r="R65" s="15">
        <v>906.60553000000004</v>
      </c>
      <c r="S65" s="15">
        <v>902.23809800000004</v>
      </c>
      <c r="T65" s="15">
        <v>897.92749000000003</v>
      </c>
      <c r="U65" s="15">
        <v>890.752747</v>
      </c>
      <c r="V65" s="15">
        <v>883.66296399999999</v>
      </c>
      <c r="W65" s="15">
        <v>882.92047100000002</v>
      </c>
      <c r="X65" s="15">
        <v>881.08703600000001</v>
      </c>
      <c r="Y65" s="15">
        <v>877.75036599999999</v>
      </c>
      <c r="Z65" s="15">
        <v>875.40295400000002</v>
      </c>
      <c r="AA65" s="15">
        <v>873.82379200000003</v>
      </c>
      <c r="AB65" s="15">
        <v>867.68450900000005</v>
      </c>
      <c r="AC65" s="15">
        <v>864.61132799999996</v>
      </c>
      <c r="AD65" s="15">
        <v>868.68811000000005</v>
      </c>
      <c r="AE65" s="15">
        <v>869.58410600000002</v>
      </c>
      <c r="AF65" s="15">
        <v>871.20202600000005</v>
      </c>
      <c r="AG65" s="15">
        <v>871.28491199999996</v>
      </c>
      <c r="AH65" s="15">
        <v>868.78491199999996</v>
      </c>
      <c r="AI65" s="15">
        <v>872.01800500000002</v>
      </c>
      <c r="AJ65" s="15">
        <v>874.43408199999999</v>
      </c>
      <c r="AK65" s="4">
        <v>-6.9589999999999999E-3</v>
      </c>
    </row>
    <row r="67" spans="1:37" ht="15" customHeight="1" x14ac:dyDescent="0.35">
      <c r="A67" s="41" t="s">
        <v>127</v>
      </c>
      <c r="B67" s="7" t="s">
        <v>128</v>
      </c>
      <c r="C67" s="14">
        <v>11.580397</v>
      </c>
      <c r="D67" s="14">
        <v>12.189038999999999</v>
      </c>
      <c r="E67" s="14">
        <v>14.170168</v>
      </c>
      <c r="F67" s="14">
        <v>15.333983999999999</v>
      </c>
      <c r="G67" s="14">
        <v>16.665073</v>
      </c>
      <c r="H67" s="14">
        <v>17.611820000000002</v>
      </c>
      <c r="I67" s="14">
        <v>18.201138</v>
      </c>
      <c r="J67" s="14">
        <v>19.043793000000001</v>
      </c>
      <c r="K67" s="14">
        <v>19.837463</v>
      </c>
      <c r="L67" s="14">
        <v>19.985657</v>
      </c>
      <c r="M67" s="14">
        <v>20.577587000000001</v>
      </c>
      <c r="N67" s="14">
        <v>21.005939000000001</v>
      </c>
      <c r="O67" s="14">
        <v>22.511396000000001</v>
      </c>
      <c r="P67" s="14">
        <v>23.267607000000002</v>
      </c>
      <c r="Q67" s="14">
        <v>23.935258999999999</v>
      </c>
      <c r="R67" s="14">
        <v>24.422445</v>
      </c>
      <c r="S67" s="14">
        <v>24.985741000000001</v>
      </c>
      <c r="T67" s="14">
        <v>25.672691</v>
      </c>
      <c r="U67" s="14">
        <v>26.187607</v>
      </c>
      <c r="V67" s="14">
        <v>26.795658</v>
      </c>
      <c r="W67" s="14">
        <v>27.188105</v>
      </c>
      <c r="X67" s="14">
        <v>27.569061000000001</v>
      </c>
      <c r="Y67" s="14">
        <v>27.845794999999999</v>
      </c>
      <c r="Z67" s="14">
        <v>28.145354999999999</v>
      </c>
      <c r="AA67" s="14">
        <v>28.228569</v>
      </c>
      <c r="AB67" s="14">
        <v>28.336487000000002</v>
      </c>
      <c r="AC67" s="14">
        <v>28.351279999999999</v>
      </c>
      <c r="AD67" s="14">
        <v>28.332594</v>
      </c>
      <c r="AE67" s="14">
        <v>28.402418000000001</v>
      </c>
      <c r="AF67" s="14">
        <v>28.369164000000001</v>
      </c>
      <c r="AG67" s="14">
        <v>28.214055999999999</v>
      </c>
      <c r="AH67" s="14">
        <v>28.355184999999999</v>
      </c>
      <c r="AI67" s="14">
        <v>28.702262999999999</v>
      </c>
      <c r="AJ67" s="14">
        <v>29.078547</v>
      </c>
      <c r="AK67" s="6">
        <v>2.7543000000000002E-2</v>
      </c>
    </row>
    <row r="68" spans="1:37" ht="15" customHeight="1" x14ac:dyDescent="0.35">
      <c r="A68" s="41" t="s">
        <v>129</v>
      </c>
      <c r="B68" s="7" t="s">
        <v>130</v>
      </c>
      <c r="C68" s="14">
        <v>17.876401999999999</v>
      </c>
      <c r="D68" s="14">
        <v>17.767094</v>
      </c>
      <c r="E68" s="14">
        <v>18.353361</v>
      </c>
      <c r="F68" s="14">
        <v>20.854105000000001</v>
      </c>
      <c r="G68" s="14">
        <v>28.299416999999998</v>
      </c>
      <c r="H68" s="14">
        <v>33.593829999999997</v>
      </c>
      <c r="I68" s="14">
        <v>31.295397000000001</v>
      </c>
      <c r="J68" s="14">
        <v>31.606822999999999</v>
      </c>
      <c r="K68" s="14">
        <v>32.628033000000002</v>
      </c>
      <c r="L68" s="14">
        <v>32.424973000000001</v>
      </c>
      <c r="M68" s="14">
        <v>32.321838</v>
      </c>
      <c r="N68" s="14">
        <v>31.162393999999999</v>
      </c>
      <c r="O68" s="14">
        <v>31.312152999999999</v>
      </c>
      <c r="P68" s="14">
        <v>31.208735999999998</v>
      </c>
      <c r="Q68" s="14">
        <v>31.516888000000002</v>
      </c>
      <c r="R68" s="14">
        <v>29.585228000000001</v>
      </c>
      <c r="S68" s="14">
        <v>29.712885</v>
      </c>
      <c r="T68" s="14">
        <v>29.842806</v>
      </c>
      <c r="U68" s="14">
        <v>29.765324</v>
      </c>
      <c r="V68" s="14">
        <v>30.09524</v>
      </c>
      <c r="W68" s="14">
        <v>29.740803</v>
      </c>
      <c r="X68" s="14">
        <v>29.575464</v>
      </c>
      <c r="Y68" s="14">
        <v>29.789228000000001</v>
      </c>
      <c r="Z68" s="14">
        <v>30.011002000000001</v>
      </c>
      <c r="AA68" s="14">
        <v>30.136187</v>
      </c>
      <c r="AB68" s="14">
        <v>30.156094</v>
      </c>
      <c r="AC68" s="14">
        <v>30.226120000000002</v>
      </c>
      <c r="AD68" s="14">
        <v>30.399168</v>
      </c>
      <c r="AE68" s="14">
        <v>30.484304000000002</v>
      </c>
      <c r="AF68" s="14">
        <v>30.564608</v>
      </c>
      <c r="AG68" s="14">
        <v>30.564962000000001</v>
      </c>
      <c r="AH68" s="14">
        <v>30.49213</v>
      </c>
      <c r="AI68" s="14">
        <v>30.517523000000001</v>
      </c>
      <c r="AJ68" s="14">
        <v>30.550875000000001</v>
      </c>
      <c r="AK68" s="6">
        <v>1.7083000000000001E-2</v>
      </c>
    </row>
    <row r="69" spans="1:37" ht="15" customHeight="1" x14ac:dyDescent="0.35">
      <c r="A69" s="41" t="s">
        <v>131</v>
      </c>
      <c r="B69" s="7" t="s">
        <v>132</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6" t="s">
        <v>20</v>
      </c>
    </row>
    <row r="71" spans="1:37" ht="15" customHeight="1" x14ac:dyDescent="0.35">
      <c r="B71" s="5" t="s">
        <v>133</v>
      </c>
    </row>
    <row r="72" spans="1:37" ht="15" customHeight="1" x14ac:dyDescent="0.35">
      <c r="A72" s="41" t="s">
        <v>134</v>
      </c>
      <c r="B72" s="7" t="s">
        <v>135</v>
      </c>
      <c r="C72" s="14">
        <v>2332.0727539999998</v>
      </c>
      <c r="D72" s="14">
        <v>2268.7321780000002</v>
      </c>
      <c r="E72" s="14">
        <v>2198.6464839999999</v>
      </c>
      <c r="F72" s="14">
        <v>2141.9458009999998</v>
      </c>
      <c r="G72" s="14">
        <v>2092.9179690000001</v>
      </c>
      <c r="H72" s="14">
        <v>2016.1513669999999</v>
      </c>
      <c r="I72" s="14">
        <v>2001.2342530000001</v>
      </c>
      <c r="J72" s="14">
        <v>1973.6267089999999</v>
      </c>
      <c r="K72" s="14">
        <v>1939.8754879999999</v>
      </c>
      <c r="L72" s="14">
        <v>1933.6062010000001</v>
      </c>
      <c r="M72" s="14">
        <v>1912.1644289999999</v>
      </c>
      <c r="N72" s="14">
        <v>1901.2924800000001</v>
      </c>
      <c r="O72" s="14">
        <v>1868.0245359999999</v>
      </c>
      <c r="P72" s="14">
        <v>1852.533447</v>
      </c>
      <c r="Q72" s="14">
        <v>1862.359375</v>
      </c>
      <c r="R72" s="14">
        <v>1852.6339109999999</v>
      </c>
      <c r="S72" s="14">
        <v>1851.6170649999999</v>
      </c>
      <c r="T72" s="14">
        <v>1848.0737300000001</v>
      </c>
      <c r="U72" s="14">
        <v>1840.828857</v>
      </c>
      <c r="V72" s="14">
        <v>1832.6207280000001</v>
      </c>
      <c r="W72" s="14">
        <v>1834.6351320000001</v>
      </c>
      <c r="X72" s="14">
        <v>1837.451294</v>
      </c>
      <c r="Y72" s="14">
        <v>1835.551025</v>
      </c>
      <c r="Z72" s="14">
        <v>1835.6602780000001</v>
      </c>
      <c r="AA72" s="14">
        <v>1840.123413</v>
      </c>
      <c r="AB72" s="14">
        <v>1837.61499</v>
      </c>
      <c r="AC72" s="14">
        <v>1839.9197999999999</v>
      </c>
      <c r="AD72" s="14">
        <v>1852.0032960000001</v>
      </c>
      <c r="AE72" s="14">
        <v>1858.451904</v>
      </c>
      <c r="AF72" s="14">
        <v>1865.2303469999999</v>
      </c>
      <c r="AG72" s="14">
        <v>1867.85376</v>
      </c>
      <c r="AH72" s="14">
        <v>1860.2910159999999</v>
      </c>
      <c r="AI72" s="14">
        <v>1854.25415</v>
      </c>
      <c r="AJ72" s="14">
        <v>1844.826172</v>
      </c>
      <c r="AK72" s="6">
        <v>-6.4429999999999999E-3</v>
      </c>
    </row>
    <row r="73" spans="1:37" ht="15" customHeight="1" x14ac:dyDescent="0.35">
      <c r="A73" s="41" t="s">
        <v>136</v>
      </c>
      <c r="B73" s="7" t="s">
        <v>137</v>
      </c>
      <c r="C73" s="14">
        <v>7.0341009999999997</v>
      </c>
      <c r="D73" s="14">
        <v>15.042792</v>
      </c>
      <c r="E73" s="14">
        <v>27.718491</v>
      </c>
      <c r="F73" s="14">
        <v>39.067504999999997</v>
      </c>
      <c r="G73" s="14">
        <v>40.136135000000003</v>
      </c>
      <c r="H73" s="14">
        <v>40.723166999999997</v>
      </c>
      <c r="I73" s="14">
        <v>42.376300999999998</v>
      </c>
      <c r="J73" s="14">
        <v>43.866432000000003</v>
      </c>
      <c r="K73" s="14">
        <v>46.419635999999997</v>
      </c>
      <c r="L73" s="14">
        <v>49.077441999999998</v>
      </c>
      <c r="M73" s="14">
        <v>50.985889</v>
      </c>
      <c r="N73" s="14">
        <v>54.265045000000001</v>
      </c>
      <c r="O73" s="14">
        <v>56.048279000000001</v>
      </c>
      <c r="P73" s="14">
        <v>58.860497000000002</v>
      </c>
      <c r="Q73" s="14">
        <v>59.208153000000003</v>
      </c>
      <c r="R73" s="14">
        <v>58.453952999999998</v>
      </c>
      <c r="S73" s="14">
        <v>56.867328999999998</v>
      </c>
      <c r="T73" s="14">
        <v>57.61356</v>
      </c>
      <c r="U73" s="14">
        <v>55.832897000000003</v>
      </c>
      <c r="V73" s="14">
        <v>54.431057000000003</v>
      </c>
      <c r="W73" s="14">
        <v>53.621727</v>
      </c>
      <c r="X73" s="14">
        <v>52.534840000000003</v>
      </c>
      <c r="Y73" s="14">
        <v>51.408382000000003</v>
      </c>
      <c r="Z73" s="14">
        <v>50.772613999999997</v>
      </c>
      <c r="AA73" s="14">
        <v>50.453586999999999</v>
      </c>
      <c r="AB73" s="14">
        <v>49.580708000000001</v>
      </c>
      <c r="AC73" s="14">
        <v>48.853413000000003</v>
      </c>
      <c r="AD73" s="14">
        <v>48.278706</v>
      </c>
      <c r="AE73" s="14">
        <v>47.600185000000003</v>
      </c>
      <c r="AF73" s="14">
        <v>47.984200000000001</v>
      </c>
      <c r="AG73" s="14">
        <v>47.920189000000001</v>
      </c>
      <c r="AH73" s="14">
        <v>47.17313</v>
      </c>
      <c r="AI73" s="14">
        <v>46.312660000000001</v>
      </c>
      <c r="AJ73" s="14">
        <v>45.141486999999998</v>
      </c>
      <c r="AK73" s="6">
        <v>3.4937000000000003E-2</v>
      </c>
    </row>
    <row r="74" spans="1:37" ht="15" customHeight="1" x14ac:dyDescent="0.35">
      <c r="A74" s="41" t="s">
        <v>138</v>
      </c>
      <c r="B74" s="7" t="s">
        <v>139</v>
      </c>
      <c r="C74" s="14">
        <v>144.67401100000001</v>
      </c>
      <c r="D74" s="14">
        <v>140.336975</v>
      </c>
      <c r="E74" s="14">
        <v>139.51791399999999</v>
      </c>
      <c r="F74" s="14">
        <v>137.49400299999999</v>
      </c>
      <c r="G74" s="14">
        <v>136.47851600000001</v>
      </c>
      <c r="H74" s="14">
        <v>132.592941</v>
      </c>
      <c r="I74" s="14">
        <v>131.32182299999999</v>
      </c>
      <c r="J74" s="14">
        <v>129.16064499999999</v>
      </c>
      <c r="K74" s="14">
        <v>130.514557</v>
      </c>
      <c r="L74" s="14">
        <v>132.65415999999999</v>
      </c>
      <c r="M74" s="14">
        <v>138.828003</v>
      </c>
      <c r="N74" s="14">
        <v>143.81759600000001</v>
      </c>
      <c r="O74" s="14">
        <v>156.76692199999999</v>
      </c>
      <c r="P74" s="14">
        <v>164.72683699999999</v>
      </c>
      <c r="Q74" s="14">
        <v>170.21980300000001</v>
      </c>
      <c r="R74" s="14">
        <v>170.30396999999999</v>
      </c>
      <c r="S74" s="14">
        <v>172.992142</v>
      </c>
      <c r="T74" s="14">
        <v>178.75314299999999</v>
      </c>
      <c r="U74" s="14">
        <v>179.37446600000001</v>
      </c>
      <c r="V74" s="14">
        <v>182.059372</v>
      </c>
      <c r="W74" s="14">
        <v>183.847961</v>
      </c>
      <c r="X74" s="14">
        <v>184.11016799999999</v>
      </c>
      <c r="Y74" s="14">
        <v>180.542023</v>
      </c>
      <c r="Z74" s="14">
        <v>177.461761</v>
      </c>
      <c r="AA74" s="14">
        <v>171.18034399999999</v>
      </c>
      <c r="AB74" s="14">
        <v>164.90718100000001</v>
      </c>
      <c r="AC74" s="14">
        <v>156.70922899999999</v>
      </c>
      <c r="AD74" s="14">
        <v>151.033569</v>
      </c>
      <c r="AE74" s="14">
        <v>146.56466699999999</v>
      </c>
      <c r="AF74" s="14">
        <v>135.207626</v>
      </c>
      <c r="AG74" s="14">
        <v>119.96923099999999</v>
      </c>
      <c r="AH74" s="14">
        <v>111.100838</v>
      </c>
      <c r="AI74" s="14">
        <v>110.68868999999999</v>
      </c>
      <c r="AJ74" s="14">
        <v>110.422653</v>
      </c>
      <c r="AK74" s="6">
        <v>-7.4640000000000001E-3</v>
      </c>
    </row>
    <row r="75" spans="1:37" ht="15" customHeight="1" x14ac:dyDescent="0.35">
      <c r="A75" s="41" t="s">
        <v>140</v>
      </c>
      <c r="B75" s="7" t="s">
        <v>141</v>
      </c>
      <c r="C75" s="14">
        <v>30.672702999999998</v>
      </c>
      <c r="D75" s="14">
        <v>43.083182999999998</v>
      </c>
      <c r="E75" s="14">
        <v>91.133483999999996</v>
      </c>
      <c r="F75" s="14">
        <v>115.487488</v>
      </c>
      <c r="G75" s="14">
        <v>140.790222</v>
      </c>
      <c r="H75" s="14">
        <v>154.74644499999999</v>
      </c>
      <c r="I75" s="14">
        <v>166.19395399999999</v>
      </c>
      <c r="J75" s="14">
        <v>181.58755500000001</v>
      </c>
      <c r="K75" s="14">
        <v>194.796402</v>
      </c>
      <c r="L75" s="14">
        <v>191.79620399999999</v>
      </c>
      <c r="M75" s="14">
        <v>193.19439700000001</v>
      </c>
      <c r="N75" s="14">
        <v>194.50102200000001</v>
      </c>
      <c r="O75" s="14">
        <v>207.191788</v>
      </c>
      <c r="P75" s="14">
        <v>215.080963</v>
      </c>
      <c r="Q75" s="14">
        <v>226.86575300000001</v>
      </c>
      <c r="R75" s="14">
        <v>235.858643</v>
      </c>
      <c r="S75" s="14">
        <v>247.248276</v>
      </c>
      <c r="T75" s="14">
        <v>259.64410400000003</v>
      </c>
      <c r="U75" s="14">
        <v>270.86496</v>
      </c>
      <c r="V75" s="14">
        <v>282.20385700000003</v>
      </c>
      <c r="W75" s="14">
        <v>291.48571800000002</v>
      </c>
      <c r="X75" s="14">
        <v>302.31506300000001</v>
      </c>
      <c r="Y75" s="14">
        <v>311.80291699999998</v>
      </c>
      <c r="Z75" s="14">
        <v>321.900757</v>
      </c>
      <c r="AA75" s="14">
        <v>329.41101099999997</v>
      </c>
      <c r="AB75" s="14">
        <v>336.22497600000003</v>
      </c>
      <c r="AC75" s="14">
        <v>343.57488999999998</v>
      </c>
      <c r="AD75" s="14">
        <v>350.52706899999998</v>
      </c>
      <c r="AE75" s="14">
        <v>357.33090199999998</v>
      </c>
      <c r="AF75" s="14">
        <v>367.27633700000001</v>
      </c>
      <c r="AG75" s="14">
        <v>375.78344700000002</v>
      </c>
      <c r="AH75" s="14">
        <v>384.74941999999999</v>
      </c>
      <c r="AI75" s="14">
        <v>393.40206899999998</v>
      </c>
      <c r="AJ75" s="14">
        <v>401.53280599999999</v>
      </c>
      <c r="AK75" s="6">
        <v>7.2245000000000004E-2</v>
      </c>
    </row>
    <row r="76" spans="1:37" ht="15" customHeight="1" x14ac:dyDescent="0.35">
      <c r="A76" s="41" t="s">
        <v>142</v>
      </c>
      <c r="B76" s="7" t="s">
        <v>143</v>
      </c>
      <c r="C76" s="14">
        <v>28.671917000000001</v>
      </c>
      <c r="D76" s="14">
        <v>29.204329999999999</v>
      </c>
      <c r="E76" s="14">
        <v>32.525123999999998</v>
      </c>
      <c r="F76" s="14">
        <v>36.047314</v>
      </c>
      <c r="G76" s="14">
        <v>41.522896000000003</v>
      </c>
      <c r="H76" s="14">
        <v>42.816741999999998</v>
      </c>
      <c r="I76" s="14">
        <v>43.252479999999998</v>
      </c>
      <c r="J76" s="14">
        <v>44.168940999999997</v>
      </c>
      <c r="K76" s="14">
        <v>44.633232</v>
      </c>
      <c r="L76" s="14">
        <v>44.532916999999998</v>
      </c>
      <c r="M76" s="14">
        <v>45.170174000000003</v>
      </c>
      <c r="N76" s="14">
        <v>45.687443000000002</v>
      </c>
      <c r="O76" s="14">
        <v>49.295921</v>
      </c>
      <c r="P76" s="14">
        <v>50.076324</v>
      </c>
      <c r="Q76" s="14">
        <v>51.488757999999997</v>
      </c>
      <c r="R76" s="14">
        <v>52.580677000000001</v>
      </c>
      <c r="S76" s="14">
        <v>53.674033999999999</v>
      </c>
      <c r="T76" s="14">
        <v>55.051223999999998</v>
      </c>
      <c r="U76" s="14">
        <v>56.085132999999999</v>
      </c>
      <c r="V76" s="14">
        <v>57.781528000000002</v>
      </c>
      <c r="W76" s="14">
        <v>59.316509000000003</v>
      </c>
      <c r="X76" s="14">
        <v>60.401012000000001</v>
      </c>
      <c r="Y76" s="14">
        <v>61.995243000000002</v>
      </c>
      <c r="Z76" s="14">
        <v>63.871586000000001</v>
      </c>
      <c r="AA76" s="14">
        <v>65.139296999999999</v>
      </c>
      <c r="AB76" s="14">
        <v>66.331153999999998</v>
      </c>
      <c r="AC76" s="14">
        <v>67.583922999999999</v>
      </c>
      <c r="AD76" s="14">
        <v>68.898810999999995</v>
      </c>
      <c r="AE76" s="14">
        <v>70.203522000000007</v>
      </c>
      <c r="AF76" s="14">
        <v>71.816520999999995</v>
      </c>
      <c r="AG76" s="14">
        <v>73.265204999999995</v>
      </c>
      <c r="AH76" s="14">
        <v>74.792984000000004</v>
      </c>
      <c r="AI76" s="14">
        <v>76.253174000000001</v>
      </c>
      <c r="AJ76" s="14">
        <v>77.921951000000007</v>
      </c>
      <c r="AK76" s="6">
        <v>3.1144000000000002E-2</v>
      </c>
    </row>
    <row r="77" spans="1:37" ht="15" customHeight="1" x14ac:dyDescent="0.35">
      <c r="A77" s="41" t="s">
        <v>144</v>
      </c>
      <c r="B77" s="7" t="s">
        <v>145</v>
      </c>
      <c r="C77" s="14">
        <v>95.763167999999993</v>
      </c>
      <c r="D77" s="14">
        <v>100.73584</v>
      </c>
      <c r="E77" s="14">
        <v>99.946708999999998</v>
      </c>
      <c r="F77" s="14">
        <v>100.394165</v>
      </c>
      <c r="G77" s="14">
        <v>100.03501900000001</v>
      </c>
      <c r="H77" s="14">
        <v>99.695908000000003</v>
      </c>
      <c r="I77" s="14">
        <v>103.97051999999999</v>
      </c>
      <c r="J77" s="14">
        <v>109.058235</v>
      </c>
      <c r="K77" s="14">
        <v>110.635071</v>
      </c>
      <c r="L77" s="14">
        <v>115.49659</v>
      </c>
      <c r="M77" s="14">
        <v>120.897293</v>
      </c>
      <c r="N77" s="14">
        <v>126.04193100000001</v>
      </c>
      <c r="O77" s="14">
        <v>135.84303299999999</v>
      </c>
      <c r="P77" s="14">
        <v>140.02179000000001</v>
      </c>
      <c r="Q77" s="14">
        <v>146.487549</v>
      </c>
      <c r="R77" s="14">
        <v>149.94494599999999</v>
      </c>
      <c r="S77" s="14">
        <v>153.067871</v>
      </c>
      <c r="T77" s="14">
        <v>156.14549299999999</v>
      </c>
      <c r="U77" s="14">
        <v>158.04278600000001</v>
      </c>
      <c r="V77" s="14">
        <v>160.08476300000001</v>
      </c>
      <c r="W77" s="14">
        <v>161.942612</v>
      </c>
      <c r="X77" s="14">
        <v>164.01928699999999</v>
      </c>
      <c r="Y77" s="14">
        <v>165.28024300000001</v>
      </c>
      <c r="Z77" s="14">
        <v>167.000687</v>
      </c>
      <c r="AA77" s="14">
        <v>169.163284</v>
      </c>
      <c r="AB77" s="14">
        <v>170.02362099999999</v>
      </c>
      <c r="AC77" s="14">
        <v>170.728531</v>
      </c>
      <c r="AD77" s="14">
        <v>171.92366000000001</v>
      </c>
      <c r="AE77" s="14">
        <v>173.108856</v>
      </c>
      <c r="AF77" s="14">
        <v>174.43945299999999</v>
      </c>
      <c r="AG77" s="14">
        <v>174.888901</v>
      </c>
      <c r="AH77" s="14">
        <v>175.18540999999999</v>
      </c>
      <c r="AI77" s="14">
        <v>175.605377</v>
      </c>
      <c r="AJ77" s="14">
        <v>175.78035</v>
      </c>
      <c r="AK77" s="6">
        <v>1.755E-2</v>
      </c>
    </row>
    <row r="78" spans="1:37" ht="15" customHeight="1" x14ac:dyDescent="0.35">
      <c r="A78" s="41" t="s">
        <v>146</v>
      </c>
      <c r="B78" s="7" t="s">
        <v>147</v>
      </c>
      <c r="C78" s="14">
        <v>6.0862879999999997</v>
      </c>
      <c r="D78" s="14">
        <v>2.7700459999999998</v>
      </c>
      <c r="E78" s="14">
        <v>2.7641900000000001</v>
      </c>
      <c r="F78" s="14">
        <v>2.7451449999999999</v>
      </c>
      <c r="G78" s="14">
        <v>2.7173370000000001</v>
      </c>
      <c r="H78" s="14">
        <v>2.6192280000000001</v>
      </c>
      <c r="I78" s="14">
        <v>2.582532</v>
      </c>
      <c r="J78" s="14">
        <v>2.5158680000000002</v>
      </c>
      <c r="K78" s="14">
        <v>2.4306209999999999</v>
      </c>
      <c r="L78" s="14">
        <v>2.4088310000000002</v>
      </c>
      <c r="M78" s="14">
        <v>2.3724699999999999</v>
      </c>
      <c r="N78" s="14">
        <v>2.3461249999999998</v>
      </c>
      <c r="O78" s="14">
        <v>2.3011059999999999</v>
      </c>
      <c r="P78" s="14">
        <v>2.2945220000000002</v>
      </c>
      <c r="Q78" s="14">
        <v>2.2978719999999999</v>
      </c>
      <c r="R78" s="14">
        <v>2.275398</v>
      </c>
      <c r="S78" s="14">
        <v>2.2624490000000002</v>
      </c>
      <c r="T78" s="14">
        <v>2.2568060000000001</v>
      </c>
      <c r="U78" s="14">
        <v>2.2388129999999999</v>
      </c>
      <c r="V78" s="14">
        <v>2.245981</v>
      </c>
      <c r="W78" s="14">
        <v>2.2603819999999999</v>
      </c>
      <c r="X78" s="14">
        <v>2.2763110000000002</v>
      </c>
      <c r="Y78" s="14">
        <v>2.2860909999999999</v>
      </c>
      <c r="Z78" s="14">
        <v>2.2999520000000002</v>
      </c>
      <c r="AA78" s="14">
        <v>2.3117179999999999</v>
      </c>
      <c r="AB78" s="14">
        <v>2.3191809999999999</v>
      </c>
      <c r="AC78" s="14">
        <v>2.327804</v>
      </c>
      <c r="AD78" s="14">
        <v>2.3469669999999998</v>
      </c>
      <c r="AE78" s="14">
        <v>2.3612350000000002</v>
      </c>
      <c r="AF78" s="14">
        <v>2.38076</v>
      </c>
      <c r="AG78" s="14">
        <v>2.3919429999999999</v>
      </c>
      <c r="AH78" s="14">
        <v>2.399715</v>
      </c>
      <c r="AI78" s="14">
        <v>2.414631</v>
      </c>
      <c r="AJ78" s="14">
        <v>2.4261460000000001</v>
      </c>
      <c r="AK78" s="6">
        <v>-4.1339999999999997E-3</v>
      </c>
    </row>
    <row r="79" spans="1:37" ht="15" customHeight="1" x14ac:dyDescent="0.35">
      <c r="A79" s="41" t="s">
        <v>148</v>
      </c>
      <c r="B79" s="7" t="s">
        <v>149</v>
      </c>
      <c r="C79" s="14">
        <v>0.486848</v>
      </c>
      <c r="D79" s="14">
        <v>0.88044199999999995</v>
      </c>
      <c r="E79" s="14">
        <v>1.6766620000000001</v>
      </c>
      <c r="F79" s="14">
        <v>2.8384429999999998</v>
      </c>
      <c r="G79" s="14">
        <v>5.0179109999999998</v>
      </c>
      <c r="H79" s="14">
        <v>7.2193199999999997</v>
      </c>
      <c r="I79" s="14">
        <v>7.4043919999999996</v>
      </c>
      <c r="J79" s="14">
        <v>8.0952739999999999</v>
      </c>
      <c r="K79" s="14">
        <v>8.5297239999999999</v>
      </c>
      <c r="L79" s="14">
        <v>8.3378979999999991</v>
      </c>
      <c r="M79" s="14">
        <v>8.1710069999999995</v>
      </c>
      <c r="N79" s="14">
        <v>7.6237959999999996</v>
      </c>
      <c r="O79" s="14">
        <v>7.5680880000000004</v>
      </c>
      <c r="P79" s="14">
        <v>7.3925239999999999</v>
      </c>
      <c r="Q79" s="14">
        <v>7.2991149999999996</v>
      </c>
      <c r="R79" s="14">
        <v>6.5933380000000001</v>
      </c>
      <c r="S79" s="14">
        <v>6.432963</v>
      </c>
      <c r="T79" s="14">
        <v>6.374682</v>
      </c>
      <c r="U79" s="14">
        <v>6.3030179999999998</v>
      </c>
      <c r="V79" s="14">
        <v>6.3592930000000001</v>
      </c>
      <c r="W79" s="14">
        <v>6.2254990000000001</v>
      </c>
      <c r="X79" s="14">
        <v>6.2551870000000003</v>
      </c>
      <c r="Y79" s="14">
        <v>6.3099829999999999</v>
      </c>
      <c r="Z79" s="14">
        <v>6.3780789999999996</v>
      </c>
      <c r="AA79" s="14">
        <v>6.3811140000000002</v>
      </c>
      <c r="AB79" s="14">
        <v>6.410202</v>
      </c>
      <c r="AC79" s="14">
        <v>6.4600660000000003</v>
      </c>
      <c r="AD79" s="14">
        <v>6.5168530000000002</v>
      </c>
      <c r="AE79" s="14">
        <v>6.552683</v>
      </c>
      <c r="AF79" s="14">
        <v>6.6017679999999999</v>
      </c>
      <c r="AG79" s="14">
        <v>6.6585330000000003</v>
      </c>
      <c r="AH79" s="14">
        <v>6.697152</v>
      </c>
      <c r="AI79" s="14">
        <v>6.7454429999999999</v>
      </c>
      <c r="AJ79" s="14">
        <v>6.8228710000000001</v>
      </c>
      <c r="AK79" s="6">
        <v>6.6078999999999999E-2</v>
      </c>
    </row>
    <row r="80" spans="1:37" ht="15" customHeight="1" x14ac:dyDescent="0.35">
      <c r="A80" s="41" t="s">
        <v>150</v>
      </c>
      <c r="B80" s="5" t="s">
        <v>151</v>
      </c>
      <c r="C80" s="15">
        <v>2645.461914</v>
      </c>
      <c r="D80" s="15">
        <v>2600.7856449999999</v>
      </c>
      <c r="E80" s="15">
        <v>2593.9291990000002</v>
      </c>
      <c r="F80" s="15">
        <v>2576.0200199999999</v>
      </c>
      <c r="G80" s="15">
        <v>2559.6159670000002</v>
      </c>
      <c r="H80" s="15">
        <v>2496.5651859999998</v>
      </c>
      <c r="I80" s="15">
        <v>2498.3364259999998</v>
      </c>
      <c r="J80" s="15">
        <v>2492.0795899999998</v>
      </c>
      <c r="K80" s="15">
        <v>2477.8344729999999</v>
      </c>
      <c r="L80" s="15">
        <v>2477.9101559999999</v>
      </c>
      <c r="M80" s="15">
        <v>2471.7836910000001</v>
      </c>
      <c r="N80" s="15">
        <v>2475.5754390000002</v>
      </c>
      <c r="O80" s="15">
        <v>2483.0397950000001</v>
      </c>
      <c r="P80" s="15">
        <v>2490.9868160000001</v>
      </c>
      <c r="Q80" s="15">
        <v>2526.226318</v>
      </c>
      <c r="R80" s="15">
        <v>2528.6450199999999</v>
      </c>
      <c r="S80" s="15">
        <v>2544.1621089999999</v>
      </c>
      <c r="T80" s="15">
        <v>2563.9125979999999</v>
      </c>
      <c r="U80" s="15">
        <v>2569.5710450000001</v>
      </c>
      <c r="V80" s="15">
        <v>2577.7866210000002</v>
      </c>
      <c r="W80" s="15">
        <v>2593.3354490000002</v>
      </c>
      <c r="X80" s="15">
        <v>2609.3632809999999</v>
      </c>
      <c r="Y80" s="15">
        <v>2615.1757809999999</v>
      </c>
      <c r="Z80" s="15">
        <v>2625.345703</v>
      </c>
      <c r="AA80" s="15">
        <v>2634.163818</v>
      </c>
      <c r="AB80" s="15">
        <v>2633.411865</v>
      </c>
      <c r="AC80" s="15">
        <v>2636.1577149999998</v>
      </c>
      <c r="AD80" s="15">
        <v>2651.5290530000002</v>
      </c>
      <c r="AE80" s="15">
        <v>2662.173828</v>
      </c>
      <c r="AF80" s="15">
        <v>2670.9370119999999</v>
      </c>
      <c r="AG80" s="15">
        <v>2668.7312010000001</v>
      </c>
      <c r="AH80" s="15">
        <v>2662.3896479999999</v>
      </c>
      <c r="AI80" s="15">
        <v>2665.6762699999999</v>
      </c>
      <c r="AJ80" s="15">
        <v>2664.8747560000002</v>
      </c>
      <c r="AK80" s="4">
        <v>7.6099999999999996E-4</v>
      </c>
    </row>
    <row r="82" spans="1:37" ht="15" customHeight="1" x14ac:dyDescent="0.35">
      <c r="A82" s="41" t="s">
        <v>152</v>
      </c>
      <c r="B82" s="7" t="s">
        <v>153</v>
      </c>
      <c r="C82" s="14">
        <v>270.755402</v>
      </c>
      <c r="D82" s="14">
        <v>265.62872299999998</v>
      </c>
      <c r="E82" s="14">
        <v>267.889252</v>
      </c>
      <c r="F82" s="14">
        <v>283.97738600000002</v>
      </c>
      <c r="G82" s="14">
        <v>340.01748700000002</v>
      </c>
      <c r="H82" s="14">
        <v>390.02346799999998</v>
      </c>
      <c r="I82" s="14">
        <v>427.29830900000002</v>
      </c>
      <c r="J82" s="14">
        <v>442.13146999999998</v>
      </c>
      <c r="K82" s="14">
        <v>507.687927</v>
      </c>
      <c r="L82" s="14">
        <v>505.12564099999997</v>
      </c>
      <c r="M82" s="14">
        <v>499.03552200000001</v>
      </c>
      <c r="N82" s="14">
        <v>495.98242199999999</v>
      </c>
      <c r="O82" s="14">
        <v>486.29183999999998</v>
      </c>
      <c r="P82" s="14">
        <v>482.197113</v>
      </c>
      <c r="Q82" s="14">
        <v>484.32086199999998</v>
      </c>
      <c r="R82" s="14">
        <v>481.580017</v>
      </c>
      <c r="S82" s="14">
        <v>484.82965100000001</v>
      </c>
      <c r="T82" s="14">
        <v>483.42794800000001</v>
      </c>
      <c r="U82" s="14">
        <v>481.31939699999998</v>
      </c>
      <c r="V82" s="14">
        <v>478.89083900000003</v>
      </c>
      <c r="W82" s="14">
        <v>479.31637599999999</v>
      </c>
      <c r="X82" s="14">
        <v>482.66488600000002</v>
      </c>
      <c r="Y82" s="14">
        <v>481.96048000000002</v>
      </c>
      <c r="Z82" s="14">
        <v>481.85226399999999</v>
      </c>
      <c r="AA82" s="14">
        <v>490.96957400000002</v>
      </c>
      <c r="AB82" s="14">
        <v>490.035461</v>
      </c>
      <c r="AC82" s="14">
        <v>490.601654</v>
      </c>
      <c r="AD82" s="14">
        <v>493.78128099999998</v>
      </c>
      <c r="AE82" s="14">
        <v>496.18624899999998</v>
      </c>
      <c r="AF82" s="14">
        <v>498.020599</v>
      </c>
      <c r="AG82" s="14">
        <v>498.867188</v>
      </c>
      <c r="AH82" s="14">
        <v>496.83410600000002</v>
      </c>
      <c r="AI82" s="14">
        <v>495.25277699999998</v>
      </c>
      <c r="AJ82" s="14">
        <v>492.72332799999998</v>
      </c>
      <c r="AK82" s="6">
        <v>1.9494999999999998E-2</v>
      </c>
    </row>
    <row r="83" spans="1:37" ht="15" customHeight="1" x14ac:dyDescent="0.35">
      <c r="A83" s="41" t="s">
        <v>154</v>
      </c>
      <c r="B83" s="7" t="s">
        <v>155</v>
      </c>
      <c r="C83" s="14">
        <v>0.77394799999999997</v>
      </c>
      <c r="D83" s="14">
        <v>1.838824</v>
      </c>
      <c r="E83" s="14">
        <v>3.5763630000000002</v>
      </c>
      <c r="F83" s="14">
        <v>5.66988</v>
      </c>
      <c r="G83" s="14">
        <v>7.2459360000000004</v>
      </c>
      <c r="H83" s="14">
        <v>8.3651820000000008</v>
      </c>
      <c r="I83" s="14">
        <v>9.2239269999999998</v>
      </c>
      <c r="J83" s="14">
        <v>9.9179460000000006</v>
      </c>
      <c r="K83" s="14">
        <v>13.029443000000001</v>
      </c>
      <c r="L83" s="14">
        <v>13.724451999999999</v>
      </c>
      <c r="M83" s="14">
        <v>14.220067</v>
      </c>
      <c r="N83" s="14">
        <v>15.096401999999999</v>
      </c>
      <c r="O83" s="14">
        <v>15.551401</v>
      </c>
      <c r="P83" s="14">
        <v>16.304286999999999</v>
      </c>
      <c r="Q83" s="14">
        <v>16.385339999999999</v>
      </c>
      <c r="R83" s="14">
        <v>16.165887999999999</v>
      </c>
      <c r="S83" s="14">
        <v>15.832492999999999</v>
      </c>
      <c r="T83" s="14">
        <v>16.018699999999999</v>
      </c>
      <c r="U83" s="14">
        <v>15.518606</v>
      </c>
      <c r="V83" s="14">
        <v>15.123608000000001</v>
      </c>
      <c r="W83" s="14">
        <v>14.896746</v>
      </c>
      <c r="X83" s="14">
        <v>14.662940000000001</v>
      </c>
      <c r="Y83" s="14">
        <v>14.342311</v>
      </c>
      <c r="Z83" s="14">
        <v>14.160992999999999</v>
      </c>
      <c r="AA83" s="14">
        <v>14.298762</v>
      </c>
      <c r="AB83" s="14">
        <v>14.043082</v>
      </c>
      <c r="AC83" s="14">
        <v>13.833691</v>
      </c>
      <c r="AD83" s="14">
        <v>13.667787000000001</v>
      </c>
      <c r="AE83" s="14">
        <v>13.472198000000001</v>
      </c>
      <c r="AF83" s="14">
        <v>13.580422</v>
      </c>
      <c r="AG83" s="14">
        <v>13.563235000000001</v>
      </c>
      <c r="AH83" s="14">
        <v>13.350177</v>
      </c>
      <c r="AI83" s="14">
        <v>13.10567</v>
      </c>
      <c r="AJ83" s="14">
        <v>12.774794</v>
      </c>
      <c r="AK83" s="6">
        <v>6.2446000000000002E-2</v>
      </c>
    </row>
    <row r="85" spans="1:37" ht="15" customHeight="1" x14ac:dyDescent="0.35">
      <c r="A85" s="41" t="s">
        <v>156</v>
      </c>
      <c r="B85" s="5" t="s">
        <v>157</v>
      </c>
      <c r="C85" s="15">
        <v>584.14428699999996</v>
      </c>
      <c r="D85" s="15">
        <v>597.68237299999998</v>
      </c>
      <c r="E85" s="15">
        <v>663.17163100000005</v>
      </c>
      <c r="F85" s="15">
        <v>718.051514</v>
      </c>
      <c r="G85" s="15">
        <v>806.71557600000006</v>
      </c>
      <c r="H85" s="15">
        <v>870.43701199999998</v>
      </c>
      <c r="I85" s="15">
        <v>924.40026899999998</v>
      </c>
      <c r="J85" s="15">
        <v>960.58422900000005</v>
      </c>
      <c r="K85" s="15">
        <v>1045.647461</v>
      </c>
      <c r="L85" s="15">
        <v>1049.429932</v>
      </c>
      <c r="M85" s="15">
        <v>1058.6549070000001</v>
      </c>
      <c r="N85" s="15">
        <v>1070.2653809999999</v>
      </c>
      <c r="O85" s="15">
        <v>1101.306763</v>
      </c>
      <c r="P85" s="15">
        <v>1120.650635</v>
      </c>
      <c r="Q85" s="15">
        <v>1148.1879879999999</v>
      </c>
      <c r="R85" s="15">
        <v>1157.590942</v>
      </c>
      <c r="S85" s="15">
        <v>1177.374634</v>
      </c>
      <c r="T85" s="15">
        <v>1199.2670900000001</v>
      </c>
      <c r="U85" s="15">
        <v>1210.0615230000001</v>
      </c>
      <c r="V85" s="15">
        <v>1224.056763</v>
      </c>
      <c r="W85" s="15">
        <v>1238.0167240000001</v>
      </c>
      <c r="X85" s="15">
        <v>1254.5767820000001</v>
      </c>
      <c r="Y85" s="15">
        <v>1261.5854489999999</v>
      </c>
      <c r="Z85" s="15">
        <v>1271.53772</v>
      </c>
      <c r="AA85" s="15">
        <v>1285.009888</v>
      </c>
      <c r="AB85" s="15">
        <v>1285.832275</v>
      </c>
      <c r="AC85" s="15">
        <v>1286.8394780000001</v>
      </c>
      <c r="AD85" s="15">
        <v>1293.3070070000001</v>
      </c>
      <c r="AE85" s="15">
        <v>1299.908447</v>
      </c>
      <c r="AF85" s="15">
        <v>1303.727173</v>
      </c>
      <c r="AG85" s="15">
        <v>1299.744629</v>
      </c>
      <c r="AH85" s="15">
        <v>1298.9326169999999</v>
      </c>
      <c r="AI85" s="15">
        <v>1306.6748050000001</v>
      </c>
      <c r="AJ85" s="15">
        <v>1312.7717290000001</v>
      </c>
      <c r="AK85" s="4">
        <v>2.4892999999999998E-2</v>
      </c>
    </row>
    <row r="86" spans="1:37" ht="15" customHeight="1" thickBot="1" x14ac:dyDescent="0.4"/>
    <row r="87" spans="1:37" ht="15" customHeight="1" x14ac:dyDescent="0.35">
      <c r="B87" s="311" t="s">
        <v>158</v>
      </c>
      <c r="C87" s="311"/>
      <c r="D87" s="311"/>
      <c r="E87" s="311"/>
      <c r="F87" s="311"/>
      <c r="G87" s="311"/>
      <c r="H87" s="311"/>
      <c r="I87" s="311"/>
      <c r="J87" s="311"/>
      <c r="K87" s="311"/>
      <c r="L87" s="311"/>
      <c r="M87" s="311"/>
      <c r="N87" s="311"/>
      <c r="O87" s="311"/>
      <c r="P87" s="311"/>
      <c r="Q87" s="311"/>
      <c r="R87" s="311"/>
      <c r="S87" s="311"/>
      <c r="T87" s="311"/>
      <c r="U87" s="311"/>
      <c r="V87" s="311"/>
      <c r="W87" s="311"/>
      <c r="X87" s="311"/>
      <c r="Y87" s="311"/>
      <c r="Z87" s="311"/>
      <c r="AA87" s="311"/>
      <c r="AB87" s="311"/>
      <c r="AC87" s="311"/>
      <c r="AD87" s="311"/>
      <c r="AE87" s="311"/>
      <c r="AF87" s="311"/>
      <c r="AG87" s="311"/>
      <c r="AH87" s="311"/>
      <c r="AI87" s="311"/>
      <c r="AJ87" s="311"/>
      <c r="AK87" s="311"/>
    </row>
    <row r="88" spans="1:37" ht="15" customHeight="1" x14ac:dyDescent="0.35">
      <c r="B88" s="43" t="s">
        <v>159</v>
      </c>
    </row>
    <row r="89" spans="1:37" ht="15" customHeight="1" x14ac:dyDescent="0.35">
      <c r="B89" s="43" t="s">
        <v>17</v>
      </c>
    </row>
    <row r="90" spans="1:37" ht="15" customHeight="1" x14ac:dyDescent="0.35">
      <c r="B90" s="43" t="s">
        <v>160</v>
      </c>
    </row>
    <row r="91" spans="1:37" ht="15" customHeight="1" x14ac:dyDescent="0.35">
      <c r="B91" s="43" t="s">
        <v>161</v>
      </c>
    </row>
    <row r="92" spans="1:37" ht="15" customHeight="1" x14ac:dyDescent="0.35">
      <c r="B92" s="43" t="s">
        <v>16</v>
      </c>
    </row>
    <row r="93" spans="1:37" ht="15" customHeight="1" x14ac:dyDescent="0.35">
      <c r="B93" s="43" t="s">
        <v>15</v>
      </c>
    </row>
    <row r="94" spans="1:37" ht="15" customHeight="1" x14ac:dyDescent="0.35">
      <c r="B94" s="43" t="s">
        <v>162</v>
      </c>
    </row>
    <row r="95" spans="1:37" ht="15" customHeight="1" x14ac:dyDescent="0.35">
      <c r="B95" s="43" t="s">
        <v>163</v>
      </c>
    </row>
    <row r="96" spans="1:37" ht="15" customHeight="1" x14ac:dyDescent="0.35">
      <c r="B96" s="43" t="s">
        <v>164</v>
      </c>
    </row>
    <row r="97" spans="2:36" ht="15" customHeight="1" x14ac:dyDescent="0.35">
      <c r="B97" s="43" t="s">
        <v>165</v>
      </c>
    </row>
    <row r="98" spans="2:36" ht="15" customHeight="1" x14ac:dyDescent="0.35">
      <c r="B98" s="43" t="s">
        <v>166</v>
      </c>
    </row>
    <row r="100" spans="2:36" x14ac:dyDescent="0.25">
      <c r="C100" t="s">
        <v>204</v>
      </c>
    </row>
    <row r="101" spans="2:36" x14ac:dyDescent="0.25">
      <c r="C101">
        <f>2047899/1000</f>
        <v>2047.8989999999999</v>
      </c>
    </row>
    <row r="102" spans="2:36" x14ac:dyDescent="0.25">
      <c r="B102" t="s">
        <v>205</v>
      </c>
      <c r="C102">
        <f>C101/C80</f>
        <v>0.77411774070998773</v>
      </c>
    </row>
    <row r="104" spans="2:36" x14ac:dyDescent="0.25">
      <c r="B104" t="s">
        <v>206</v>
      </c>
      <c r="D104">
        <v>2017</v>
      </c>
      <c r="K104">
        <v>2025</v>
      </c>
      <c r="P104">
        <v>2030</v>
      </c>
    </row>
    <row r="105" spans="2:36" x14ac:dyDescent="0.25">
      <c r="B105" t="s">
        <v>60</v>
      </c>
      <c r="D105">
        <f>$C$102*D75</f>
        <v>33.351456286554949</v>
      </c>
      <c r="E105">
        <f t="shared" ref="E105:AJ105" si="0">$C$102*E75</f>
        <v>70.548046737109814</v>
      </c>
      <c r="F105">
        <f t="shared" si="0"/>
        <v>89.400913290831824</v>
      </c>
      <c r="G105">
        <f t="shared" si="0"/>
        <v>108.98820856869762</v>
      </c>
      <c r="H105">
        <f t="shared" si="0"/>
        <v>119.79196838630237</v>
      </c>
      <c r="I105">
        <f t="shared" si="0"/>
        <v>128.65368819013963</v>
      </c>
      <c r="J105">
        <f t="shared" si="0"/>
        <v>140.57014781765065</v>
      </c>
      <c r="K105">
        <f t="shared" si="0"/>
        <v>150.79535061467453</v>
      </c>
      <c r="L105">
        <f t="shared" si="0"/>
        <v>148.47284411723192</v>
      </c>
      <c r="M105">
        <f t="shared" si="0"/>
        <v>149.55521012346844</v>
      </c>
      <c r="N105">
        <f t="shared" si="0"/>
        <v>150.56669171642363</v>
      </c>
      <c r="O105">
        <f t="shared" si="0"/>
        <v>160.39083882022274</v>
      </c>
      <c r="P105">
        <f t="shared" si="0"/>
        <v>166.49798914728845</v>
      </c>
      <c r="Q105">
        <f t="shared" si="0"/>
        <v>175.62080415683013</v>
      </c>
      <c r="R105">
        <f t="shared" si="0"/>
        <v>182.58235984608356</v>
      </c>
      <c r="S105">
        <f t="shared" si="0"/>
        <v>191.39927681155947</v>
      </c>
      <c r="T105">
        <f t="shared" si="0"/>
        <v>200.99510717714912</v>
      </c>
      <c r="U105">
        <f t="shared" si="0"/>
        <v>209.68137087270119</v>
      </c>
      <c r="V105">
        <f t="shared" si="0"/>
        <v>218.45901220048447</v>
      </c>
      <c r="W105">
        <f t="shared" si="0"/>
        <v>225.64426546738861</v>
      </c>
      <c r="X105">
        <f t="shared" si="0"/>
        <v>234.02745355215762</v>
      </c>
      <c r="Y105">
        <f t="shared" si="0"/>
        <v>241.37216965482381</v>
      </c>
      <c r="Z105">
        <f t="shared" si="0"/>
        <v>249.18908674167477</v>
      </c>
      <c r="AA105">
        <f t="shared" si="0"/>
        <v>255.00290760031291</v>
      </c>
      <c r="AB105">
        <f t="shared" si="0"/>
        <v>260.27771879138987</v>
      </c>
      <c r="AC105">
        <f t="shared" si="0"/>
        <v>265.96741761148252</v>
      </c>
      <c r="AD105">
        <f t="shared" si="0"/>
        <v>271.34922271197399</v>
      </c>
      <c r="AE105">
        <f t="shared" si="0"/>
        <v>276.616190542102</v>
      </c>
      <c r="AF105">
        <f t="shared" si="0"/>
        <v>284.3151282146801</v>
      </c>
      <c r="AG105">
        <f t="shared" si="0"/>
        <v>290.90063298785145</v>
      </c>
      <c r="AH105">
        <f t="shared" si="0"/>
        <v>297.84135174987819</v>
      </c>
      <c r="AI105">
        <f t="shared" si="0"/>
        <v>304.5395208449147</v>
      </c>
      <c r="AJ105">
        <f t="shared" si="0"/>
        <v>310.83366860166183</v>
      </c>
    </row>
    <row r="106" spans="2:36" x14ac:dyDescent="0.25">
      <c r="B106" t="s">
        <v>69</v>
      </c>
      <c r="D106">
        <f>$C$102*D76</f>
        <v>22.607589958548914</v>
      </c>
      <c r="E106">
        <f t="shared" ref="E106:AJ106" si="1">$C$102*E76</f>
        <v>25.178275507192197</v>
      </c>
      <c r="F106">
        <f t="shared" si="1"/>
        <v>27.90486527234351</v>
      </c>
      <c r="G106">
        <f t="shared" si="1"/>
        <v>32.143610439255788</v>
      </c>
      <c r="H106">
        <f t="shared" si="1"/>
        <v>33.145199581602441</v>
      </c>
      <c r="I106">
        <f t="shared" si="1"/>
        <v>33.482512097703932</v>
      </c>
      <c r="J106">
        <f t="shared" si="1"/>
        <v>34.191960816472744</v>
      </c>
      <c r="K106">
        <f t="shared" si="1"/>
        <v>34.551376716424727</v>
      </c>
      <c r="L106">
        <f t="shared" si="1"/>
        <v>34.473721095265404</v>
      </c>
      <c r="M106">
        <f t="shared" si="1"/>
        <v>34.967033044357031</v>
      </c>
      <c r="N106">
        <f t="shared" si="1"/>
        <v>35.367460153976346</v>
      </c>
      <c r="O106">
        <f t="shared" si="1"/>
        <v>38.160846990738037</v>
      </c>
      <c r="P106">
        <f t="shared" si="1"/>
        <v>38.764970797941338</v>
      </c>
      <c r="Q106">
        <f t="shared" si="1"/>
        <v>39.858361014923304</v>
      </c>
      <c r="R106">
        <f t="shared" si="1"/>
        <v>40.703634884241616</v>
      </c>
      <c r="S106">
        <f t="shared" si="1"/>
        <v>41.550021934871062</v>
      </c>
      <c r="T106">
        <f t="shared" si="1"/>
        <v>42.616129146199455</v>
      </c>
      <c r="U106">
        <f t="shared" si="1"/>
        <v>43.416496445379174</v>
      </c>
      <c r="V106">
        <f t="shared" si="1"/>
        <v>44.729705910130896</v>
      </c>
      <c r="W106">
        <f t="shared" si="1"/>
        <v>45.917961933883653</v>
      </c>
      <c r="X106">
        <f t="shared" si="1"/>
        <v>46.757494946036857</v>
      </c>
      <c r="Y106">
        <f t="shared" si="1"/>
        <v>47.991617445926686</v>
      </c>
      <c r="Z106">
        <f t="shared" si="1"/>
        <v>49.444127849883685</v>
      </c>
      <c r="AA106">
        <f t="shared" si="1"/>
        <v>50.425485425076879</v>
      </c>
      <c r="AB106">
        <f t="shared" si="1"/>
        <v>51.348123073166263</v>
      </c>
      <c r="AC106">
        <f t="shared" si="1"/>
        <v>52.317913781077777</v>
      </c>
      <c r="AD106">
        <f t="shared" si="1"/>
        <v>53.335791908924449</v>
      </c>
      <c r="AE106">
        <f t="shared" si="1"/>
        <v>54.345791840523923</v>
      </c>
      <c r="AF106">
        <f t="shared" si="1"/>
        <v>55.594442982171387</v>
      </c>
      <c r="AG106">
        <f t="shared" si="1"/>
        <v>56.715894967254094</v>
      </c>
      <c r="AH106">
        <f t="shared" si="1"/>
        <v>57.898575795038262</v>
      </c>
      <c r="AI106">
        <f t="shared" si="1"/>
        <v>59.028934778845581</v>
      </c>
      <c r="AJ106">
        <f t="shared" si="1"/>
        <v>60.320764659834374</v>
      </c>
    </row>
    <row r="107" spans="2:36" x14ac:dyDescent="0.25">
      <c r="B107" t="s">
        <v>207</v>
      </c>
      <c r="D107">
        <f>D105/(D105+D106)</f>
        <v>0.59599758259770264</v>
      </c>
      <c r="E107">
        <f t="shared" ref="E107:AJ107" si="2">E105/(E105+E106)</f>
        <v>0.73697646669288075</v>
      </c>
      <c r="F107">
        <f t="shared" si="2"/>
        <v>0.76211857920268378</v>
      </c>
      <c r="G107">
        <f t="shared" si="2"/>
        <v>0.77224405761081882</v>
      </c>
      <c r="H107">
        <f t="shared" si="2"/>
        <v>0.78327570712857542</v>
      </c>
      <c r="I107">
        <f t="shared" si="2"/>
        <v>0.79349144707806296</v>
      </c>
      <c r="J107">
        <f t="shared" si="2"/>
        <v>0.80435140612742329</v>
      </c>
      <c r="K107">
        <f t="shared" si="2"/>
        <v>0.81358518052113804</v>
      </c>
      <c r="L107">
        <f t="shared" si="2"/>
        <v>0.81156398834149601</v>
      </c>
      <c r="M107">
        <f t="shared" si="2"/>
        <v>0.81049963167554795</v>
      </c>
      <c r="N107">
        <f t="shared" si="2"/>
        <v>0.80978502443903799</v>
      </c>
      <c r="O107">
        <f t="shared" si="2"/>
        <v>0.80780396381488984</v>
      </c>
      <c r="P107">
        <f t="shared" si="2"/>
        <v>0.81114483193516751</v>
      </c>
      <c r="Q107">
        <f t="shared" si="2"/>
        <v>0.81502452460703967</v>
      </c>
      <c r="R107">
        <f t="shared" si="2"/>
        <v>0.81770627874174717</v>
      </c>
      <c r="S107">
        <f t="shared" si="2"/>
        <v>0.82163491301126856</v>
      </c>
      <c r="T107">
        <f t="shared" si="2"/>
        <v>0.82506501018025924</v>
      </c>
      <c r="U107">
        <f t="shared" si="2"/>
        <v>0.82845965117985143</v>
      </c>
      <c r="V107">
        <f t="shared" si="2"/>
        <v>0.83004702393310237</v>
      </c>
      <c r="W107">
        <f t="shared" si="2"/>
        <v>0.8309118231452961</v>
      </c>
      <c r="X107">
        <f t="shared" si="2"/>
        <v>0.83347577854110833</v>
      </c>
      <c r="Y107">
        <f t="shared" si="2"/>
        <v>0.83414781121448012</v>
      </c>
      <c r="Z107">
        <f t="shared" si="2"/>
        <v>0.8344319203826388</v>
      </c>
      <c r="AA107">
        <f t="shared" si="2"/>
        <v>0.83490243023710942</v>
      </c>
      <c r="AB107">
        <f t="shared" si="2"/>
        <v>0.83522508028880338</v>
      </c>
      <c r="AC107">
        <f t="shared" si="2"/>
        <v>0.83562574639498244</v>
      </c>
      <c r="AD107">
        <f t="shared" si="2"/>
        <v>0.83573066354417624</v>
      </c>
      <c r="AE107">
        <f t="shared" si="2"/>
        <v>0.8357944575709767</v>
      </c>
      <c r="AF107">
        <f t="shared" si="2"/>
        <v>0.83644343174445346</v>
      </c>
      <c r="AG107">
        <f t="shared" si="2"/>
        <v>0.83684350309551758</v>
      </c>
      <c r="AH107">
        <f t="shared" si="2"/>
        <v>0.83724465174708884</v>
      </c>
      <c r="AI107">
        <f t="shared" si="2"/>
        <v>0.83764010913000697</v>
      </c>
      <c r="AJ107">
        <f t="shared" si="2"/>
        <v>0.83747798960726549</v>
      </c>
    </row>
    <row r="108" spans="2:36" x14ac:dyDescent="0.25">
      <c r="B108" t="s">
        <v>208</v>
      </c>
      <c r="D108">
        <f>D105+D106</f>
        <v>55.959046245103863</v>
      </c>
      <c r="E108">
        <f t="shared" ref="E108:P108" si="3">E105+E106</f>
        <v>95.726322244302011</v>
      </c>
      <c r="F108">
        <f t="shared" si="3"/>
        <v>117.30577856317534</v>
      </c>
      <c r="G108">
        <f t="shared" si="3"/>
        <v>141.1318190079534</v>
      </c>
      <c r="H108">
        <f t="shared" si="3"/>
        <v>152.93716796790483</v>
      </c>
      <c r="I108">
        <f t="shared" si="3"/>
        <v>162.13620028784356</v>
      </c>
      <c r="J108">
        <f t="shared" si="3"/>
        <v>174.76210863412339</v>
      </c>
      <c r="K108">
        <f t="shared" si="3"/>
        <v>185.34672733109926</v>
      </c>
      <c r="L108">
        <f t="shared" si="3"/>
        <v>182.94656521249732</v>
      </c>
      <c r="M108">
        <f t="shared" si="3"/>
        <v>184.52224316782548</v>
      </c>
      <c r="N108">
        <f t="shared" si="3"/>
        <v>185.93415187039997</v>
      </c>
      <c r="O108">
        <f t="shared" si="3"/>
        <v>198.55168581096078</v>
      </c>
      <c r="P108">
        <f t="shared" si="3"/>
        <v>205.2629599452298</v>
      </c>
    </row>
    <row r="109" spans="2:36" x14ac:dyDescent="0.25">
      <c r="B109" t="s">
        <v>209</v>
      </c>
      <c r="D109">
        <v>380</v>
      </c>
      <c r="E109">
        <f>D109+E108</f>
        <v>475.72632224430203</v>
      </c>
      <c r="F109">
        <f t="shared" ref="F109:P109" si="4">E109+F108</f>
        <v>593.03210080747738</v>
      </c>
      <c r="G109">
        <f t="shared" si="4"/>
        <v>734.16391981543075</v>
      </c>
      <c r="H109">
        <f t="shared" si="4"/>
        <v>887.10108778333552</v>
      </c>
      <c r="I109">
        <f t="shared" si="4"/>
        <v>1049.2372880711791</v>
      </c>
      <c r="J109">
        <f t="shared" si="4"/>
        <v>1223.9993967053026</v>
      </c>
      <c r="K109">
        <f t="shared" si="4"/>
        <v>1409.3461240364018</v>
      </c>
      <c r="L109">
        <f t="shared" si="4"/>
        <v>1592.292689248899</v>
      </c>
      <c r="M109">
        <f t="shared" si="4"/>
        <v>1776.8149324167246</v>
      </c>
      <c r="N109">
        <f t="shared" si="4"/>
        <v>1962.7490842871246</v>
      </c>
      <c r="O109">
        <f t="shared" si="4"/>
        <v>2161.3007700980852</v>
      </c>
      <c r="P109">
        <f t="shared" si="4"/>
        <v>2366.563730043315</v>
      </c>
    </row>
  </sheetData>
  <mergeCells count="1">
    <mergeCell ref="B87:AK8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tabSelected="1" workbookViewId="0">
      <selection activeCell="J17" sqref="J17:R17"/>
    </sheetView>
  </sheetViews>
  <sheetFormatPr defaultRowHeight="15" x14ac:dyDescent="0.25"/>
  <cols>
    <col min="1" max="1" width="23.5703125" customWidth="1"/>
    <col min="3" max="3" width="20" bestFit="1" customWidth="1"/>
  </cols>
  <sheetData>
    <row r="1" spans="1:37" ht="14.45" x14ac:dyDescent="0.35">
      <c r="A1" t="s">
        <v>684</v>
      </c>
    </row>
    <row r="2" spans="1:37" ht="14.45" x14ac:dyDescent="0.35">
      <c r="A2" t="s">
        <v>682</v>
      </c>
    </row>
    <row r="3" spans="1:37" ht="14.45" x14ac:dyDescent="0.35">
      <c r="A3" t="s">
        <v>683</v>
      </c>
    </row>
    <row r="5" spans="1:37" ht="14.45" x14ac:dyDescent="0.35">
      <c r="A5" t="s">
        <v>685</v>
      </c>
    </row>
    <row r="7" spans="1:37" ht="14.45" x14ac:dyDescent="0.35">
      <c r="A7" t="s">
        <v>686</v>
      </c>
    </row>
    <row r="8" spans="1:37" ht="14.45" x14ac:dyDescent="0.35">
      <c r="A8" t="s">
        <v>59</v>
      </c>
      <c r="B8">
        <v>2015</v>
      </c>
      <c r="C8">
        <v>2016</v>
      </c>
      <c r="D8">
        <v>2017</v>
      </c>
      <c r="E8">
        <v>2018</v>
      </c>
      <c r="F8">
        <v>2019</v>
      </c>
      <c r="G8">
        <v>2020</v>
      </c>
      <c r="H8">
        <v>2021</v>
      </c>
      <c r="I8">
        <v>2022</v>
      </c>
      <c r="J8">
        <v>2023</v>
      </c>
      <c r="K8">
        <v>2024</v>
      </c>
      <c r="L8">
        <v>2025</v>
      </c>
      <c r="M8">
        <v>2026</v>
      </c>
      <c r="N8">
        <v>2027</v>
      </c>
      <c r="O8">
        <v>2028</v>
      </c>
      <c r="P8">
        <v>2029</v>
      </c>
      <c r="Q8">
        <v>2030</v>
      </c>
      <c r="R8">
        <v>2031</v>
      </c>
      <c r="S8">
        <v>2032</v>
      </c>
      <c r="T8">
        <v>2033</v>
      </c>
      <c r="U8">
        <v>2034</v>
      </c>
      <c r="V8">
        <v>2035</v>
      </c>
      <c r="W8">
        <v>2036</v>
      </c>
      <c r="X8">
        <v>2037</v>
      </c>
      <c r="Y8">
        <v>2038</v>
      </c>
      <c r="Z8">
        <v>2039</v>
      </c>
      <c r="AA8">
        <v>2040</v>
      </c>
      <c r="AB8">
        <v>2041</v>
      </c>
      <c r="AC8">
        <v>2042</v>
      </c>
      <c r="AD8">
        <v>2043</v>
      </c>
      <c r="AE8">
        <v>2044</v>
      </c>
      <c r="AF8">
        <v>2045</v>
      </c>
      <c r="AG8">
        <v>2046</v>
      </c>
      <c r="AH8">
        <v>2047</v>
      </c>
      <c r="AI8">
        <v>2048</v>
      </c>
      <c r="AJ8">
        <v>2049</v>
      </c>
      <c r="AK8">
        <v>2050</v>
      </c>
    </row>
    <row r="9" spans="1:37" ht="14.45" x14ac:dyDescent="0.35">
      <c r="A9" t="s">
        <v>656</v>
      </c>
      <c r="B9" s="34">
        <v>19227.5514450228</v>
      </c>
      <c r="C9" s="34">
        <v>19779.693417444101</v>
      </c>
      <c r="D9" s="34">
        <v>16150.503133252399</v>
      </c>
      <c r="E9" s="34">
        <v>18718.057586186998</v>
      </c>
      <c r="F9" s="34">
        <v>21159.104381405701</v>
      </c>
      <c r="G9" s="34">
        <v>20586.965828815901</v>
      </c>
      <c r="H9" s="34">
        <v>19962.016858090599</v>
      </c>
      <c r="I9" s="34">
        <v>19281.472189766799</v>
      </c>
      <c r="J9" s="34">
        <v>11498.8574763859</v>
      </c>
      <c r="K9" s="34">
        <v>23370.497943699502</v>
      </c>
      <c r="L9" s="34">
        <v>22487.6476705368</v>
      </c>
      <c r="M9" s="34">
        <v>21647.534401361601</v>
      </c>
      <c r="N9" s="34">
        <v>19932.6084041332</v>
      </c>
      <c r="O9" s="34">
        <v>19265.505092253599</v>
      </c>
      <c r="P9" s="34">
        <v>20037.657590880801</v>
      </c>
      <c r="Q9" s="34">
        <v>19950.689792741101</v>
      </c>
      <c r="R9" s="34">
        <v>20469.712858465999</v>
      </c>
      <c r="S9" s="34">
        <v>20414.332655237598</v>
      </c>
      <c r="T9" s="34">
        <v>20382.5458562901</v>
      </c>
      <c r="U9" s="34">
        <v>21318.824735948401</v>
      </c>
      <c r="V9" s="34">
        <v>23043.463065157401</v>
      </c>
      <c r="W9" s="34">
        <v>22623.3471838394</v>
      </c>
      <c r="X9" s="34">
        <v>23013.1930385919</v>
      </c>
      <c r="Y9" s="34">
        <v>23893.493046286399</v>
      </c>
      <c r="Z9" s="34">
        <v>24350.627220627</v>
      </c>
      <c r="AA9" s="34">
        <v>24833.264453746298</v>
      </c>
      <c r="AB9" s="34">
        <v>22126.011585705899</v>
      </c>
      <c r="AC9" s="34">
        <v>22145.417559946702</v>
      </c>
      <c r="AD9" s="34">
        <v>22311.778685466201</v>
      </c>
      <c r="AE9" s="34">
        <v>21979.104308335201</v>
      </c>
      <c r="AF9" s="34">
        <v>21766.068004317302</v>
      </c>
      <c r="AG9" s="34">
        <v>21746.829401720301</v>
      </c>
      <c r="AH9" s="34">
        <v>21600.5588936241</v>
      </c>
      <c r="AI9" s="34">
        <v>21851.378408000499</v>
      </c>
      <c r="AJ9" s="34">
        <v>21979.569856596201</v>
      </c>
      <c r="AK9" s="34">
        <v>22122.7353381748</v>
      </c>
    </row>
    <row r="10" spans="1:37" ht="14.45" x14ac:dyDescent="0.35">
      <c r="A10" t="s">
        <v>657</v>
      </c>
      <c r="B10">
        <v>718.06839447623804</v>
      </c>
      <c r="C10">
        <v>739.18766749968904</v>
      </c>
      <c r="D10">
        <v>611.52106385585796</v>
      </c>
      <c r="E10">
        <v>844.94618387666503</v>
      </c>
      <c r="F10">
        <v>1520.1501006163401</v>
      </c>
      <c r="G10">
        <v>1639.16135297192</v>
      </c>
      <c r="H10">
        <v>1599.1396743155201</v>
      </c>
      <c r="I10">
        <v>1545.88935040606</v>
      </c>
      <c r="J10">
        <v>921.04359128528097</v>
      </c>
      <c r="K10">
        <v>1864.73485273604</v>
      </c>
      <c r="L10">
        <v>1779.35787204024</v>
      </c>
      <c r="M10">
        <v>1692.1988099451801</v>
      </c>
      <c r="N10">
        <v>1540.85014628058</v>
      </c>
      <c r="O10">
        <v>1481.61608706474</v>
      </c>
      <c r="P10">
        <v>1544.2237928085401</v>
      </c>
      <c r="Q10">
        <v>1552.5800163087899</v>
      </c>
      <c r="R10">
        <v>1616.6596446706701</v>
      </c>
      <c r="S10">
        <v>1649.9994044134501</v>
      </c>
      <c r="T10">
        <v>1697.5087747642999</v>
      </c>
      <c r="U10">
        <v>1831.1980719870901</v>
      </c>
      <c r="V10">
        <v>2035.7157807666799</v>
      </c>
      <c r="W10">
        <v>2084.4423062492301</v>
      </c>
      <c r="X10">
        <v>2204.3306283504699</v>
      </c>
      <c r="Y10">
        <v>2374.47972228967</v>
      </c>
      <c r="Z10">
        <v>2533.1982089570702</v>
      </c>
      <c r="AA10">
        <v>2731.36722038366</v>
      </c>
      <c r="AB10">
        <v>2689.8909711395299</v>
      </c>
      <c r="AC10">
        <v>2943.2298303172802</v>
      </c>
      <c r="AD10">
        <v>3258.9320534739099</v>
      </c>
      <c r="AE10">
        <v>3519.0179335750299</v>
      </c>
      <c r="AF10">
        <v>3746.7550700923598</v>
      </c>
      <c r="AG10">
        <v>3935.58548978409</v>
      </c>
      <c r="AH10">
        <v>4047.67577431876</v>
      </c>
      <c r="AI10">
        <v>4181.5447204356597</v>
      </c>
      <c r="AJ10">
        <v>4275.7537962282504</v>
      </c>
      <c r="AK10">
        <v>4365.5468092854298</v>
      </c>
    </row>
    <row r="11" spans="1:37" ht="14.45" x14ac:dyDescent="0.35">
      <c r="A11" t="s">
        <v>658</v>
      </c>
      <c r="B11" s="34">
        <v>1.6303486920315001E-5</v>
      </c>
      <c r="C11" s="34">
        <v>3.1421627167318197E-5</v>
      </c>
      <c r="D11">
        <v>0.80841811668465002</v>
      </c>
      <c r="E11">
        <v>1.8880200532012601</v>
      </c>
      <c r="F11">
        <v>3.2849707566567399</v>
      </c>
      <c r="G11">
        <v>4.2949056187394596</v>
      </c>
      <c r="H11">
        <v>7.0840491263605996</v>
      </c>
      <c r="I11">
        <v>9.6754169567094799</v>
      </c>
      <c r="J11">
        <v>7.4642437885058301</v>
      </c>
      <c r="K11">
        <v>18.621920190143001</v>
      </c>
      <c r="L11">
        <v>21.246144719688701</v>
      </c>
      <c r="M11">
        <v>23.6655505933421</v>
      </c>
      <c r="N11">
        <v>24.774792388047501</v>
      </c>
      <c r="O11">
        <v>26.8796591018051</v>
      </c>
      <c r="P11">
        <v>31.086053778162199</v>
      </c>
      <c r="Q11">
        <v>34.193576702336301</v>
      </c>
      <c r="R11">
        <v>35.5120608874524</v>
      </c>
      <c r="S11">
        <v>36.155146010328103</v>
      </c>
      <c r="T11">
        <v>37.316356534391097</v>
      </c>
      <c r="U11">
        <v>41.046975565910898</v>
      </c>
      <c r="V11">
        <v>47.892099868797402</v>
      </c>
      <c r="W11">
        <v>53.284632438253098</v>
      </c>
      <c r="X11">
        <v>65.027984783590597</v>
      </c>
      <c r="Y11">
        <v>86.881338089737895</v>
      </c>
      <c r="Z11">
        <v>122.825756298931</v>
      </c>
      <c r="AA11">
        <v>183.956192216701</v>
      </c>
      <c r="AB11">
        <v>248.34442292444001</v>
      </c>
      <c r="AC11">
        <v>367.68327828629901</v>
      </c>
      <c r="AD11">
        <v>518.79787788275905</v>
      </c>
      <c r="AE11">
        <v>662.67166376314196</v>
      </c>
      <c r="AF11">
        <v>785.45458076422199</v>
      </c>
      <c r="AG11">
        <v>879.559387030631</v>
      </c>
      <c r="AH11">
        <v>935.81092594530503</v>
      </c>
      <c r="AI11">
        <v>985.44482796615398</v>
      </c>
      <c r="AJ11">
        <v>1015.7825064669599</v>
      </c>
      <c r="AK11">
        <v>1039.5271976552201</v>
      </c>
    </row>
    <row r="12" spans="1:37" ht="14.45" x14ac:dyDescent="0.35">
      <c r="A12" t="s">
        <v>659</v>
      </c>
      <c r="B12">
        <v>0.144626930304637</v>
      </c>
      <c r="C12">
        <v>0.21143082688114201</v>
      </c>
      <c r="D12">
        <v>8.3292595145867594</v>
      </c>
      <c r="E12">
        <v>19.286596361864198</v>
      </c>
      <c r="F12">
        <v>33.518910491329599</v>
      </c>
      <c r="G12">
        <v>43.880248864539602</v>
      </c>
      <c r="H12">
        <v>42.955440246136298</v>
      </c>
      <c r="I12">
        <v>69.847309842132702</v>
      </c>
      <c r="J12">
        <v>58.742816258044499</v>
      </c>
      <c r="K12">
        <v>154.56655382202101</v>
      </c>
      <c r="L12">
        <v>183.14050426608401</v>
      </c>
      <c r="M12">
        <v>210.17704740641099</v>
      </c>
      <c r="N12">
        <v>225.785790814883</v>
      </c>
      <c r="O12">
        <v>250.91733055783101</v>
      </c>
      <c r="P12">
        <v>297.09845709934598</v>
      </c>
      <c r="Q12">
        <v>334.72810084859202</v>
      </c>
      <c r="R12">
        <v>356.79552149389099</v>
      </c>
      <c r="S12">
        <v>374.05220582660797</v>
      </c>
      <c r="T12">
        <v>397.43618847419299</v>
      </c>
      <c r="U12">
        <v>446.973366731478</v>
      </c>
      <c r="V12">
        <v>523.60102102062899</v>
      </c>
      <c r="W12">
        <v>563.40134612002203</v>
      </c>
      <c r="X12">
        <v>628.88941585493001</v>
      </c>
      <c r="Y12">
        <v>714.16673822715495</v>
      </c>
      <c r="Z12">
        <v>793.47087771687802</v>
      </c>
      <c r="AA12">
        <v>876.43108682759703</v>
      </c>
      <c r="AB12">
        <v>855.49988071077803</v>
      </c>
      <c r="AC12">
        <v>920.13968095432995</v>
      </c>
      <c r="AD12">
        <v>989.40015829213098</v>
      </c>
      <c r="AE12">
        <v>1037.4270665725501</v>
      </c>
      <c r="AF12">
        <v>1084.5635855615201</v>
      </c>
      <c r="AG12">
        <v>1133.7183610458001</v>
      </c>
      <c r="AH12">
        <v>1173.42891023119</v>
      </c>
      <c r="AI12">
        <v>1226.8994563528399</v>
      </c>
      <c r="AJ12">
        <v>1274.71783536104</v>
      </c>
      <c r="AK12">
        <v>1324.2926262747501</v>
      </c>
    </row>
    <row r="13" spans="1:37" ht="14.45" x14ac:dyDescent="0.35">
      <c r="A13" t="s">
        <v>61</v>
      </c>
      <c r="B13" s="34">
        <f>SUM(B9:B12)</f>
        <v>19945.764482732829</v>
      </c>
      <c r="C13" s="34">
        <f t="shared" ref="C13:AK13" si="0">SUM(C9:C12)</f>
        <v>20519.0925471923</v>
      </c>
      <c r="D13" s="34">
        <f t="shared" si="0"/>
        <v>16771.16187473953</v>
      </c>
      <c r="E13" s="34">
        <f t="shared" si="0"/>
        <v>19584.178386478728</v>
      </c>
      <c r="F13" s="34">
        <f t="shared" si="0"/>
        <v>22716.058363270029</v>
      </c>
      <c r="G13" s="34">
        <f t="shared" si="0"/>
        <v>22274.302336271099</v>
      </c>
      <c r="H13" s="34">
        <f t="shared" si="0"/>
        <v>21611.196021778615</v>
      </c>
      <c r="I13" s="34">
        <f t="shared" si="0"/>
        <v>20906.884266971701</v>
      </c>
      <c r="J13" s="34">
        <f t="shared" si="0"/>
        <v>12486.108127717729</v>
      </c>
      <c r="K13" s="34">
        <f t="shared" si="0"/>
        <v>25408.421270447707</v>
      </c>
      <c r="L13" s="34">
        <f t="shared" si="0"/>
        <v>24471.392191562813</v>
      </c>
      <c r="M13" s="34">
        <f t="shared" si="0"/>
        <v>23573.575809306534</v>
      </c>
      <c r="N13" s="34">
        <f t="shared" si="0"/>
        <v>21724.019133616712</v>
      </c>
      <c r="O13" s="34">
        <f t="shared" si="0"/>
        <v>21024.918168977973</v>
      </c>
      <c r="P13" s="34">
        <f t="shared" si="0"/>
        <v>21910.065894566851</v>
      </c>
      <c r="Q13" s="34">
        <f t="shared" si="0"/>
        <v>21872.191486600819</v>
      </c>
      <c r="R13" s="34">
        <f t="shared" si="0"/>
        <v>22478.680085518015</v>
      </c>
      <c r="S13" s="34">
        <f t="shared" si="0"/>
        <v>22474.539411487985</v>
      </c>
      <c r="T13" s="34">
        <f t="shared" si="0"/>
        <v>22514.807176062983</v>
      </c>
      <c r="U13" s="34">
        <f t="shared" si="0"/>
        <v>23638.043150232883</v>
      </c>
      <c r="V13" s="34">
        <f t="shared" si="0"/>
        <v>25650.671966813508</v>
      </c>
      <c r="W13" s="34">
        <f t="shared" si="0"/>
        <v>25324.475468646906</v>
      </c>
      <c r="X13" s="34">
        <f t="shared" si="0"/>
        <v>25911.44106758089</v>
      </c>
      <c r="Y13" s="34">
        <f t="shared" si="0"/>
        <v>27069.020844892962</v>
      </c>
      <c r="Z13" s="34">
        <f t="shared" si="0"/>
        <v>27800.12206359988</v>
      </c>
      <c r="AA13" s="34">
        <f t="shared" si="0"/>
        <v>28625.018953174258</v>
      </c>
      <c r="AB13" s="34">
        <f t="shared" si="0"/>
        <v>25919.746860480649</v>
      </c>
      <c r="AC13" s="34">
        <f t="shared" si="0"/>
        <v>26376.470349504609</v>
      </c>
      <c r="AD13" s="34">
        <f t="shared" si="0"/>
        <v>27078.908775115</v>
      </c>
      <c r="AE13" s="34">
        <f t="shared" si="0"/>
        <v>27198.220972245923</v>
      </c>
      <c r="AF13" s="34">
        <f t="shared" si="0"/>
        <v>27382.841240735404</v>
      </c>
      <c r="AG13" s="34">
        <f t="shared" si="0"/>
        <v>27695.692639580822</v>
      </c>
      <c r="AH13" s="34">
        <f t="shared" si="0"/>
        <v>27757.474504119353</v>
      </c>
      <c r="AI13" s="34">
        <f t="shared" si="0"/>
        <v>28245.267412755155</v>
      </c>
      <c r="AJ13" s="34">
        <f t="shared" si="0"/>
        <v>28545.823994652452</v>
      </c>
      <c r="AK13" s="34">
        <f t="shared" si="0"/>
        <v>28852.101971390202</v>
      </c>
    </row>
    <row r="15" spans="1:37" ht="14.45" x14ac:dyDescent="0.35">
      <c r="A15" t="s">
        <v>656</v>
      </c>
      <c r="B15" s="33">
        <f>B9/$B$13</f>
        <v>0.9639917016802344</v>
      </c>
      <c r="C15" s="308">
        <f>C9/C13</f>
        <v>0.9639653104518322</v>
      </c>
      <c r="D15" s="308">
        <f t="shared" ref="D15:AK15" si="1">D9/D13</f>
        <v>0.9629925018837272</v>
      </c>
      <c r="E15" s="308">
        <f t="shared" si="1"/>
        <v>0.95577446328360061</v>
      </c>
      <c r="F15" s="308">
        <f t="shared" si="1"/>
        <v>0.93146020506877225</v>
      </c>
      <c r="G15" s="308">
        <f t="shared" si="1"/>
        <v>0.92424739136688616</v>
      </c>
      <c r="H15" s="308">
        <f t="shared" si="1"/>
        <v>0.92368866757647006</v>
      </c>
      <c r="I15" s="308">
        <f t="shared" si="1"/>
        <v>0.92225469580023944</v>
      </c>
      <c r="J15" s="308">
        <f t="shared" si="1"/>
        <v>0.9209320757730548</v>
      </c>
      <c r="K15" s="308">
        <f t="shared" si="1"/>
        <v>0.9197933903465898</v>
      </c>
      <c r="L15" s="308">
        <f t="shared" si="1"/>
        <v>0.91893618043888969</v>
      </c>
      <c r="M15" s="308">
        <f t="shared" si="1"/>
        <v>0.91829659515699957</v>
      </c>
      <c r="N15" s="308">
        <f t="shared" si="1"/>
        <v>0.91753778532116081</v>
      </c>
      <c r="O15" s="308">
        <f t="shared" si="1"/>
        <v>0.91631772059306427</v>
      </c>
      <c r="P15" s="308">
        <f t="shared" si="1"/>
        <v>0.91454118336767021</v>
      </c>
      <c r="Q15" s="308">
        <f t="shared" si="1"/>
        <v>0.91214864340242929</v>
      </c>
      <c r="R15" s="308">
        <f t="shared" si="1"/>
        <v>0.91062788298026887</v>
      </c>
      <c r="S15" s="308">
        <f t="shared" si="1"/>
        <v>0.90833152490781188</v>
      </c>
      <c r="T15" s="308">
        <f t="shared" si="1"/>
        <v>0.90529515517948411</v>
      </c>
      <c r="U15" s="308">
        <f t="shared" si="1"/>
        <v>0.90188619254374991</v>
      </c>
      <c r="V15" s="308">
        <f t="shared" si="1"/>
        <v>0.89835709157914934</v>
      </c>
      <c r="W15" s="308">
        <f t="shared" si="1"/>
        <v>0.89333922085961259</v>
      </c>
      <c r="X15" s="308">
        <f t="shared" si="1"/>
        <v>0.88814794123453311</v>
      </c>
      <c r="Y15" s="308">
        <f t="shared" si="1"/>
        <v>0.88268774785750403</v>
      </c>
      <c r="Z15" s="308">
        <f t="shared" si="1"/>
        <v>0.87591799650802693</v>
      </c>
      <c r="AA15" s="308">
        <f t="shared" si="1"/>
        <v>0.86753704842499368</v>
      </c>
      <c r="AB15" s="308">
        <f t="shared" si="1"/>
        <v>0.85363532694993305</v>
      </c>
      <c r="AC15" s="308">
        <f t="shared" si="1"/>
        <v>0.83958987940790297</v>
      </c>
      <c r="AD15" s="308">
        <f t="shared" si="1"/>
        <v>0.82395412868225693</v>
      </c>
      <c r="AE15" s="308">
        <f t="shared" si="1"/>
        <v>0.80810816011692443</v>
      </c>
      <c r="AF15" s="308">
        <f t="shared" si="1"/>
        <v>0.7948798232061306</v>
      </c>
      <c r="AG15" s="308">
        <f t="shared" si="1"/>
        <v>0.78520619378340417</v>
      </c>
      <c r="AH15" s="308">
        <f t="shared" si="1"/>
        <v>0.77818891233849341</v>
      </c>
      <c r="AI15" s="308">
        <f t="shared" si="1"/>
        <v>0.7736297231207212</v>
      </c>
      <c r="AJ15" s="308">
        <f t="shared" si="1"/>
        <v>0.76997496589041114</v>
      </c>
      <c r="AK15" s="308">
        <f t="shared" si="1"/>
        <v>0.76676338382942588</v>
      </c>
    </row>
    <row r="16" spans="1:37" ht="14.45" x14ac:dyDescent="0.35">
      <c r="A16" t="s">
        <v>657</v>
      </c>
      <c r="B16" s="35">
        <f t="shared" ref="B16:B18" si="2">B10/$B$13</f>
        <v>3.6001046492746581E-2</v>
      </c>
      <c r="C16" s="35">
        <f>C10/C13</f>
        <v>3.6024383914620761E-2</v>
      </c>
      <c r="D16" s="35">
        <f t="shared" ref="D16:AK16" si="3">D10/D13</f>
        <v>3.6462653477629461E-2</v>
      </c>
      <c r="E16" s="35">
        <f t="shared" si="3"/>
        <v>4.3144326363981203E-2</v>
      </c>
      <c r="F16" s="35">
        <f t="shared" si="3"/>
        <v>6.6919624712458742E-2</v>
      </c>
      <c r="G16" s="35">
        <f t="shared" si="3"/>
        <v>7.3589795461415516E-2</v>
      </c>
      <c r="H16" s="35">
        <f t="shared" si="3"/>
        <v>7.3995889570572224E-2</v>
      </c>
      <c r="I16" s="35">
        <f t="shared" si="3"/>
        <v>7.3941641933141927E-2</v>
      </c>
      <c r="J16" s="35">
        <f t="shared" si="3"/>
        <v>7.3765466538021546E-2</v>
      </c>
      <c r="K16" s="35">
        <f t="shared" si="3"/>
        <v>7.3390425673746817E-2</v>
      </c>
      <c r="L16" s="35">
        <f t="shared" si="3"/>
        <v>7.2711754938639031E-2</v>
      </c>
      <c r="M16" s="35">
        <f t="shared" si="3"/>
        <v>7.1783713410042888E-2</v>
      </c>
      <c r="N16" s="35">
        <f t="shared" si="3"/>
        <v>7.0928410475214504E-2</v>
      </c>
      <c r="O16" s="35">
        <f t="shared" si="3"/>
        <v>7.046952930598549E-2</v>
      </c>
      <c r="P16" s="35">
        <f t="shared" si="3"/>
        <v>7.0480107190890234E-2</v>
      </c>
      <c r="Q16" s="35">
        <f t="shared" si="3"/>
        <v>7.0984200063350766E-2</v>
      </c>
      <c r="R16" s="35">
        <f t="shared" si="3"/>
        <v>7.1919687389127879E-2</v>
      </c>
      <c r="S16" s="35">
        <f t="shared" si="3"/>
        <v>7.3416383499723417E-2</v>
      </c>
      <c r="T16" s="35">
        <f t="shared" si="3"/>
        <v>7.5395217089357827E-2</v>
      </c>
      <c r="U16" s="35">
        <f t="shared" si="3"/>
        <v>7.7468259971809422E-2</v>
      </c>
      <c r="V16" s="35">
        <f t="shared" si="3"/>
        <v>7.9363058535092623E-2</v>
      </c>
      <c r="W16" s="35">
        <f t="shared" si="3"/>
        <v>8.230939704278907E-2</v>
      </c>
      <c r="X16" s="35">
        <f t="shared" si="3"/>
        <v>8.5071711087054094E-2</v>
      </c>
      <c r="Y16" s="35">
        <f t="shared" si="3"/>
        <v>8.7719453758433846E-2</v>
      </c>
      <c r="Z16" s="35">
        <f t="shared" si="3"/>
        <v>9.1121837636602185E-2</v>
      </c>
      <c r="AA16" s="35">
        <f t="shared" si="3"/>
        <v>9.5418879018096717E-2</v>
      </c>
      <c r="AB16" s="35">
        <f t="shared" si="3"/>
        <v>0.1037776713491271</v>
      </c>
      <c r="AC16" s="35">
        <f t="shared" si="3"/>
        <v>0.11158543168656221</v>
      </c>
      <c r="AD16" s="35">
        <f t="shared" si="3"/>
        <v>0.12034946018462923</v>
      </c>
      <c r="AE16" s="35">
        <f t="shared" si="3"/>
        <v>0.1293841217470057</v>
      </c>
      <c r="AF16" s="35">
        <f t="shared" si="3"/>
        <v>0.1368285722125355</v>
      </c>
      <c r="AG16" s="35">
        <f t="shared" si="3"/>
        <v>0.14210099530638262</v>
      </c>
      <c r="AH16" s="35">
        <f t="shared" si="3"/>
        <v>0.14582291244536905</v>
      </c>
      <c r="AI16" s="35">
        <f t="shared" si="3"/>
        <v>0.14804408325577878</v>
      </c>
      <c r="AJ16" s="35">
        <f t="shared" si="3"/>
        <v>0.14978561477255783</v>
      </c>
      <c r="AK16" s="35">
        <f t="shared" si="3"/>
        <v>0.15130775614249228</v>
      </c>
    </row>
    <row r="17" spans="1:37" ht="14.45" x14ac:dyDescent="0.35">
      <c r="A17" t="s">
        <v>658</v>
      </c>
      <c r="B17" s="33">
        <f t="shared" si="2"/>
        <v>8.1739092700252371E-10</v>
      </c>
      <c r="C17" s="33">
        <f>C11/C13</f>
        <v>1.5313361005147243E-9</v>
      </c>
      <c r="D17" s="33">
        <f t="shared" ref="D17:AK17" si="4">D11/D13</f>
        <v>4.8202868872327633E-5</v>
      </c>
      <c r="E17" s="33">
        <f t="shared" si="4"/>
        <v>9.6405374580573844E-5</v>
      </c>
      <c r="F17" s="33">
        <f t="shared" si="4"/>
        <v>1.4461006853056267E-4</v>
      </c>
      <c r="G17" s="33">
        <f t="shared" si="4"/>
        <v>1.9281886156971605E-4</v>
      </c>
      <c r="H17" s="33">
        <f t="shared" si="4"/>
        <v>3.2779532975508026E-4</v>
      </c>
      <c r="I17" s="33">
        <f t="shared" si="4"/>
        <v>4.6278617287773098E-4</v>
      </c>
      <c r="J17" s="33">
        <f t="shared" si="4"/>
        <v>5.9780387228395562E-4</v>
      </c>
      <c r="K17" s="33">
        <f t="shared" si="4"/>
        <v>7.3290347290494505E-4</v>
      </c>
      <c r="L17" s="33">
        <f t="shared" si="4"/>
        <v>8.6820335162679854E-4</v>
      </c>
      <c r="M17" s="33">
        <f t="shared" si="4"/>
        <v>1.0039016051183569E-3</v>
      </c>
      <c r="N17" s="33">
        <f t="shared" si="4"/>
        <v>1.1404331876006262E-3</v>
      </c>
      <c r="O17" s="33">
        <f t="shared" si="4"/>
        <v>1.2784667643304186E-3</v>
      </c>
      <c r="P17" s="33">
        <f t="shared" si="4"/>
        <v>1.4188023864351209E-3</v>
      </c>
      <c r="Q17" s="33">
        <f t="shared" si="4"/>
        <v>1.5633356503523535E-3</v>
      </c>
      <c r="R17" s="33">
        <f t="shared" si="4"/>
        <v>1.5798107696871043E-3</v>
      </c>
      <c r="S17" s="33">
        <f t="shared" si="4"/>
        <v>1.6087157715831632E-3</v>
      </c>
      <c r="T17" s="33">
        <f t="shared" si="4"/>
        <v>1.6574139961573664E-3</v>
      </c>
      <c r="U17" s="33">
        <f t="shared" si="4"/>
        <v>1.736479424503737E-3</v>
      </c>
      <c r="V17" s="33">
        <f t="shared" si="4"/>
        <v>1.8670894832992894E-3</v>
      </c>
      <c r="W17" s="33">
        <f t="shared" si="4"/>
        <v>2.104076449844831E-3</v>
      </c>
      <c r="X17" s="33">
        <f t="shared" si="4"/>
        <v>2.5096244015910944E-3</v>
      </c>
      <c r="Y17" s="33">
        <f t="shared" si="4"/>
        <v>3.2096224901363418E-3</v>
      </c>
      <c r="Z17" s="33">
        <f t="shared" si="4"/>
        <v>4.4181732734099406E-3</v>
      </c>
      <c r="AA17" s="33">
        <f t="shared" si="4"/>
        <v>6.426412940289142E-3</v>
      </c>
      <c r="AB17" s="33">
        <f t="shared" si="4"/>
        <v>9.581282728616693E-3</v>
      </c>
      <c r="AC17" s="33">
        <f t="shared" si="4"/>
        <v>1.3939821113828623E-2</v>
      </c>
      <c r="AD17" s="33">
        <f t="shared" si="4"/>
        <v>1.9158743884078681E-2</v>
      </c>
      <c r="AE17" s="33">
        <f t="shared" si="4"/>
        <v>2.4364522386936881E-2</v>
      </c>
      <c r="AF17" s="33">
        <f t="shared" si="4"/>
        <v>2.8684188534671119E-2</v>
      </c>
      <c r="AG17" s="33">
        <f t="shared" si="4"/>
        <v>3.1757984841788135E-2</v>
      </c>
      <c r="AH17" s="33">
        <f t="shared" si="4"/>
        <v>3.3713835378158266E-2</v>
      </c>
      <c r="AI17" s="33">
        <f t="shared" si="4"/>
        <v>3.4888847521448545E-2</v>
      </c>
      <c r="AJ17" s="33">
        <f t="shared" si="4"/>
        <v>3.5584276938625016E-2</v>
      </c>
      <c r="AK17" s="33">
        <f t="shared" si="4"/>
        <v>3.6029513506018289E-2</v>
      </c>
    </row>
    <row r="18" spans="1:37" ht="14.45" x14ac:dyDescent="0.35">
      <c r="A18" t="s">
        <v>659</v>
      </c>
      <c r="B18" s="33">
        <f t="shared" si="2"/>
        <v>7.2510096281263836E-6</v>
      </c>
      <c r="C18" s="33">
        <f>C12/C13</f>
        <v>1.0304102210897862E-5</v>
      </c>
      <c r="D18" s="33">
        <f t="shared" ref="D18:AK18" si="5">D12/D13</f>
        <v>4.9664176977101172E-4</v>
      </c>
      <c r="E18" s="33">
        <f t="shared" si="5"/>
        <v>9.8480497783762092E-4</v>
      </c>
      <c r="F18" s="33">
        <f t="shared" si="5"/>
        <v>1.4755601502383388E-3</v>
      </c>
      <c r="G18" s="33">
        <f t="shared" si="5"/>
        <v>1.9699943101286607E-3</v>
      </c>
      <c r="H18" s="33">
        <f t="shared" si="5"/>
        <v>1.9876475232026994E-3</v>
      </c>
      <c r="I18" s="33">
        <f t="shared" si="5"/>
        <v>3.3408760937408619E-3</v>
      </c>
      <c r="J18" s="312">
        <f t="shared" si="5"/>
        <v>4.7046538166398049E-3</v>
      </c>
      <c r="K18" s="33">
        <f t="shared" si="5"/>
        <v>6.0832805067584381E-3</v>
      </c>
      <c r="L18" s="33">
        <f t="shared" si="5"/>
        <v>7.4838612708445227E-3</v>
      </c>
      <c r="M18" s="33">
        <f t="shared" si="5"/>
        <v>8.9157898278391812E-3</v>
      </c>
      <c r="N18" s="33">
        <f t="shared" si="5"/>
        <v>1.0393371016024012E-2</v>
      </c>
      <c r="O18" s="33">
        <f t="shared" si="5"/>
        <v>1.1934283336619909E-2</v>
      </c>
      <c r="P18" s="33">
        <f t="shared" si="5"/>
        <v>1.3559907055004292E-2</v>
      </c>
      <c r="Q18" s="33">
        <f t="shared" si="5"/>
        <v>1.5303820883867567E-2</v>
      </c>
      <c r="R18" s="33">
        <f t="shared" si="5"/>
        <v>1.5872618860916038E-2</v>
      </c>
      <c r="S18" s="33">
        <f t="shared" si="5"/>
        <v>1.6643375820881521E-2</v>
      </c>
      <c r="T18" s="33">
        <f t="shared" si="5"/>
        <v>1.7652213735000775E-2</v>
      </c>
      <c r="U18" s="33">
        <f t="shared" si="5"/>
        <v>1.8909068059936866E-2</v>
      </c>
      <c r="V18" s="33">
        <f t="shared" si="5"/>
        <v>2.0412760402458732E-2</v>
      </c>
      <c r="W18" s="33">
        <f t="shared" si="5"/>
        <v>2.224730564775345E-2</v>
      </c>
      <c r="X18" s="33">
        <f t="shared" si="5"/>
        <v>2.427072327682173E-2</v>
      </c>
      <c r="Y18" s="33">
        <f t="shared" si="5"/>
        <v>2.63831758939258E-2</v>
      </c>
      <c r="Z18" s="33">
        <f t="shared" si="5"/>
        <v>2.8541992581960999E-2</v>
      </c>
      <c r="AA18" s="33">
        <f t="shared" si="5"/>
        <v>3.0617659616620399E-2</v>
      </c>
      <c r="AB18" s="33">
        <f t="shared" si="5"/>
        <v>3.3005718972323093E-2</v>
      </c>
      <c r="AC18" s="33">
        <f t="shared" si="5"/>
        <v>3.4884867791706319E-2</v>
      </c>
      <c r="AD18" s="33">
        <f t="shared" si="5"/>
        <v>3.6537667249035191E-2</v>
      </c>
      <c r="AE18" s="33">
        <f t="shared" si="5"/>
        <v>3.8143195749132976E-2</v>
      </c>
      <c r="AF18" s="33">
        <f t="shared" si="5"/>
        <v>3.960741604666268E-2</v>
      </c>
      <c r="AG18" s="33">
        <f t="shared" si="5"/>
        <v>4.0934826068425023E-2</v>
      </c>
      <c r="AH18" s="33">
        <f t="shared" si="5"/>
        <v>4.2274339837979388E-2</v>
      </c>
      <c r="AI18" s="33">
        <f t="shared" si="5"/>
        <v>4.3437346102051411E-2</v>
      </c>
      <c r="AJ18" s="33">
        <f t="shared" si="5"/>
        <v>4.4655142398405998E-2</v>
      </c>
      <c r="AK18" s="33">
        <f t="shared" si="5"/>
        <v>4.589934652206349E-2</v>
      </c>
    </row>
    <row r="19" spans="1:37" ht="14.45" x14ac:dyDescent="0.35">
      <c r="A19" t="s">
        <v>197</v>
      </c>
      <c r="B19" s="71">
        <f>(B17+B18)</f>
        <v>7.2518270190533864E-6</v>
      </c>
      <c r="C19" s="71">
        <f t="shared" ref="C19:AK19" si="6">(C17+C18)</f>
        <v>1.0305633546998377E-5</v>
      </c>
      <c r="D19" s="71">
        <f t="shared" si="6"/>
        <v>5.4484463864333933E-4</v>
      </c>
      <c r="E19" s="71">
        <f t="shared" si="6"/>
        <v>1.0812103524181949E-3</v>
      </c>
      <c r="F19" s="71">
        <f t="shared" si="6"/>
        <v>1.6201702187689014E-3</v>
      </c>
      <c r="G19" s="71">
        <f t="shared" si="6"/>
        <v>2.1628131716983768E-3</v>
      </c>
      <c r="H19" s="71">
        <f t="shared" si="6"/>
        <v>2.3154428529577795E-3</v>
      </c>
      <c r="I19" s="71">
        <f t="shared" si="6"/>
        <v>3.8036622666185928E-3</v>
      </c>
      <c r="J19" s="71">
        <f t="shared" si="6"/>
        <v>5.3024576889237601E-3</v>
      </c>
      <c r="K19" s="71">
        <f t="shared" si="6"/>
        <v>6.8161839796633834E-3</v>
      </c>
      <c r="L19" s="71">
        <f t="shared" si="6"/>
        <v>8.3520646224713203E-3</v>
      </c>
      <c r="M19" s="71">
        <f t="shared" si="6"/>
        <v>9.9196914329575375E-3</v>
      </c>
      <c r="N19" s="71">
        <f t="shared" si="6"/>
        <v>1.1533804203624638E-2</v>
      </c>
      <c r="O19" s="71">
        <f t="shared" si="6"/>
        <v>1.3212750100950328E-2</v>
      </c>
      <c r="P19" s="71">
        <f t="shared" si="6"/>
        <v>1.4978709441439413E-2</v>
      </c>
      <c r="Q19" s="71">
        <f t="shared" si="6"/>
        <v>1.686715653421992E-2</v>
      </c>
      <c r="R19" s="71">
        <f t="shared" si="6"/>
        <v>1.7452429630603141E-2</v>
      </c>
      <c r="S19" s="71">
        <f t="shared" si="6"/>
        <v>1.8252091592464683E-2</v>
      </c>
      <c r="T19" s="71">
        <f t="shared" si="6"/>
        <v>1.930962773115814E-2</v>
      </c>
      <c r="U19" s="71">
        <f t="shared" si="6"/>
        <v>2.0645547484440602E-2</v>
      </c>
      <c r="V19" s="71">
        <f t="shared" si="6"/>
        <v>2.227984988575802E-2</v>
      </c>
      <c r="W19" s="71">
        <f t="shared" si="6"/>
        <v>2.4351382097598281E-2</v>
      </c>
      <c r="X19" s="71">
        <f t="shared" si="6"/>
        <v>2.6780347678412825E-2</v>
      </c>
      <c r="Y19" s="71">
        <f t="shared" si="6"/>
        <v>2.959279838406214E-2</v>
      </c>
      <c r="Z19" s="71">
        <f t="shared" si="6"/>
        <v>3.296016585537094E-2</v>
      </c>
      <c r="AA19" s="71">
        <f t="shared" si="6"/>
        <v>3.7044072556909544E-2</v>
      </c>
      <c r="AB19" s="71">
        <f t="shared" si="6"/>
        <v>4.2587001700939785E-2</v>
      </c>
      <c r="AC19" s="71">
        <f t="shared" si="6"/>
        <v>4.8824688905534944E-2</v>
      </c>
      <c r="AD19" s="71">
        <f t="shared" si="6"/>
        <v>5.5696411133113868E-2</v>
      </c>
      <c r="AE19" s="71">
        <f t="shared" si="6"/>
        <v>6.2507718136069854E-2</v>
      </c>
      <c r="AF19" s="71">
        <f t="shared" si="6"/>
        <v>6.8291604581333792E-2</v>
      </c>
      <c r="AG19" s="71">
        <f t="shared" si="6"/>
        <v>7.2692810910213151E-2</v>
      </c>
      <c r="AH19" s="71">
        <f t="shared" si="6"/>
        <v>7.5988175216137654E-2</v>
      </c>
      <c r="AI19" s="71">
        <f t="shared" si="6"/>
        <v>7.8326193623499962E-2</v>
      </c>
      <c r="AJ19" s="71">
        <f t="shared" si="6"/>
        <v>8.023941933703102E-2</v>
      </c>
      <c r="AK19" s="71">
        <f t="shared" si="6"/>
        <v>8.1928860028081779E-2</v>
      </c>
    </row>
    <row r="20" spans="1:37" ht="14.45" x14ac:dyDescent="0.35">
      <c r="A20" t="s">
        <v>666</v>
      </c>
    </row>
    <row r="23" spans="1:37" ht="14.45" x14ac:dyDescent="0.35">
      <c r="A23" t="s">
        <v>660</v>
      </c>
    </row>
    <row r="24" spans="1:37" ht="14.45" x14ac:dyDescent="0.35">
      <c r="A24" t="s">
        <v>59</v>
      </c>
      <c r="B24">
        <v>2015</v>
      </c>
      <c r="C24">
        <v>2016</v>
      </c>
      <c r="D24">
        <v>2017</v>
      </c>
      <c r="E24">
        <v>2018</v>
      </c>
      <c r="F24">
        <v>2019</v>
      </c>
      <c r="G24">
        <v>2020</v>
      </c>
      <c r="H24">
        <v>2021</v>
      </c>
      <c r="I24">
        <v>2022</v>
      </c>
      <c r="J24">
        <v>2023</v>
      </c>
      <c r="K24">
        <v>2024</v>
      </c>
      <c r="L24">
        <v>2025</v>
      </c>
      <c r="M24">
        <v>2026</v>
      </c>
      <c r="N24">
        <v>2027</v>
      </c>
      <c r="O24">
        <v>2028</v>
      </c>
      <c r="P24">
        <v>2029</v>
      </c>
      <c r="Q24">
        <v>2030</v>
      </c>
      <c r="R24">
        <v>2031</v>
      </c>
      <c r="S24">
        <v>2032</v>
      </c>
      <c r="T24">
        <v>2033</v>
      </c>
      <c r="U24">
        <v>2034</v>
      </c>
      <c r="V24">
        <v>2035</v>
      </c>
      <c r="W24">
        <v>2036</v>
      </c>
      <c r="X24">
        <v>2037</v>
      </c>
      <c r="Y24">
        <v>2038</v>
      </c>
      <c r="Z24">
        <v>2039</v>
      </c>
      <c r="AA24">
        <v>2040</v>
      </c>
      <c r="AB24">
        <v>2041</v>
      </c>
      <c r="AC24">
        <v>2042</v>
      </c>
      <c r="AD24">
        <v>2043</v>
      </c>
      <c r="AE24">
        <v>2044</v>
      </c>
      <c r="AF24">
        <v>2045</v>
      </c>
      <c r="AG24">
        <v>2046</v>
      </c>
      <c r="AH24">
        <v>2047</v>
      </c>
      <c r="AI24">
        <v>2048</v>
      </c>
      <c r="AJ24">
        <v>2049</v>
      </c>
      <c r="AK24">
        <v>2050</v>
      </c>
    </row>
    <row r="25" spans="1:37" ht="14.45" x14ac:dyDescent="0.35">
      <c r="A25" t="s">
        <v>62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ht="14.45" x14ac:dyDescent="0.35">
      <c r="A26" t="s">
        <v>63</v>
      </c>
      <c r="B26" s="34">
        <v>18350.241684553799</v>
      </c>
      <c r="C26" s="34">
        <v>21032.835758033099</v>
      </c>
      <c r="D26" s="34">
        <v>13918.1541983109</v>
      </c>
      <c r="E26">
        <v>5044.7779911718399</v>
      </c>
      <c r="F26">
        <v>4892.4444962153102</v>
      </c>
      <c r="G26">
        <v>4905.5409723054199</v>
      </c>
      <c r="H26">
        <v>4621.6856396044404</v>
      </c>
      <c r="I26">
        <v>6374.7950442564697</v>
      </c>
      <c r="J26">
        <v>6766.70468919002</v>
      </c>
      <c r="K26" s="34">
        <v>11687.689415793</v>
      </c>
      <c r="L26" s="34">
        <v>17547.682605702401</v>
      </c>
      <c r="M26" s="34">
        <v>25141.281137301699</v>
      </c>
      <c r="N26" s="34">
        <v>29981.8273198141</v>
      </c>
      <c r="O26" s="34">
        <v>29327.5553591924</v>
      </c>
      <c r="P26" s="34">
        <v>28821.677701105298</v>
      </c>
      <c r="Q26" s="34">
        <v>28322.590326518399</v>
      </c>
      <c r="R26" s="34">
        <v>27264.968799982798</v>
      </c>
      <c r="S26" s="34">
        <v>25962.1358419403</v>
      </c>
      <c r="T26" s="34">
        <v>23198.299827608502</v>
      </c>
      <c r="U26" s="34">
        <v>20646.666952813499</v>
      </c>
      <c r="V26" s="34">
        <v>18088.0129776623</v>
      </c>
      <c r="W26" s="34">
        <v>15778.3791332121</v>
      </c>
      <c r="X26" s="34">
        <v>13836.0243435633</v>
      </c>
      <c r="Y26" s="34">
        <v>12431.2334535422</v>
      </c>
      <c r="Z26" s="34">
        <v>11424.5015457849</v>
      </c>
      <c r="AA26" s="34">
        <v>11045.9850555214</v>
      </c>
      <c r="AB26" s="34">
        <v>10090.4993875161</v>
      </c>
      <c r="AC26" s="34">
        <v>10651.0506289364</v>
      </c>
      <c r="AD26" s="34">
        <v>11609.6527730214</v>
      </c>
      <c r="AE26" s="34">
        <v>12368.8603878217</v>
      </c>
      <c r="AF26" s="34">
        <v>13287.2190265439</v>
      </c>
      <c r="AG26" s="34">
        <v>14065.921827157101</v>
      </c>
      <c r="AH26" s="34">
        <v>14717.6334657099</v>
      </c>
      <c r="AI26" s="34">
        <v>15049.4947092683</v>
      </c>
      <c r="AJ26" s="34">
        <v>15150.9343726688</v>
      </c>
      <c r="AK26" s="34">
        <v>15072.3131471737</v>
      </c>
    </row>
    <row r="27" spans="1:37" ht="14.45" x14ac:dyDescent="0.35">
      <c r="A27" t="s">
        <v>64</v>
      </c>
      <c r="B27" s="34">
        <v>20773.564475549701</v>
      </c>
      <c r="C27" s="34">
        <v>24257.085005342298</v>
      </c>
      <c r="D27" s="34">
        <v>36979.447611511001</v>
      </c>
      <c r="E27" s="34">
        <v>56158.854289272</v>
      </c>
      <c r="F27" s="34">
        <v>58370.818830244803</v>
      </c>
      <c r="G27" s="34">
        <v>56840.731163139098</v>
      </c>
      <c r="H27" s="34">
        <v>51025.301195887601</v>
      </c>
      <c r="I27" s="34">
        <v>59921.622521141297</v>
      </c>
      <c r="J27" s="34">
        <v>47411.675771059199</v>
      </c>
      <c r="K27" s="34">
        <v>50512.715854747803</v>
      </c>
      <c r="L27" s="34">
        <v>42860.076836826003</v>
      </c>
      <c r="M27" s="34">
        <v>34493.9382710309</v>
      </c>
      <c r="N27" s="34">
        <v>28546.1221936033</v>
      </c>
      <c r="O27" s="34">
        <v>26887.7616386054</v>
      </c>
      <c r="P27" s="34">
        <v>25760.278420247701</v>
      </c>
      <c r="Q27" s="34">
        <v>24524.675815627699</v>
      </c>
      <c r="R27" s="34">
        <v>20310.337986793798</v>
      </c>
      <c r="S27" s="34">
        <v>21027.231716230701</v>
      </c>
      <c r="T27" s="34">
        <v>21131.436692753199</v>
      </c>
      <c r="U27" s="34">
        <v>22067.774223553399</v>
      </c>
      <c r="V27" s="34">
        <v>24124.663301596</v>
      </c>
      <c r="W27" s="34">
        <v>25524.656949401699</v>
      </c>
      <c r="X27" s="34">
        <v>27323.760981905099</v>
      </c>
      <c r="Y27" s="34">
        <v>29588.283720445001</v>
      </c>
      <c r="Z27" s="34">
        <v>31709.7758353631</v>
      </c>
      <c r="AA27" s="34">
        <v>34081.354589398303</v>
      </c>
      <c r="AB27" s="34">
        <v>33257.422163092997</v>
      </c>
      <c r="AC27" s="34">
        <v>35073.311927829098</v>
      </c>
      <c r="AD27" s="34">
        <v>36740.779959183601</v>
      </c>
      <c r="AE27" s="34">
        <v>36886.753455505801</v>
      </c>
      <c r="AF27" s="34">
        <v>37133.437664766003</v>
      </c>
      <c r="AG27" s="34">
        <v>37003.949024102498</v>
      </c>
      <c r="AH27" s="34">
        <v>36912.203087371803</v>
      </c>
      <c r="AI27" s="34">
        <v>36580.398988757297</v>
      </c>
      <c r="AJ27" s="34">
        <v>36395.830592844402</v>
      </c>
      <c r="AK27" s="34">
        <v>36514.457518056799</v>
      </c>
    </row>
    <row r="28" spans="1:37" ht="14.45" x14ac:dyDescent="0.35">
      <c r="A28" t="s">
        <v>65</v>
      </c>
      <c r="B28">
        <v>0</v>
      </c>
      <c r="C28">
        <v>0</v>
      </c>
      <c r="D28">
        <v>0</v>
      </c>
      <c r="E28">
        <v>0</v>
      </c>
      <c r="F28">
        <v>0</v>
      </c>
      <c r="G28">
        <v>0</v>
      </c>
      <c r="H28">
        <v>0</v>
      </c>
      <c r="I28">
        <v>3248.56724079585</v>
      </c>
      <c r="J28">
        <v>5635.1046736580201</v>
      </c>
      <c r="K28" s="34">
        <v>10449.802564429099</v>
      </c>
      <c r="L28" s="34">
        <v>10363.5019488583</v>
      </c>
      <c r="M28" s="34">
        <v>10439.0823211685</v>
      </c>
      <c r="N28">
        <v>9995.7847618855594</v>
      </c>
      <c r="O28">
        <v>8712.2850451701997</v>
      </c>
      <c r="P28">
        <v>8191.0987002265401</v>
      </c>
      <c r="Q28">
        <v>7962.3985519601601</v>
      </c>
      <c r="R28">
        <v>9730.4130913326899</v>
      </c>
      <c r="S28" s="34">
        <v>10309.3234873608</v>
      </c>
      <c r="T28" s="34">
        <v>10594.426375429201</v>
      </c>
      <c r="U28" s="34">
        <v>11296.846974448499</v>
      </c>
      <c r="V28" s="34">
        <v>12573.9638379839</v>
      </c>
      <c r="W28" s="34">
        <v>13498.4337191092</v>
      </c>
      <c r="X28" s="34">
        <v>14582.128058136001</v>
      </c>
      <c r="Y28" s="34">
        <v>15745.230551459499</v>
      </c>
      <c r="Z28" s="34">
        <v>16470.914839487399</v>
      </c>
      <c r="AA28" s="34">
        <v>16711.5053507702</v>
      </c>
      <c r="AB28" s="34">
        <v>15049.258676990101</v>
      </c>
      <c r="AC28" s="34">
        <v>14453.961932354599</v>
      </c>
      <c r="AD28" s="34">
        <v>13969.6368226755</v>
      </c>
      <c r="AE28" s="34">
        <v>13065.9252831423</v>
      </c>
      <c r="AF28" s="34">
        <v>12410.6820397212</v>
      </c>
      <c r="AG28" s="34">
        <v>11763.005566940999</v>
      </c>
      <c r="AH28" s="34">
        <v>11258.5440913945</v>
      </c>
      <c r="AI28" s="34">
        <v>10759.1540191282</v>
      </c>
      <c r="AJ28" s="34">
        <v>10422.5984870189</v>
      </c>
      <c r="AK28" s="34">
        <v>10313.0669766337</v>
      </c>
    </row>
    <row r="29" spans="1:37" ht="14.45" x14ac:dyDescent="0.35">
      <c r="A29" t="s">
        <v>66</v>
      </c>
      <c r="B29">
        <v>1.0564455759032101</v>
      </c>
      <c r="C29">
        <v>1.94195790339205</v>
      </c>
      <c r="D29">
        <v>3.4653941337660901</v>
      </c>
      <c r="E29">
        <v>6.6239812700957597</v>
      </c>
      <c r="F29">
        <v>10.986136708628401</v>
      </c>
      <c r="G29">
        <v>16.872131867769198</v>
      </c>
      <c r="H29">
        <v>24.115979762924798</v>
      </c>
      <c r="I29">
        <v>48.005420192126003</v>
      </c>
      <c r="J29">
        <v>65.658727400692996</v>
      </c>
      <c r="K29">
        <v>127.476596623799</v>
      </c>
      <c r="L29">
        <v>197.28851155367701</v>
      </c>
      <c r="M29">
        <v>307.11585864402002</v>
      </c>
      <c r="N29">
        <v>447.88979967481998</v>
      </c>
      <c r="O29">
        <v>582.10216737998303</v>
      </c>
      <c r="P29">
        <v>791.963750263821</v>
      </c>
      <c r="Q29">
        <v>1071.2367963367799</v>
      </c>
      <c r="R29">
        <v>1735.8518858197299</v>
      </c>
      <c r="S29">
        <v>2310.0541281953701</v>
      </c>
      <c r="T29">
        <v>2820.5327738179499</v>
      </c>
      <c r="U29">
        <v>3391.8613081441899</v>
      </c>
      <c r="V29">
        <v>4079.51958759234</v>
      </c>
      <c r="W29">
        <v>4562.9261290080403</v>
      </c>
      <c r="X29">
        <v>5011.0013265923199</v>
      </c>
      <c r="Y29">
        <v>5438.5749918594802</v>
      </c>
      <c r="Z29">
        <v>5726.28022295745</v>
      </c>
      <c r="AA29">
        <v>5939.2909513602799</v>
      </c>
      <c r="AB29">
        <v>5510.2988927331298</v>
      </c>
      <c r="AC29">
        <v>5528.6631413407604</v>
      </c>
      <c r="AD29">
        <v>5562.7077356305099</v>
      </c>
      <c r="AE29">
        <v>5414.9481941322902</v>
      </c>
      <c r="AF29">
        <v>5400.8079711136397</v>
      </c>
      <c r="AG29">
        <v>5445.9961547881403</v>
      </c>
      <c r="AH29">
        <v>5576.2724184149502</v>
      </c>
      <c r="AI29">
        <v>5701.3633449574199</v>
      </c>
      <c r="AJ29">
        <v>5901.7373321920104</v>
      </c>
      <c r="AK29">
        <v>6220.0604358233704</v>
      </c>
    </row>
    <row r="30" spans="1:37" ht="14.45" x14ac:dyDescent="0.35">
      <c r="A30" t="s">
        <v>67</v>
      </c>
      <c r="B30">
        <v>5.2228540473714897</v>
      </c>
      <c r="C30">
        <v>11.870369870084</v>
      </c>
      <c r="D30">
        <v>26.155295486715701</v>
      </c>
      <c r="E30">
        <v>61.5655521988133</v>
      </c>
      <c r="F30">
        <v>125.079533407722</v>
      </c>
      <c r="G30">
        <v>232.89997404964001</v>
      </c>
      <c r="H30">
        <v>395.86356069294902</v>
      </c>
      <c r="I30">
        <v>904.94030317638703</v>
      </c>
      <c r="J30">
        <v>1341.3439333071599</v>
      </c>
      <c r="K30">
        <v>2593.4691884602798</v>
      </c>
      <c r="L30">
        <v>3606.6040173409801</v>
      </c>
      <c r="M30">
        <v>4567.4040781785397</v>
      </c>
      <c r="N30">
        <v>5032.1556020838298</v>
      </c>
      <c r="O30">
        <v>4750.85875111531</v>
      </c>
      <c r="P30">
        <v>4664.2706483993097</v>
      </c>
      <c r="Q30">
        <v>4639.7091502860403</v>
      </c>
      <c r="R30">
        <v>5735.74790130988</v>
      </c>
      <c r="S30">
        <v>6109.1459356837704</v>
      </c>
      <c r="T30">
        <v>6283.5875725020296</v>
      </c>
      <c r="U30">
        <v>6679.0164492759404</v>
      </c>
      <c r="V30">
        <v>7391.0073930386197</v>
      </c>
      <c r="W30">
        <v>7865.8320338213798</v>
      </c>
      <c r="X30">
        <v>8425.5746177980891</v>
      </c>
      <c r="Y30">
        <v>9078.8730103598991</v>
      </c>
      <c r="Z30">
        <v>9624.5215992588201</v>
      </c>
      <c r="AA30" s="34">
        <v>10143.335260722801</v>
      </c>
      <c r="AB30">
        <v>9759.83917872243</v>
      </c>
      <c r="AC30" s="34">
        <v>10073.335117099599</v>
      </c>
      <c r="AD30" s="34">
        <v>10394.0493259371</v>
      </c>
      <c r="AE30" s="34">
        <v>10387.4560661101</v>
      </c>
      <c r="AF30" s="34">
        <v>10470.454777093601</v>
      </c>
      <c r="AG30" s="34">
        <v>10519.3973963095</v>
      </c>
      <c r="AH30" s="34">
        <v>10630.040889812301</v>
      </c>
      <c r="AI30" s="34">
        <v>10728.517636361301</v>
      </c>
      <c r="AJ30" s="34">
        <v>10918.9520514407</v>
      </c>
      <c r="AK30" s="34">
        <v>11243.0397725446</v>
      </c>
    </row>
    <row r="31" spans="1:37" ht="14.45" x14ac:dyDescent="0.35">
      <c r="A31" t="s">
        <v>667</v>
      </c>
      <c r="B31" s="34">
        <f>SUM(B26:B30)</f>
        <v>39130.085459726775</v>
      </c>
      <c r="C31" s="34">
        <f t="shared" ref="C31:AK31" si="7">SUM(C26:C30)</f>
        <v>45303.733091148875</v>
      </c>
      <c r="D31" s="34">
        <f t="shared" si="7"/>
        <v>50927.222499442381</v>
      </c>
      <c r="E31" s="34">
        <f t="shared" si="7"/>
        <v>61271.821813912749</v>
      </c>
      <c r="F31" s="34">
        <f t="shared" si="7"/>
        <v>63399.328996576463</v>
      </c>
      <c r="G31" s="34">
        <f t="shared" si="7"/>
        <v>61996.044241361924</v>
      </c>
      <c r="H31" s="34">
        <f t="shared" si="7"/>
        <v>56066.966375947908</v>
      </c>
      <c r="I31" s="34">
        <f t="shared" si="7"/>
        <v>70497.930529562145</v>
      </c>
      <c r="J31" s="34">
        <f t="shared" si="7"/>
        <v>61220.487794615088</v>
      </c>
      <c r="K31" s="34">
        <f t="shared" si="7"/>
        <v>75371.153620053985</v>
      </c>
      <c r="L31" s="34">
        <f t="shared" si="7"/>
        <v>74575.153920281373</v>
      </c>
      <c r="M31" s="34">
        <f t="shared" si="7"/>
        <v>74948.821666323667</v>
      </c>
      <c r="N31" s="34">
        <f t="shared" si="7"/>
        <v>74003.779677061611</v>
      </c>
      <c r="O31" s="34">
        <f t="shared" si="7"/>
        <v>70260.562961463293</v>
      </c>
      <c r="P31" s="34">
        <f t="shared" si="7"/>
        <v>68229.289220242674</v>
      </c>
      <c r="Q31" s="34">
        <f t="shared" si="7"/>
        <v>66520.610640729079</v>
      </c>
      <c r="R31" s="34">
        <f t="shared" si="7"/>
        <v>64777.319665238887</v>
      </c>
      <c r="S31" s="34">
        <f t="shared" si="7"/>
        <v>65717.891109410935</v>
      </c>
      <c r="T31" s="34">
        <f t="shared" si="7"/>
        <v>64028.283242110876</v>
      </c>
      <c r="U31" s="34">
        <f t="shared" si="7"/>
        <v>64082.165908235525</v>
      </c>
      <c r="V31" s="34">
        <f t="shared" si="7"/>
        <v>66257.167097873156</v>
      </c>
      <c r="W31" s="34">
        <f t="shared" si="7"/>
        <v>67230.22796455241</v>
      </c>
      <c r="X31" s="34">
        <f t="shared" si="7"/>
        <v>69178.489327994816</v>
      </c>
      <c r="Y31" s="34">
        <f t="shared" si="7"/>
        <v>72282.195727666083</v>
      </c>
      <c r="Z31" s="34">
        <f t="shared" si="7"/>
        <v>74955.994042851671</v>
      </c>
      <c r="AA31" s="34">
        <f t="shared" si="7"/>
        <v>77921.471207772978</v>
      </c>
      <c r="AB31" s="34">
        <f t="shared" si="7"/>
        <v>73667.318299054765</v>
      </c>
      <c r="AC31" s="34">
        <f t="shared" si="7"/>
        <v>75780.322747560465</v>
      </c>
      <c r="AD31" s="34">
        <f t="shared" si="7"/>
        <v>78276.826616448117</v>
      </c>
      <c r="AE31" s="34">
        <f t="shared" si="7"/>
        <v>78123.943386712199</v>
      </c>
      <c r="AF31" s="34">
        <f t="shared" si="7"/>
        <v>78702.60147923835</v>
      </c>
      <c r="AG31" s="34">
        <f t="shared" si="7"/>
        <v>78798.269969298242</v>
      </c>
      <c r="AH31" s="34">
        <f t="shared" si="7"/>
        <v>79094.693952703456</v>
      </c>
      <c r="AI31" s="34">
        <f t="shared" si="7"/>
        <v>78818.928698472519</v>
      </c>
      <c r="AJ31" s="34">
        <f t="shared" si="7"/>
        <v>78790.052836164818</v>
      </c>
      <c r="AK31" s="34">
        <f t="shared" si="7"/>
        <v>79362.937850232163</v>
      </c>
    </row>
    <row r="33" spans="1:37" ht="14.45" x14ac:dyDescent="0.35">
      <c r="A33" t="s">
        <v>63</v>
      </c>
      <c r="B33" s="33">
        <f>B26/B31</f>
        <v>0.46895480725285205</v>
      </c>
      <c r="C33" s="33">
        <f t="shared" ref="C33:AK33" si="8">C26/C31</f>
        <v>0.46426275105665293</v>
      </c>
      <c r="D33" s="33">
        <f t="shared" si="8"/>
        <v>0.27329497889784377</v>
      </c>
      <c r="E33" s="33">
        <f t="shared" si="8"/>
        <v>8.2334388660634569E-2</v>
      </c>
      <c r="F33" s="33">
        <f t="shared" si="8"/>
        <v>7.7168710988715666E-2</v>
      </c>
      <c r="G33" s="33">
        <f t="shared" si="8"/>
        <v>7.9126677070028101E-2</v>
      </c>
      <c r="H33" s="33">
        <f t="shared" si="8"/>
        <v>8.24315267677313E-2</v>
      </c>
      <c r="I33" s="33">
        <f t="shared" si="8"/>
        <v>9.0425279102105058E-2</v>
      </c>
      <c r="J33" s="33">
        <f t="shared" si="8"/>
        <v>0.110530068167559</v>
      </c>
      <c r="K33" s="33">
        <f t="shared" si="8"/>
        <v>0.15506846922777176</v>
      </c>
      <c r="L33" s="33">
        <f t="shared" si="8"/>
        <v>0.23530199648612665</v>
      </c>
      <c r="M33" s="33">
        <f t="shared" si="8"/>
        <v>0.33544598271647397</v>
      </c>
      <c r="N33" s="33">
        <f t="shared" si="8"/>
        <v>0.4051391354691487</v>
      </c>
      <c r="O33" s="33">
        <f t="shared" si="8"/>
        <v>0.41741133465267077</v>
      </c>
      <c r="P33" s="33">
        <f t="shared" si="8"/>
        <v>0.42242383044720788</v>
      </c>
      <c r="Q33" s="33">
        <f t="shared" si="8"/>
        <v>0.42577165263087818</v>
      </c>
      <c r="R33" s="33">
        <f t="shared" si="8"/>
        <v>0.42090300958552712</v>
      </c>
      <c r="S33" s="33">
        <f t="shared" si="8"/>
        <v>0.39505430566414618</v>
      </c>
      <c r="T33" s="33">
        <f t="shared" si="8"/>
        <v>0.36231331925437554</v>
      </c>
      <c r="U33" s="33">
        <f t="shared" si="8"/>
        <v>0.32219052930232012</v>
      </c>
      <c r="V33" s="33">
        <f t="shared" si="8"/>
        <v>0.27299707744738338</v>
      </c>
      <c r="W33" s="33">
        <f t="shared" si="8"/>
        <v>0.23469173928030346</v>
      </c>
      <c r="X33" s="33">
        <f t="shared" si="8"/>
        <v>0.20000471935665998</v>
      </c>
      <c r="Y33" s="33">
        <f t="shared" si="8"/>
        <v>0.1719819566685373</v>
      </c>
      <c r="Z33" s="33">
        <f t="shared" si="8"/>
        <v>0.1524161168385495</v>
      </c>
      <c r="AA33" s="33">
        <f t="shared" si="8"/>
        <v>0.14175791196328849</v>
      </c>
      <c r="AB33" s="33">
        <f t="shared" si="8"/>
        <v>0.13697389317951558</v>
      </c>
      <c r="AC33" s="33">
        <f t="shared" si="8"/>
        <v>0.14055166622102147</v>
      </c>
      <c r="AD33" s="33">
        <f t="shared" si="8"/>
        <v>0.14831532236108677</v>
      </c>
      <c r="AE33" s="33">
        <f t="shared" si="8"/>
        <v>0.1583235542347888</v>
      </c>
      <c r="AF33" s="33">
        <f t="shared" si="8"/>
        <v>0.16882820614321184</v>
      </c>
      <c r="AG33" s="33">
        <f t="shared" si="8"/>
        <v>0.17850546506462048</v>
      </c>
      <c r="AH33" s="33">
        <f t="shared" si="8"/>
        <v>0.18607611623746415</v>
      </c>
      <c r="AI33" s="33">
        <f t="shared" si="8"/>
        <v>0.19093756991853092</v>
      </c>
      <c r="AJ33" s="33">
        <f t="shared" si="8"/>
        <v>0.19229501475488903</v>
      </c>
      <c r="AK33" s="33">
        <f t="shared" si="8"/>
        <v>0.18991627018164384</v>
      </c>
    </row>
    <row r="34" spans="1:37" ht="14.45" x14ac:dyDescent="0.35">
      <c r="A34" t="s">
        <v>64</v>
      </c>
      <c r="B34" s="33">
        <f>B27/B31</f>
        <v>0.53088472032421552</v>
      </c>
      <c r="C34" s="33">
        <f t="shared" ref="C34:AK34" si="9">C27/C31</f>
        <v>0.53543236617031631</v>
      </c>
      <c r="D34" s="33">
        <f t="shared" si="9"/>
        <v>0.7261233932778467</v>
      </c>
      <c r="E34" s="33">
        <f t="shared" si="9"/>
        <v>0.91655270933237099</v>
      </c>
      <c r="F34" s="33">
        <f t="shared" si="9"/>
        <v>0.92068512008063685</v>
      </c>
      <c r="G34" s="33">
        <f t="shared" si="9"/>
        <v>0.91684448352620285</v>
      </c>
      <c r="H34" s="33">
        <f t="shared" si="9"/>
        <v>0.91007779614373563</v>
      </c>
      <c r="I34" s="33">
        <f t="shared" si="9"/>
        <v>0.84997704288658726</v>
      </c>
      <c r="J34" s="33">
        <f t="shared" si="9"/>
        <v>0.7744413264088611</v>
      </c>
      <c r="K34" s="33">
        <f t="shared" si="9"/>
        <v>0.67018631702763132</v>
      </c>
      <c r="L34" s="33">
        <f t="shared" si="9"/>
        <v>0.57472327690590019</v>
      </c>
      <c r="M34" s="33">
        <f t="shared" si="9"/>
        <v>0.46023322987784698</v>
      </c>
      <c r="N34" s="33">
        <f t="shared" si="9"/>
        <v>0.38573870575493757</v>
      </c>
      <c r="O34" s="33">
        <f t="shared" si="9"/>
        <v>0.38268639625550499</v>
      </c>
      <c r="P34" s="33">
        <f t="shared" si="9"/>
        <v>0.37755454753594281</v>
      </c>
      <c r="Q34" s="33">
        <f t="shared" si="9"/>
        <v>0.36867785156217114</v>
      </c>
      <c r="R34" s="33">
        <f t="shared" si="9"/>
        <v>0.3135408827002274</v>
      </c>
      <c r="S34" s="33">
        <f t="shared" si="9"/>
        <v>0.31996205844803133</v>
      </c>
      <c r="T34" s="33">
        <f t="shared" si="9"/>
        <v>0.33003284834060997</v>
      </c>
      <c r="U34" s="33">
        <f t="shared" si="9"/>
        <v>0.34436685949651019</v>
      </c>
      <c r="V34" s="33">
        <f t="shared" si="9"/>
        <v>0.36410647116801342</v>
      </c>
      <c r="W34" s="33">
        <f t="shared" si="9"/>
        <v>0.37966042540953077</v>
      </c>
      <c r="X34" s="33">
        <f t="shared" si="9"/>
        <v>0.39497481438710536</v>
      </c>
      <c r="Y34" s="33">
        <f t="shared" si="9"/>
        <v>0.40934400819702899</v>
      </c>
      <c r="Z34" s="33">
        <f t="shared" si="9"/>
        <v>0.42304523127576565</v>
      </c>
      <c r="AA34" s="33">
        <f t="shared" si="9"/>
        <v>0.43738078941710934</v>
      </c>
      <c r="AB34" s="33">
        <f t="shared" si="9"/>
        <v>0.45145422598503532</v>
      </c>
      <c r="AC34" s="33">
        <f t="shared" si="9"/>
        <v>0.46282874836341581</v>
      </c>
      <c r="AD34" s="33">
        <f t="shared" si="9"/>
        <v>0.46936981923413018</v>
      </c>
      <c r="AE34" s="33">
        <f t="shared" si="9"/>
        <v>0.47215682998638453</v>
      </c>
      <c r="AF34" s="33">
        <f t="shared" si="9"/>
        <v>0.4718196980383394</v>
      </c>
      <c r="AG34" s="33">
        <f t="shared" si="9"/>
        <v>0.46960357173476208</v>
      </c>
      <c r="AH34" s="33">
        <f t="shared" si="9"/>
        <v>0.46668368309819025</v>
      </c>
      <c r="AI34" s="33">
        <f t="shared" si="9"/>
        <v>0.46410677730343486</v>
      </c>
      <c r="AJ34" s="33">
        <f t="shared" si="9"/>
        <v>0.46193433412877</v>
      </c>
      <c r="AK34" s="33">
        <f t="shared" si="9"/>
        <v>0.46009457949961691</v>
      </c>
    </row>
    <row r="35" spans="1:37" ht="14.45" x14ac:dyDescent="0.35">
      <c r="A35" t="s">
        <v>65</v>
      </c>
      <c r="B35" s="35">
        <f>B28/B31</f>
        <v>0</v>
      </c>
      <c r="C35" s="35">
        <f t="shared" ref="C35:AK35" si="10">C28/C31</f>
        <v>0</v>
      </c>
      <c r="D35" s="35">
        <f t="shared" si="10"/>
        <v>0</v>
      </c>
      <c r="E35" s="35">
        <f t="shared" si="10"/>
        <v>0</v>
      </c>
      <c r="F35" s="35">
        <f t="shared" si="10"/>
        <v>0</v>
      </c>
      <c r="G35" s="35">
        <f t="shared" si="10"/>
        <v>0</v>
      </c>
      <c r="H35" s="35">
        <f t="shared" si="10"/>
        <v>0</v>
      </c>
      <c r="I35" s="35">
        <f t="shared" si="10"/>
        <v>4.6080320605065374E-2</v>
      </c>
      <c r="J35" s="35">
        <f t="shared" si="10"/>
        <v>9.2046059687777917E-2</v>
      </c>
      <c r="K35" s="35">
        <f t="shared" si="10"/>
        <v>0.13864458831433785</v>
      </c>
      <c r="L35" s="35">
        <f t="shared" si="10"/>
        <v>0.1389672217094795</v>
      </c>
      <c r="M35" s="35">
        <f t="shared" si="10"/>
        <v>0.13928280777573632</v>
      </c>
      <c r="N35" s="35">
        <f t="shared" si="10"/>
        <v>0.135071273460697</v>
      </c>
      <c r="O35" s="35">
        <f t="shared" si="10"/>
        <v>0.12399964756827721</v>
      </c>
      <c r="P35" s="35">
        <f t="shared" si="10"/>
        <v>0.12005252866970152</v>
      </c>
      <c r="Q35" s="35">
        <f t="shared" si="10"/>
        <v>0.11969821796982967</v>
      </c>
      <c r="R35" s="35">
        <f t="shared" si="10"/>
        <v>0.15021327127485748</v>
      </c>
      <c r="S35" s="35">
        <f t="shared" si="10"/>
        <v>0.1568724028316314</v>
      </c>
      <c r="T35" s="35">
        <f t="shared" si="10"/>
        <v>0.1654647889803382</v>
      </c>
      <c r="U35" s="35">
        <f t="shared" si="10"/>
        <v>0.17628690938170496</v>
      </c>
      <c r="V35" s="35">
        <f t="shared" si="10"/>
        <v>0.18977515020239255</v>
      </c>
      <c r="W35" s="35">
        <f t="shared" si="10"/>
        <v>0.20077923469523767</v>
      </c>
      <c r="X35" s="35">
        <f t="shared" si="10"/>
        <v>0.21078991749874734</v>
      </c>
      <c r="Y35" s="35">
        <f t="shared" si="10"/>
        <v>0.21782999800921926</v>
      </c>
      <c r="Z35" s="35">
        <f t="shared" si="10"/>
        <v>0.2197411301099032</v>
      </c>
      <c r="AA35" s="35">
        <f t="shared" si="10"/>
        <v>0.21446598853620155</v>
      </c>
      <c r="AB35" s="35">
        <f t="shared" si="10"/>
        <v>0.20428677226849998</v>
      </c>
      <c r="AC35" s="35">
        <f t="shared" si="10"/>
        <v>0.1907350273566881</v>
      </c>
      <c r="AD35" s="35">
        <f t="shared" si="10"/>
        <v>0.17846452681488872</v>
      </c>
      <c r="AE35" s="35">
        <f t="shared" si="10"/>
        <v>0.16724610556927716</v>
      </c>
      <c r="AF35" s="35">
        <f t="shared" si="10"/>
        <v>0.15769087433526732</v>
      </c>
      <c r="AG35" s="35">
        <f t="shared" si="10"/>
        <v>0.1492799977908672</v>
      </c>
      <c r="AH35" s="35">
        <f t="shared" si="10"/>
        <v>0.14234259630774743</v>
      </c>
      <c r="AI35" s="35">
        <f t="shared" si="10"/>
        <v>0.13650469749833974</v>
      </c>
      <c r="AJ35" s="35">
        <f t="shared" si="10"/>
        <v>0.13228317676968104</v>
      </c>
      <c r="AK35" s="35">
        <f t="shared" si="10"/>
        <v>0.12994815030783957</v>
      </c>
    </row>
    <row r="36" spans="1:37" ht="14.45" x14ac:dyDescent="0.35">
      <c r="A36" t="s">
        <v>197</v>
      </c>
      <c r="B36" s="33">
        <f>(B29+B30)/B31</f>
        <v>1.6047242293241198E-4</v>
      </c>
      <c r="C36" s="33">
        <f t="shared" ref="C36:AK36" si="11">(C29+C30)/C31</f>
        <v>3.0488277303078595E-4</v>
      </c>
      <c r="D36" s="33">
        <f t="shared" si="11"/>
        <v>5.8162782430960412E-4</v>
      </c>
      <c r="E36" s="33">
        <f t="shared" si="11"/>
        <v>1.1129020069944376E-3</v>
      </c>
      <c r="F36" s="33">
        <f t="shared" si="11"/>
        <v>2.1461689306474818E-3</v>
      </c>
      <c r="G36" s="33">
        <f t="shared" si="11"/>
        <v>4.0288394037690653E-3</v>
      </c>
      <c r="H36" s="33">
        <f t="shared" si="11"/>
        <v>7.4906770885331915E-3</v>
      </c>
      <c r="I36" s="33">
        <f t="shared" si="11"/>
        <v>1.3517357406242032E-2</v>
      </c>
      <c r="J36" s="33">
        <f t="shared" si="11"/>
        <v>2.2982545735802055E-2</v>
      </c>
      <c r="K36" s="33">
        <f t="shared" si="11"/>
        <v>3.6100625430259006E-2</v>
      </c>
      <c r="L36" s="33">
        <f t="shared" si="11"/>
        <v>5.1007504898493476E-2</v>
      </c>
      <c r="M36" s="33">
        <f t="shared" si="11"/>
        <v>6.5037979629942608E-2</v>
      </c>
      <c r="N36" s="33">
        <f t="shared" si="11"/>
        <v>7.4050885315216641E-2</v>
      </c>
      <c r="O36" s="33">
        <f t="shared" si="11"/>
        <v>7.5902621523547001E-2</v>
      </c>
      <c r="P36" s="33">
        <f t="shared" si="11"/>
        <v>7.9969093347147788E-2</v>
      </c>
      <c r="Q36" s="33">
        <f t="shared" si="11"/>
        <v>8.5852277837120988E-2</v>
      </c>
      <c r="R36" s="33">
        <f t="shared" si="11"/>
        <v>0.11534283643938814</v>
      </c>
      <c r="S36" s="33">
        <f t="shared" si="11"/>
        <v>0.12811123305619118</v>
      </c>
      <c r="T36" s="33">
        <f t="shared" si="11"/>
        <v>0.14218904342467634</v>
      </c>
      <c r="U36" s="33">
        <f t="shared" si="11"/>
        <v>0.15715570181946473</v>
      </c>
      <c r="V36" s="33">
        <f t="shared" si="11"/>
        <v>0.1731213011822107</v>
      </c>
      <c r="W36" s="33">
        <f t="shared" si="11"/>
        <v>0.18486860061492827</v>
      </c>
      <c r="X36" s="33">
        <f t="shared" si="11"/>
        <v>0.19423054875748727</v>
      </c>
      <c r="Y36" s="33">
        <f t="shared" si="11"/>
        <v>0.20084403712521437</v>
      </c>
      <c r="Z36" s="33">
        <f t="shared" si="11"/>
        <v>0.20479752177578159</v>
      </c>
      <c r="AA36" s="33">
        <f t="shared" si="11"/>
        <v>0.20639531008340065</v>
      </c>
      <c r="AB36" s="33">
        <f t="shared" si="11"/>
        <v>0.20728510856694907</v>
      </c>
      <c r="AC36" s="33">
        <f t="shared" si="11"/>
        <v>0.20588455805887448</v>
      </c>
      <c r="AD36" s="33">
        <f t="shared" si="11"/>
        <v>0.20385033158989424</v>
      </c>
      <c r="AE36" s="33">
        <f t="shared" si="11"/>
        <v>0.20227351020954942</v>
      </c>
      <c r="AF36" s="33">
        <f t="shared" si="11"/>
        <v>0.20166122148318133</v>
      </c>
      <c r="AG36" s="33">
        <f t="shared" si="11"/>
        <v>0.20261096540975015</v>
      </c>
      <c r="AH36" s="33">
        <f t="shared" si="11"/>
        <v>0.20489760435659818</v>
      </c>
      <c r="AI36" s="33">
        <f t="shared" si="11"/>
        <v>0.20845095527969446</v>
      </c>
      <c r="AJ36" s="33">
        <f t="shared" si="11"/>
        <v>0.21348747434665985</v>
      </c>
      <c r="AK36" s="33">
        <f t="shared" si="11"/>
        <v>0.22004100001089974</v>
      </c>
    </row>
    <row r="38" spans="1:37" ht="14.45" x14ac:dyDescent="0.35">
      <c r="A38" t="s">
        <v>668</v>
      </c>
    </row>
    <row r="39" spans="1:37" ht="14.45" x14ac:dyDescent="0.35">
      <c r="A39" t="s">
        <v>669</v>
      </c>
      <c r="B39">
        <v>0</v>
      </c>
      <c r="J39" s="54">
        <f>J35</f>
        <v>9.2046059687777917E-2</v>
      </c>
      <c r="R39" s="54">
        <f>R35</f>
        <v>0.15021327127485748</v>
      </c>
    </row>
    <row r="40" spans="1:37" ht="14.45" x14ac:dyDescent="0.35">
      <c r="A40" t="s">
        <v>670</v>
      </c>
      <c r="B40" s="54">
        <f>$J$39/9</f>
        <v>1.0227339965308658E-2</v>
      </c>
      <c r="C40" s="310">
        <f>B40+$J$39/9</f>
        <v>2.0454679930617316E-2</v>
      </c>
      <c r="D40" s="310">
        <f t="shared" ref="D40:I40" si="12">C40+$J$39/9</f>
        <v>3.0682019895925974E-2</v>
      </c>
      <c r="E40" s="310">
        <f t="shared" si="12"/>
        <v>4.0909359861234632E-2</v>
      </c>
      <c r="F40" s="310">
        <f t="shared" si="12"/>
        <v>5.1136699826543286E-2</v>
      </c>
      <c r="G40" s="310">
        <f t="shared" si="12"/>
        <v>6.136403979185194E-2</v>
      </c>
      <c r="H40" s="310">
        <f t="shared" si="12"/>
        <v>7.1591379757160595E-2</v>
      </c>
      <c r="I40" s="310">
        <f t="shared" si="12"/>
        <v>8.1818719722469249E-2</v>
      </c>
      <c r="J40" s="54">
        <f>J35</f>
        <v>9.2046059687777917E-2</v>
      </c>
      <c r="K40" s="54">
        <f t="shared" ref="K40:Q40" si="13">J40+($R$40-$J$40)/8</f>
        <v>9.9316961136162868E-2</v>
      </c>
      <c r="L40" s="54">
        <f t="shared" si="13"/>
        <v>0.10658786258454782</v>
      </c>
      <c r="M40" s="54">
        <f t="shared" si="13"/>
        <v>0.11385876403293277</v>
      </c>
      <c r="N40" s="54">
        <f t="shared" si="13"/>
        <v>0.12112966548131772</v>
      </c>
      <c r="O40" s="54">
        <f t="shared" si="13"/>
        <v>0.12840056692970267</v>
      </c>
      <c r="P40" s="54">
        <f t="shared" si="13"/>
        <v>0.13567146837808761</v>
      </c>
      <c r="Q40" s="54">
        <f t="shared" si="13"/>
        <v>0.14294236982647254</v>
      </c>
      <c r="R40" s="71">
        <f>R35</f>
        <v>0.15021327127485748</v>
      </c>
    </row>
    <row r="41" spans="1:37" ht="14.45" x14ac:dyDescent="0.35">
      <c r="A41" t="s">
        <v>671</v>
      </c>
      <c r="B41" s="54">
        <f>B35</f>
        <v>0</v>
      </c>
      <c r="C41" s="54">
        <f t="shared" ref="C41:I41" si="14">C40</f>
        <v>2.0454679930617316E-2</v>
      </c>
      <c r="D41" s="54">
        <f t="shared" si="14"/>
        <v>3.0682019895925974E-2</v>
      </c>
      <c r="E41" s="54">
        <f t="shared" si="14"/>
        <v>4.0909359861234632E-2</v>
      </c>
      <c r="F41" s="54">
        <f t="shared" si="14"/>
        <v>5.1136699826543286E-2</v>
      </c>
      <c r="G41" s="54">
        <f t="shared" si="14"/>
        <v>6.136403979185194E-2</v>
      </c>
      <c r="H41" s="54">
        <f t="shared" si="14"/>
        <v>7.1591379757160595E-2</v>
      </c>
      <c r="I41" s="54">
        <f t="shared" si="14"/>
        <v>8.1818719722469249E-2</v>
      </c>
      <c r="J41" s="54">
        <f t="shared" ref="J41:R41" si="15">J40</f>
        <v>9.2046059687777917E-2</v>
      </c>
      <c r="K41" s="54">
        <f t="shared" si="15"/>
        <v>9.9316961136162868E-2</v>
      </c>
      <c r="L41" s="54">
        <f t="shared" si="15"/>
        <v>0.10658786258454782</v>
      </c>
      <c r="M41" s="54">
        <f t="shared" si="15"/>
        <v>0.11385876403293277</v>
      </c>
      <c r="N41" s="54">
        <f t="shared" si="15"/>
        <v>0.12112966548131772</v>
      </c>
      <c r="O41" s="54">
        <f t="shared" si="15"/>
        <v>0.12840056692970267</v>
      </c>
      <c r="P41" s="54">
        <f t="shared" si="15"/>
        <v>0.13567146837808761</v>
      </c>
      <c r="Q41" s="54">
        <f t="shared" si="15"/>
        <v>0.14294236982647254</v>
      </c>
      <c r="R41" s="54">
        <f t="shared" si="15"/>
        <v>0.15021327127485748</v>
      </c>
      <c r="S41" s="54">
        <f>S35</f>
        <v>0.1568724028316314</v>
      </c>
      <c r="T41" s="54">
        <f t="shared" ref="T41:AK41" si="16">T35</f>
        <v>0.1654647889803382</v>
      </c>
      <c r="U41" s="54">
        <f t="shared" si="16"/>
        <v>0.17628690938170496</v>
      </c>
      <c r="V41" s="54">
        <f t="shared" si="16"/>
        <v>0.18977515020239255</v>
      </c>
      <c r="W41" s="54">
        <f t="shared" si="16"/>
        <v>0.20077923469523767</v>
      </c>
      <c r="X41" s="54">
        <f t="shared" si="16"/>
        <v>0.21078991749874734</v>
      </c>
      <c r="Y41" s="54">
        <f t="shared" si="16"/>
        <v>0.21782999800921926</v>
      </c>
      <c r="Z41" s="54">
        <f t="shared" si="16"/>
        <v>0.2197411301099032</v>
      </c>
      <c r="AA41" s="54">
        <f t="shared" si="16"/>
        <v>0.21446598853620155</v>
      </c>
      <c r="AB41" s="54">
        <f t="shared" si="16"/>
        <v>0.20428677226849998</v>
      </c>
      <c r="AC41" s="54">
        <f t="shared" si="16"/>
        <v>0.1907350273566881</v>
      </c>
      <c r="AD41" s="54">
        <f t="shared" si="16"/>
        <v>0.17846452681488872</v>
      </c>
      <c r="AE41" s="54">
        <f t="shared" si="16"/>
        <v>0.16724610556927716</v>
      </c>
      <c r="AF41" s="54">
        <f t="shared" si="16"/>
        <v>0.15769087433526732</v>
      </c>
      <c r="AG41" s="54">
        <f t="shared" si="16"/>
        <v>0.1492799977908672</v>
      </c>
      <c r="AH41" s="54">
        <f t="shared" si="16"/>
        <v>0.14234259630774743</v>
      </c>
      <c r="AI41" s="54">
        <f t="shared" si="16"/>
        <v>0.13650469749833974</v>
      </c>
      <c r="AJ41" s="54">
        <f t="shared" si="16"/>
        <v>0.13228317676968104</v>
      </c>
      <c r="AK41" s="54">
        <f t="shared" si="16"/>
        <v>0.12994815030783957</v>
      </c>
    </row>
    <row r="44" spans="1:37" ht="14.45" x14ac:dyDescent="0.35">
      <c r="A44" t="s">
        <v>672</v>
      </c>
    </row>
    <row r="46" spans="1:37" ht="14.45" x14ac:dyDescent="0.35">
      <c r="B46">
        <v>2015</v>
      </c>
      <c r="C46">
        <v>2016</v>
      </c>
      <c r="D46">
        <v>2017</v>
      </c>
      <c r="E46">
        <v>2018</v>
      </c>
      <c r="F46">
        <v>2019</v>
      </c>
      <c r="G46">
        <v>2020</v>
      </c>
      <c r="H46">
        <v>2021</v>
      </c>
      <c r="I46">
        <v>2022</v>
      </c>
      <c r="J46">
        <v>2023</v>
      </c>
      <c r="K46">
        <v>2024</v>
      </c>
      <c r="L46">
        <v>2025</v>
      </c>
      <c r="M46">
        <v>2026</v>
      </c>
      <c r="N46">
        <v>2027</v>
      </c>
      <c r="O46">
        <v>2028</v>
      </c>
      <c r="P46">
        <v>2029</v>
      </c>
      <c r="Q46">
        <v>2030</v>
      </c>
      <c r="R46">
        <v>2031</v>
      </c>
      <c r="S46">
        <v>2032</v>
      </c>
      <c r="T46">
        <v>2033</v>
      </c>
      <c r="U46">
        <v>2034</v>
      </c>
      <c r="V46">
        <v>2035</v>
      </c>
      <c r="W46">
        <v>2036</v>
      </c>
      <c r="X46">
        <v>2037</v>
      </c>
      <c r="Y46">
        <v>2038</v>
      </c>
      <c r="Z46">
        <v>2039</v>
      </c>
      <c r="AA46">
        <v>2040</v>
      </c>
      <c r="AB46">
        <v>2041</v>
      </c>
      <c r="AC46">
        <v>2042</v>
      </c>
      <c r="AD46">
        <v>2043</v>
      </c>
      <c r="AE46">
        <v>2044</v>
      </c>
      <c r="AF46">
        <v>2045</v>
      </c>
      <c r="AG46">
        <v>2046</v>
      </c>
      <c r="AH46">
        <v>2047</v>
      </c>
      <c r="AI46">
        <v>2048</v>
      </c>
      <c r="AJ46">
        <v>2049</v>
      </c>
      <c r="AK46">
        <v>2050</v>
      </c>
    </row>
    <row r="47" spans="1:37" ht="14.45" x14ac:dyDescent="0.35">
      <c r="A47" t="s">
        <v>661</v>
      </c>
      <c r="B47">
        <v>2088.54824928779</v>
      </c>
      <c r="C47">
        <v>2308.5473763595201</v>
      </c>
      <c r="D47">
        <v>2321.1327865950898</v>
      </c>
      <c r="E47">
        <v>2365.9200786480601</v>
      </c>
      <c r="F47">
        <v>2479.5556251714502</v>
      </c>
      <c r="G47">
        <v>2401.5474915059299</v>
      </c>
      <c r="H47">
        <v>2208.1296388299802</v>
      </c>
      <c r="I47">
        <v>2497.4738759348502</v>
      </c>
      <c r="J47">
        <v>2299.2857916504099</v>
      </c>
      <c r="K47">
        <v>2375.4658114353902</v>
      </c>
      <c r="L47">
        <v>2369.28307392325</v>
      </c>
      <c r="M47">
        <v>2505.2420026303498</v>
      </c>
      <c r="N47">
        <v>2061.5249727751402</v>
      </c>
      <c r="O47">
        <v>2109.8782270891802</v>
      </c>
      <c r="P47">
        <v>2234.34707970625</v>
      </c>
      <c r="Q47">
        <v>2285.0352647980199</v>
      </c>
      <c r="R47">
        <v>2367.70301527118</v>
      </c>
      <c r="S47">
        <v>2503.2699370499099</v>
      </c>
      <c r="T47">
        <v>2470.8613727286202</v>
      </c>
      <c r="U47">
        <v>2521.66497000958</v>
      </c>
      <c r="V47">
        <v>2610.9404096365502</v>
      </c>
      <c r="W47">
        <v>2595.7904430233698</v>
      </c>
      <c r="X47">
        <v>2548.0311766375098</v>
      </c>
      <c r="Y47">
        <v>2623.5682130730702</v>
      </c>
      <c r="Z47">
        <v>2631.0306115633798</v>
      </c>
      <c r="AA47">
        <v>2644.9623121363502</v>
      </c>
      <c r="AB47">
        <v>2661.2951154161501</v>
      </c>
      <c r="AC47">
        <v>2738.9703596889199</v>
      </c>
      <c r="AD47">
        <v>2794.0697214158699</v>
      </c>
      <c r="AE47">
        <v>2853.8359583994402</v>
      </c>
      <c r="AF47">
        <v>2911.0652536601901</v>
      </c>
      <c r="AG47">
        <v>3000.48231461664</v>
      </c>
      <c r="AH47">
        <v>3148.1199069061399</v>
      </c>
      <c r="AI47">
        <v>3169.2214560071502</v>
      </c>
      <c r="AJ47">
        <v>3279.6454344312901</v>
      </c>
      <c r="AK47">
        <v>3368.7562446461802</v>
      </c>
    </row>
    <row r="48" spans="1:37" ht="14.45" x14ac:dyDescent="0.35">
      <c r="A48" t="s">
        <v>662</v>
      </c>
      <c r="B48">
        <v>2023.47461728034</v>
      </c>
      <c r="C48">
        <v>2232.6997483927598</v>
      </c>
      <c r="D48">
        <v>2228.3235511283101</v>
      </c>
      <c r="E48">
        <v>2301.2149952711202</v>
      </c>
      <c r="F48">
        <v>2490.60107337623</v>
      </c>
      <c r="G48">
        <v>2448.95956150747</v>
      </c>
      <c r="H48">
        <v>2310.73995597761</v>
      </c>
      <c r="I48">
        <v>2341.99536610409</v>
      </c>
      <c r="J48">
        <v>2039.4909465850101</v>
      </c>
      <c r="K48">
        <v>2132.6517867245898</v>
      </c>
      <c r="L48">
        <v>2095.9194091581298</v>
      </c>
      <c r="M48">
        <v>2224.9736078291598</v>
      </c>
      <c r="N48">
        <v>2668.9113737901898</v>
      </c>
      <c r="O48">
        <v>2646.4037708979899</v>
      </c>
      <c r="P48">
        <v>2791.1624298652</v>
      </c>
      <c r="Q48">
        <v>2736.9649802059898</v>
      </c>
      <c r="R48">
        <v>2755.3655823059598</v>
      </c>
      <c r="S48">
        <v>2801.04644283882</v>
      </c>
      <c r="T48">
        <v>2376.4688617433899</v>
      </c>
      <c r="U48">
        <v>2271.9821395282902</v>
      </c>
      <c r="V48">
        <v>2366.5930342421898</v>
      </c>
      <c r="W48">
        <v>2308.33812936104</v>
      </c>
      <c r="X48">
        <v>2207.05020771831</v>
      </c>
      <c r="Y48">
        <v>2368.9359503420601</v>
      </c>
      <c r="Z48">
        <v>2402.4125849387601</v>
      </c>
      <c r="AA48">
        <v>2443.9105222467201</v>
      </c>
      <c r="AB48">
        <v>2459.7324037714602</v>
      </c>
      <c r="AC48">
        <v>2566.3508843211098</v>
      </c>
      <c r="AD48">
        <v>2560.5985898939198</v>
      </c>
      <c r="AE48">
        <v>2521.8030055264599</v>
      </c>
      <c r="AF48">
        <v>2428.1787015967202</v>
      </c>
      <c r="AG48">
        <v>2392.25629313626</v>
      </c>
      <c r="AH48">
        <v>2449.1567851395998</v>
      </c>
      <c r="AI48">
        <v>2258.45119663065</v>
      </c>
      <c r="AJ48">
        <v>2302.3651651928899</v>
      </c>
      <c r="AK48">
        <v>2321.65664844304</v>
      </c>
    </row>
    <row r="49" spans="1:37" ht="14.45" x14ac:dyDescent="0.35">
      <c r="A49" t="s">
        <v>663</v>
      </c>
      <c r="B49">
        <v>259.96253510528999</v>
      </c>
      <c r="C49">
        <v>324.15489691653897</v>
      </c>
      <c r="D49">
        <v>348.27817151724003</v>
      </c>
      <c r="E49">
        <v>424.94417333713199</v>
      </c>
      <c r="F49">
        <v>540.645325064345</v>
      </c>
      <c r="G49">
        <v>599.16503088099705</v>
      </c>
      <c r="H49">
        <v>570.24176737360801</v>
      </c>
      <c r="I49">
        <v>199.25737394085499</v>
      </c>
      <c r="J49">
        <v>145.61084016313299</v>
      </c>
      <c r="K49">
        <v>165.10831629926301</v>
      </c>
      <c r="L49">
        <v>155.86842429730899</v>
      </c>
      <c r="M49">
        <v>183.08807406192901</v>
      </c>
      <c r="N49">
        <v>178.895370366739</v>
      </c>
      <c r="O49">
        <v>171.256135914352</v>
      </c>
      <c r="P49">
        <v>189.35354511426399</v>
      </c>
      <c r="Q49">
        <v>178.495389815485</v>
      </c>
      <c r="R49">
        <v>179.36091391847401</v>
      </c>
      <c r="S49">
        <v>199.83634644710901</v>
      </c>
      <c r="T49">
        <v>152.30489881544801</v>
      </c>
      <c r="U49">
        <v>130.51611232546</v>
      </c>
      <c r="V49">
        <v>111.38210238597701</v>
      </c>
      <c r="W49">
        <v>71.312573939736595</v>
      </c>
      <c r="X49">
        <v>42.229222002055103</v>
      </c>
      <c r="Y49">
        <v>38.815007528080102</v>
      </c>
      <c r="Z49">
        <v>32.9618599853276</v>
      </c>
      <c r="AA49">
        <v>30.276934454074102</v>
      </c>
      <c r="AB49">
        <v>28.101870410298002</v>
      </c>
      <c r="AC49">
        <v>30.047081659549601</v>
      </c>
      <c r="AD49">
        <v>28.883725711942201</v>
      </c>
      <c r="AE49">
        <v>26.750220590905201</v>
      </c>
      <c r="AF49">
        <v>23.405218839434401</v>
      </c>
      <c r="AG49">
        <v>21.977895808699401</v>
      </c>
      <c r="AH49">
        <v>24.928191678732698</v>
      </c>
      <c r="AI49">
        <v>18.553882474046699</v>
      </c>
      <c r="AJ49">
        <v>19.951801058007</v>
      </c>
      <c r="AK49">
        <v>20.611353717910902</v>
      </c>
    </row>
    <row r="50" spans="1:37" ht="14.45" x14ac:dyDescent="0.35">
      <c r="A50" t="s">
        <v>664</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row>
    <row r="51" spans="1:37" ht="14.45" x14ac:dyDescent="0.35">
      <c r="A51" t="s">
        <v>665</v>
      </c>
      <c r="B51" s="34">
        <v>2.3736515108920501E-11</v>
      </c>
      <c r="C51">
        <v>38.147112014410503</v>
      </c>
      <c r="D51">
        <v>75.436622727762398</v>
      </c>
      <c r="E51">
        <v>78.047787645598007</v>
      </c>
      <c r="F51">
        <v>96.017963950807498</v>
      </c>
      <c r="G51">
        <v>93.315450500451604</v>
      </c>
      <c r="H51">
        <v>192.849198449223</v>
      </c>
      <c r="I51">
        <v>305.54170772043301</v>
      </c>
      <c r="J51">
        <v>274.526163616779</v>
      </c>
      <c r="K51">
        <v>286.06796187783601</v>
      </c>
      <c r="L51">
        <v>283.75108173573102</v>
      </c>
      <c r="M51">
        <v>303.605244184009</v>
      </c>
      <c r="N51">
        <v>307.800934279643</v>
      </c>
      <c r="O51">
        <v>311.69845187236001</v>
      </c>
      <c r="P51">
        <v>331.94356702652101</v>
      </c>
      <c r="Q51">
        <v>340.19188864351298</v>
      </c>
      <c r="R51">
        <v>382.52883716789199</v>
      </c>
      <c r="S51">
        <v>550.66175474102999</v>
      </c>
      <c r="T51">
        <v>775.74669993285397</v>
      </c>
      <c r="U51">
        <v>920.19314602981899</v>
      </c>
      <c r="V51">
        <v>986.85206995512101</v>
      </c>
      <c r="W51">
        <v>969.96898780518995</v>
      </c>
      <c r="X51">
        <v>937.29970361729204</v>
      </c>
      <c r="Y51">
        <v>982.85740230658303</v>
      </c>
      <c r="Z51">
        <v>992.17779834619205</v>
      </c>
      <c r="AA51">
        <v>1004.58423825687</v>
      </c>
      <c r="AB51">
        <v>1010.40068467994</v>
      </c>
      <c r="AC51">
        <v>1043.4192722289099</v>
      </c>
      <c r="AD51">
        <v>1044.43852468829</v>
      </c>
      <c r="AE51">
        <v>1036.98878286989</v>
      </c>
      <c r="AF51">
        <v>1013.75038495169</v>
      </c>
      <c r="AG51">
        <v>1008.0189645182001</v>
      </c>
      <c r="AH51">
        <v>1028.2385476662701</v>
      </c>
      <c r="AI51">
        <v>977.01533912968296</v>
      </c>
      <c r="AJ51">
        <v>994.19798665687699</v>
      </c>
      <c r="AK51">
        <v>1003.62168245664</v>
      </c>
    </row>
    <row r="52" spans="1:37" ht="14.45" x14ac:dyDescent="0.35">
      <c r="A52" t="s">
        <v>61</v>
      </c>
      <c r="B52">
        <v>4371.9854016734398</v>
      </c>
      <c r="C52">
        <v>4903.5491336832301</v>
      </c>
      <c r="D52">
        <v>4973.17113196841</v>
      </c>
      <c r="E52">
        <v>5170.1270349019096</v>
      </c>
      <c r="F52">
        <v>5606.8199875628397</v>
      </c>
      <c r="G52">
        <v>5542.9875343948497</v>
      </c>
      <c r="H52">
        <v>5281.9605606304203</v>
      </c>
      <c r="I52">
        <v>5344.2683237002302</v>
      </c>
      <c r="J52">
        <v>4758.9137420153302</v>
      </c>
      <c r="K52">
        <v>4959.2938763370803</v>
      </c>
      <c r="L52">
        <v>4904.8219891144199</v>
      </c>
      <c r="M52">
        <v>5216.9089287054503</v>
      </c>
      <c r="N52">
        <v>5217.1326512117103</v>
      </c>
      <c r="O52">
        <v>5239.2365857738796</v>
      </c>
      <c r="P52">
        <v>5546.8066217122396</v>
      </c>
      <c r="Q52">
        <v>5540.6875234630097</v>
      </c>
      <c r="R52">
        <v>5684.9583486635102</v>
      </c>
      <c r="S52">
        <v>6054.8144810768799</v>
      </c>
      <c r="T52">
        <v>5775.38183322031</v>
      </c>
      <c r="U52">
        <v>5844.3563678931496</v>
      </c>
      <c r="V52">
        <v>6075.7676162198404</v>
      </c>
      <c r="W52">
        <v>5945.4101341293399</v>
      </c>
      <c r="X52">
        <v>5734.6103099751699</v>
      </c>
      <c r="Y52">
        <v>6014.1765732497997</v>
      </c>
      <c r="Z52">
        <v>6058.5828548336704</v>
      </c>
      <c r="AA52">
        <v>6123.7340070940199</v>
      </c>
      <c r="AB52">
        <v>6159.53007427786</v>
      </c>
      <c r="AC52">
        <v>6378.7875978984903</v>
      </c>
      <c r="AD52">
        <v>6427.9905617100403</v>
      </c>
      <c r="AE52">
        <v>6439.3779673867002</v>
      </c>
      <c r="AF52">
        <v>6376.3995590480499</v>
      </c>
      <c r="AG52">
        <v>6422.7354680798098</v>
      </c>
      <c r="AH52">
        <v>6650.4434313907605</v>
      </c>
      <c r="AI52">
        <v>6423.2418742415302</v>
      </c>
      <c r="AJ52">
        <v>6596.1603873390704</v>
      </c>
      <c r="AK52">
        <v>6714.6459292637901</v>
      </c>
    </row>
    <row r="54" spans="1:37" ht="14.45" x14ac:dyDescent="0.35">
      <c r="A54" t="s">
        <v>661</v>
      </c>
      <c r="B54">
        <f>B47/B52</f>
        <v>0.47771162467476869</v>
      </c>
      <c r="C54">
        <f t="shared" ref="C54:AK54" si="17">C47/C52</f>
        <v>0.47079111749931379</v>
      </c>
      <c r="D54">
        <f t="shared" si="17"/>
        <v>0.46673092982351727</v>
      </c>
      <c r="E54">
        <f t="shared" si="17"/>
        <v>0.45761352916020709</v>
      </c>
      <c r="F54">
        <f t="shared" si="17"/>
        <v>0.44223920701425229</v>
      </c>
      <c r="G54">
        <f t="shared" si="17"/>
        <v>0.43325868524943678</v>
      </c>
      <c r="H54">
        <f t="shared" si="17"/>
        <v>0.41805114095104723</v>
      </c>
      <c r="I54">
        <f t="shared" si="17"/>
        <v>0.46731820422625509</v>
      </c>
      <c r="J54">
        <f t="shared" si="17"/>
        <v>0.48315349180434947</v>
      </c>
      <c r="K54">
        <f t="shared" si="17"/>
        <v>0.47899274990936858</v>
      </c>
      <c r="L54">
        <f t="shared" si="17"/>
        <v>0.48305179661597281</v>
      </c>
      <c r="M54">
        <f t="shared" si="17"/>
        <v>0.48021578234681067</v>
      </c>
      <c r="N54">
        <f t="shared" si="17"/>
        <v>0.39514520917852047</v>
      </c>
      <c r="O54">
        <f t="shared" si="17"/>
        <v>0.40270718692454949</v>
      </c>
      <c r="P54">
        <f t="shared" si="17"/>
        <v>0.40281683355612119</v>
      </c>
      <c r="Q54">
        <f t="shared" si="17"/>
        <v>0.4124100583405288</v>
      </c>
      <c r="R54">
        <f t="shared" si="17"/>
        <v>0.41648555188232972</v>
      </c>
      <c r="S54">
        <f t="shared" si="17"/>
        <v>0.41343462212977505</v>
      </c>
      <c r="T54">
        <f t="shared" si="17"/>
        <v>0.42782649599305994</v>
      </c>
      <c r="U54">
        <f t="shared" si="17"/>
        <v>0.43147009033581962</v>
      </c>
      <c r="V54">
        <f t="shared" si="17"/>
        <v>0.42973013034046859</v>
      </c>
      <c r="W54">
        <f t="shared" si="17"/>
        <v>0.43660410038364889</v>
      </c>
      <c r="X54">
        <f t="shared" si="17"/>
        <v>0.44432507858560011</v>
      </c>
      <c r="Y54">
        <f t="shared" si="17"/>
        <v>0.43623065952907464</v>
      </c>
      <c r="Z54">
        <f t="shared" si="17"/>
        <v>0.43426502114504978</v>
      </c>
      <c r="AA54">
        <f t="shared" si="17"/>
        <v>0.43191985626291118</v>
      </c>
      <c r="AB54">
        <f t="shared" si="17"/>
        <v>0.43206138834027186</v>
      </c>
      <c r="AC54">
        <f t="shared" si="17"/>
        <v>0.42938729619893307</v>
      </c>
      <c r="AD54">
        <f t="shared" si="17"/>
        <v>0.4346723434940083</v>
      </c>
      <c r="AE54">
        <f t="shared" si="17"/>
        <v>0.4431850363269817</v>
      </c>
      <c r="AF54">
        <f t="shared" si="17"/>
        <v>0.45653745922013567</v>
      </c>
      <c r="AG54">
        <f t="shared" si="17"/>
        <v>0.4671657940029853</v>
      </c>
      <c r="AH54">
        <f t="shared" si="17"/>
        <v>0.4733699247852704</v>
      </c>
      <c r="AI54">
        <f t="shared" si="17"/>
        <v>0.49339905269897349</v>
      </c>
      <c r="AJ54">
        <f t="shared" si="17"/>
        <v>0.49720522877617873</v>
      </c>
      <c r="AK54">
        <f t="shared" si="17"/>
        <v>0.50170273758806205</v>
      </c>
    </row>
    <row r="55" spans="1:37" ht="14.45" x14ac:dyDescent="0.35">
      <c r="A55" t="s">
        <v>662</v>
      </c>
      <c r="B55">
        <f>B48/B52</f>
        <v>0.46282739565091552</v>
      </c>
      <c r="C55">
        <f t="shared" ref="C55:AK55" si="18">C48/C52</f>
        <v>0.45532321335499693</v>
      </c>
      <c r="D55">
        <f t="shared" si="18"/>
        <v>0.44806894675396514</v>
      </c>
      <c r="E55">
        <f t="shared" si="18"/>
        <v>0.44509834666272957</v>
      </c>
      <c r="F55">
        <f t="shared" si="18"/>
        <v>0.4442092093024087</v>
      </c>
      <c r="G55">
        <f t="shared" si="18"/>
        <v>0.44181220800360915</v>
      </c>
      <c r="H55">
        <f t="shared" si="18"/>
        <v>0.43747769970130468</v>
      </c>
      <c r="I55">
        <f t="shared" si="18"/>
        <v>0.43822563244402263</v>
      </c>
      <c r="J55">
        <f t="shared" si="18"/>
        <v>0.42856228482958708</v>
      </c>
      <c r="K55">
        <f t="shared" si="18"/>
        <v>0.43003133911873764</v>
      </c>
      <c r="L55">
        <f t="shared" si="18"/>
        <v>0.42731813994671686</v>
      </c>
      <c r="M55">
        <f t="shared" si="18"/>
        <v>0.42649270635845199</v>
      </c>
      <c r="N55">
        <f t="shared" si="18"/>
        <v>0.51156670765699608</v>
      </c>
      <c r="O55">
        <f t="shared" si="18"/>
        <v>0.50511247728033137</v>
      </c>
      <c r="P55">
        <f t="shared" si="18"/>
        <v>0.50320168345865246</v>
      </c>
      <c r="Q55">
        <f t="shared" si="18"/>
        <v>0.49397569680943626</v>
      </c>
      <c r="R55">
        <f t="shared" si="18"/>
        <v>0.48467647664537861</v>
      </c>
      <c r="S55">
        <f t="shared" si="18"/>
        <v>0.46261474263050245</v>
      </c>
      <c r="T55">
        <f t="shared" si="18"/>
        <v>0.41148255307966164</v>
      </c>
      <c r="U55">
        <f t="shared" si="18"/>
        <v>0.38874804965860155</v>
      </c>
      <c r="V55">
        <f t="shared" si="18"/>
        <v>0.38951342179782261</v>
      </c>
      <c r="W55">
        <f t="shared" si="18"/>
        <v>0.38825549075414267</v>
      </c>
      <c r="X55">
        <f t="shared" si="18"/>
        <v>0.38486489725016143</v>
      </c>
      <c r="Y55">
        <f t="shared" si="18"/>
        <v>0.39389198529334002</v>
      </c>
      <c r="Z55">
        <f t="shared" si="18"/>
        <v>0.39653044985958436</v>
      </c>
      <c r="AA55">
        <f t="shared" si="18"/>
        <v>0.39908828819402997</v>
      </c>
      <c r="AB55">
        <f t="shared" si="18"/>
        <v>0.39933767253500063</v>
      </c>
      <c r="AC55">
        <f t="shared" si="18"/>
        <v>0.40232580955769737</v>
      </c>
      <c r="AD55">
        <f t="shared" si="18"/>
        <v>0.39835133006367124</v>
      </c>
      <c r="AE55">
        <f t="shared" si="18"/>
        <v>0.39162214398635242</v>
      </c>
      <c r="AF55">
        <f t="shared" si="18"/>
        <v>0.38080717481876708</v>
      </c>
      <c r="AG55">
        <f t="shared" si="18"/>
        <v>0.37246688813909179</v>
      </c>
      <c r="AH55">
        <f t="shared" si="18"/>
        <v>0.36826969666102777</v>
      </c>
      <c r="AI55">
        <f t="shared" si="18"/>
        <v>0.35160612675781144</v>
      </c>
      <c r="AJ55">
        <f t="shared" si="18"/>
        <v>0.34904626782758952</v>
      </c>
      <c r="AK55">
        <f t="shared" si="18"/>
        <v>0.34576010007091945</v>
      </c>
    </row>
    <row r="56" spans="1:37" ht="14.45" x14ac:dyDescent="0.35">
      <c r="A56" t="s">
        <v>663</v>
      </c>
      <c r="B56">
        <f>B49/B52</f>
        <v>5.9460979674311271E-2</v>
      </c>
      <c r="C56">
        <f t="shared" ref="C56:AK56" si="19">C49/C52</f>
        <v>6.6106179030586104E-2</v>
      </c>
      <c r="D56">
        <f t="shared" si="19"/>
        <v>7.0031406978627239E-2</v>
      </c>
      <c r="E56">
        <f t="shared" si="19"/>
        <v>8.2192211229717732E-2</v>
      </c>
      <c r="F56">
        <f t="shared" si="19"/>
        <v>9.6426374712156857E-2</v>
      </c>
      <c r="G56">
        <f t="shared" si="19"/>
        <v>0.10809424108625752</v>
      </c>
      <c r="H56">
        <f t="shared" si="19"/>
        <v>0.10796024711429267</v>
      </c>
      <c r="I56">
        <f t="shared" si="19"/>
        <v>3.7284313187870489E-2</v>
      </c>
      <c r="J56">
        <f t="shared" si="19"/>
        <v>3.0597495154738596E-2</v>
      </c>
      <c r="K56">
        <f t="shared" si="19"/>
        <v>3.3292706666782877E-2</v>
      </c>
      <c r="L56">
        <f t="shared" si="19"/>
        <v>3.1778609834003678E-2</v>
      </c>
      <c r="M56">
        <f t="shared" si="19"/>
        <v>3.5095125593338924E-2</v>
      </c>
      <c r="N56">
        <f t="shared" si="19"/>
        <v>3.4289979252336913E-2</v>
      </c>
      <c r="O56">
        <f t="shared" si="19"/>
        <v>3.2687230880041662E-2</v>
      </c>
      <c r="P56">
        <f t="shared" si="19"/>
        <v>3.413739797112534E-2</v>
      </c>
      <c r="Q56">
        <f t="shared" si="19"/>
        <v>3.2215386458740919E-2</v>
      </c>
      <c r="R56">
        <f t="shared" si="19"/>
        <v>3.1550084084721638E-2</v>
      </c>
      <c r="S56">
        <f t="shared" si="19"/>
        <v>3.3004536649579905E-2</v>
      </c>
      <c r="T56">
        <f t="shared" si="19"/>
        <v>2.6371399019781163E-2</v>
      </c>
      <c r="U56">
        <f t="shared" si="19"/>
        <v>2.2331990746229966E-2</v>
      </c>
      <c r="V56">
        <f t="shared" si="19"/>
        <v>1.8332186058043411E-2</v>
      </c>
      <c r="W56">
        <f t="shared" si="19"/>
        <v>1.1994559219787078E-2</v>
      </c>
      <c r="X56">
        <f t="shared" si="19"/>
        <v>7.3639218219586312E-3</v>
      </c>
      <c r="Y56">
        <f t="shared" si="19"/>
        <v>6.4539188458023868E-3</v>
      </c>
      <c r="Z56">
        <f t="shared" si="19"/>
        <v>5.4405231017068461E-3</v>
      </c>
      <c r="AA56">
        <f t="shared" si="19"/>
        <v>4.9441949011828218E-3</v>
      </c>
      <c r="AB56">
        <f t="shared" si="19"/>
        <v>4.5623399953271032E-3</v>
      </c>
      <c r="AC56">
        <f t="shared" si="19"/>
        <v>4.7104690661668525E-3</v>
      </c>
      <c r="AD56">
        <f t="shared" si="19"/>
        <v>4.4934300127936486E-3</v>
      </c>
      <c r="AE56">
        <f t="shared" si="19"/>
        <v>4.1541622073414759E-3</v>
      </c>
      <c r="AF56">
        <f t="shared" si="19"/>
        <v>3.670601037888634E-3</v>
      </c>
      <c r="AG56">
        <f t="shared" si="19"/>
        <v>3.4218902394356405E-3</v>
      </c>
      <c r="AH56">
        <f t="shared" si="19"/>
        <v>3.7483503071493148E-3</v>
      </c>
      <c r="AI56">
        <f t="shared" si="19"/>
        <v>2.8885542281151572E-3</v>
      </c>
      <c r="AJ56">
        <f t="shared" si="19"/>
        <v>3.0247598430601036E-3</v>
      </c>
      <c r="AK56">
        <f t="shared" si="19"/>
        <v>3.0696114039434957E-3</v>
      </c>
    </row>
    <row r="57" spans="1:37" ht="14.45" x14ac:dyDescent="0.35">
      <c r="A57" t="s">
        <v>665</v>
      </c>
      <c r="B57" s="38">
        <f>B51/B52</f>
        <v>5.4292301844912408E-15</v>
      </c>
      <c r="C57" s="38">
        <f t="shared" ref="C57:AK57" si="20">C51/C52</f>
        <v>7.7794901151029871E-3</v>
      </c>
      <c r="D57" s="38">
        <f t="shared" si="20"/>
        <v>1.516871644388882E-2</v>
      </c>
      <c r="E57" s="38">
        <f t="shared" si="20"/>
        <v>1.5095912947345745E-2</v>
      </c>
      <c r="F57" s="38">
        <f t="shared" si="20"/>
        <v>1.7125208971180896E-2</v>
      </c>
      <c r="G57" s="38">
        <f t="shared" si="20"/>
        <v>1.6834865660696318E-2</v>
      </c>
      <c r="H57" s="38">
        <f t="shared" si="20"/>
        <v>3.6510912233355598E-2</v>
      </c>
      <c r="I57" s="38">
        <f t="shared" si="20"/>
        <v>5.7171850141851409E-2</v>
      </c>
      <c r="J57" s="38">
        <f t="shared" si="20"/>
        <v>5.7686728211325214E-2</v>
      </c>
      <c r="K57" s="38">
        <f t="shared" si="20"/>
        <v>5.7683204305110661E-2</v>
      </c>
      <c r="L57" s="38">
        <f t="shared" si="20"/>
        <v>5.7851453603306631E-2</v>
      </c>
      <c r="M57" s="38">
        <f t="shared" si="20"/>
        <v>5.8196385701397915E-2</v>
      </c>
      <c r="N57" s="38">
        <f t="shared" si="20"/>
        <v>5.8998103912146917E-2</v>
      </c>
      <c r="O57" s="38">
        <f t="shared" si="20"/>
        <v>5.9493104915077914E-2</v>
      </c>
      <c r="P57" s="38">
        <f t="shared" si="20"/>
        <v>5.9844085014100164E-2</v>
      </c>
      <c r="Q57" s="38">
        <f t="shared" si="20"/>
        <v>6.1398858391293672E-2</v>
      </c>
      <c r="R57" s="38">
        <f t="shared" si="20"/>
        <v>6.7287887387569259E-2</v>
      </c>
      <c r="S57" s="38">
        <f t="shared" si="20"/>
        <v>9.0946098590140773E-2</v>
      </c>
      <c r="T57" s="38">
        <f t="shared" si="20"/>
        <v>0.13431955190749759</v>
      </c>
      <c r="U57" s="38">
        <f t="shared" si="20"/>
        <v>0.15744986925934878</v>
      </c>
      <c r="V57" s="38">
        <f t="shared" si="20"/>
        <v>0.16242426180366501</v>
      </c>
      <c r="W57" s="38">
        <f t="shared" si="20"/>
        <v>0.16314584964242076</v>
      </c>
      <c r="X57" s="38">
        <f t="shared" si="20"/>
        <v>0.16344610234227938</v>
      </c>
      <c r="Y57" s="38">
        <f t="shared" si="20"/>
        <v>0.16342343633178191</v>
      </c>
      <c r="Z57" s="38">
        <f t="shared" si="20"/>
        <v>0.16376400589365728</v>
      </c>
      <c r="AA57" s="38">
        <f t="shared" si="20"/>
        <v>0.16404766064187515</v>
      </c>
      <c r="AB57" s="38">
        <f t="shared" si="20"/>
        <v>0.1640385991293985</v>
      </c>
      <c r="AC57" s="38">
        <f t="shared" si="20"/>
        <v>0.16357642517720253</v>
      </c>
      <c r="AD57" s="38">
        <f t="shared" si="20"/>
        <v>0.16248289642952396</v>
      </c>
      <c r="AE57" s="38">
        <f t="shared" si="20"/>
        <v>0.16103865747932361</v>
      </c>
      <c r="AF57" s="38">
        <f t="shared" si="20"/>
        <v>0.15898476492320621</v>
      </c>
      <c r="AG57" s="38">
        <f t="shared" si="20"/>
        <v>0.15694542761848559</v>
      </c>
      <c r="AH57" s="38">
        <f t="shared" si="20"/>
        <v>0.15461202824654982</v>
      </c>
      <c r="AI57" s="38">
        <f t="shared" si="20"/>
        <v>0.1521062663150998</v>
      </c>
      <c r="AJ57" s="38">
        <f t="shared" si="20"/>
        <v>0.15072374355317067</v>
      </c>
      <c r="AK57" s="38">
        <f t="shared" si="20"/>
        <v>0.1494675509370722</v>
      </c>
    </row>
    <row r="59" spans="1:37" x14ac:dyDescent="0.25">
      <c r="A59" t="s">
        <v>687</v>
      </c>
    </row>
    <row r="60" spans="1:37" x14ac:dyDescent="0.25">
      <c r="A60" t="s">
        <v>688</v>
      </c>
    </row>
    <row r="61" spans="1:37" x14ac:dyDescent="0.25">
      <c r="A61" t="s">
        <v>690</v>
      </c>
    </row>
    <row r="70" spans="1:37" x14ac:dyDescent="0.25">
      <c r="A70" t="s">
        <v>668</v>
      </c>
    </row>
    <row r="71" spans="1:37" x14ac:dyDescent="0.25">
      <c r="A71" t="s">
        <v>669</v>
      </c>
    </row>
    <row r="72" spans="1:37" x14ac:dyDescent="0.25">
      <c r="A72" t="s">
        <v>663</v>
      </c>
      <c r="C72">
        <f>$C$56</f>
        <v>6.6106179030586104E-2</v>
      </c>
    </row>
    <row r="73" spans="1:37" x14ac:dyDescent="0.25">
      <c r="A73" t="s">
        <v>665</v>
      </c>
      <c r="C73" s="38">
        <f>$C$57</f>
        <v>7.7794901151029871E-3</v>
      </c>
      <c r="V73" s="38">
        <f>$V$57</f>
        <v>0.16242426180366501</v>
      </c>
    </row>
    <row r="75" spans="1:37" x14ac:dyDescent="0.25">
      <c r="A75" t="s">
        <v>670</v>
      </c>
    </row>
    <row r="76" spans="1:37" x14ac:dyDescent="0.25">
      <c r="A76" t="s">
        <v>689</v>
      </c>
    </row>
    <row r="78" spans="1:37" x14ac:dyDescent="0.25">
      <c r="A78" t="s">
        <v>663</v>
      </c>
      <c r="C78">
        <f>$C$56</f>
        <v>6.6106179030586104E-2</v>
      </c>
      <c r="D78">
        <f>C78</f>
        <v>6.6106179030586104E-2</v>
      </c>
      <c r="E78">
        <f t="shared" ref="E78:I78" si="21">D78</f>
        <v>6.6106179030586104E-2</v>
      </c>
      <c r="F78">
        <f t="shared" si="21"/>
        <v>6.6106179030586104E-2</v>
      </c>
      <c r="G78">
        <f t="shared" si="21"/>
        <v>6.6106179030586104E-2</v>
      </c>
      <c r="H78">
        <f t="shared" si="21"/>
        <v>6.6106179030586104E-2</v>
      </c>
      <c r="I78">
        <f t="shared" si="21"/>
        <v>6.6106179030586104E-2</v>
      </c>
      <c r="J78">
        <f>J56</f>
        <v>3.0597495154738596E-2</v>
      </c>
      <c r="K78">
        <f t="shared" ref="K78:AK78" si="22">K56</f>
        <v>3.3292706666782877E-2</v>
      </c>
      <c r="L78">
        <f t="shared" si="22"/>
        <v>3.1778609834003678E-2</v>
      </c>
      <c r="M78">
        <f t="shared" si="22"/>
        <v>3.5095125593338924E-2</v>
      </c>
      <c r="N78">
        <f t="shared" si="22"/>
        <v>3.4289979252336913E-2</v>
      </c>
      <c r="O78">
        <f t="shared" si="22"/>
        <v>3.2687230880041662E-2</v>
      </c>
      <c r="P78">
        <f t="shared" si="22"/>
        <v>3.413739797112534E-2</v>
      </c>
      <c r="Q78">
        <f t="shared" si="22"/>
        <v>3.2215386458740919E-2</v>
      </c>
      <c r="R78">
        <f t="shared" si="22"/>
        <v>3.1550084084721638E-2</v>
      </c>
      <c r="S78">
        <f t="shared" si="22"/>
        <v>3.3004536649579905E-2</v>
      </c>
      <c r="T78">
        <f t="shared" si="22"/>
        <v>2.6371399019781163E-2</v>
      </c>
      <c r="U78">
        <f t="shared" si="22"/>
        <v>2.2331990746229966E-2</v>
      </c>
      <c r="V78">
        <f t="shared" si="22"/>
        <v>1.8332186058043411E-2</v>
      </c>
      <c r="W78">
        <f t="shared" si="22"/>
        <v>1.1994559219787078E-2</v>
      </c>
      <c r="X78">
        <f t="shared" si="22"/>
        <v>7.3639218219586312E-3</v>
      </c>
      <c r="Y78">
        <f t="shared" si="22"/>
        <v>6.4539188458023868E-3</v>
      </c>
      <c r="Z78">
        <f t="shared" si="22"/>
        <v>5.4405231017068461E-3</v>
      </c>
      <c r="AA78">
        <f t="shared" si="22"/>
        <v>4.9441949011828218E-3</v>
      </c>
      <c r="AB78">
        <f t="shared" si="22"/>
        <v>4.5623399953271032E-3</v>
      </c>
      <c r="AC78">
        <f t="shared" si="22"/>
        <v>4.7104690661668525E-3</v>
      </c>
      <c r="AD78">
        <f t="shared" si="22"/>
        <v>4.4934300127936486E-3</v>
      </c>
      <c r="AE78">
        <f t="shared" si="22"/>
        <v>4.1541622073414759E-3</v>
      </c>
      <c r="AF78">
        <f t="shared" si="22"/>
        <v>3.670601037888634E-3</v>
      </c>
      <c r="AG78">
        <f t="shared" si="22"/>
        <v>3.4218902394356405E-3</v>
      </c>
      <c r="AH78">
        <f t="shared" si="22"/>
        <v>3.7483503071493148E-3</v>
      </c>
      <c r="AI78">
        <f t="shared" si="22"/>
        <v>2.8885542281151572E-3</v>
      </c>
      <c r="AJ78">
        <f t="shared" si="22"/>
        <v>3.0247598430601036E-3</v>
      </c>
      <c r="AK78">
        <f t="shared" si="22"/>
        <v>3.0696114039434957E-3</v>
      </c>
    </row>
    <row r="79" spans="1:37" x14ac:dyDescent="0.25">
      <c r="A79" t="s">
        <v>665</v>
      </c>
      <c r="C79" s="38">
        <f>$C$57</f>
        <v>7.7794901151029871E-3</v>
      </c>
      <c r="D79">
        <f>C79+($V$79-$C$79)/20</f>
        <v>1.5511728699531088E-2</v>
      </c>
      <c r="E79">
        <f t="shared" ref="E79:U79" si="23">D79+($V$79-$C$79)/20</f>
        <v>2.324396728395919E-2</v>
      </c>
      <c r="F79">
        <f t="shared" si="23"/>
        <v>3.0976205868387292E-2</v>
      </c>
      <c r="G79">
        <f t="shared" si="23"/>
        <v>3.8708444452815391E-2</v>
      </c>
      <c r="H79">
        <f t="shared" si="23"/>
        <v>4.644068303724349E-2</v>
      </c>
      <c r="I79">
        <f t="shared" si="23"/>
        <v>5.4172921621671588E-2</v>
      </c>
      <c r="J79">
        <f t="shared" si="23"/>
        <v>6.1905160206099687E-2</v>
      </c>
      <c r="K79">
        <f t="shared" si="23"/>
        <v>6.9637398790527785E-2</v>
      </c>
      <c r="L79">
        <f t="shared" si="23"/>
        <v>7.7369637374955891E-2</v>
      </c>
      <c r="M79">
        <f t="shared" si="23"/>
        <v>8.5101875959383996E-2</v>
      </c>
      <c r="N79">
        <f t="shared" si="23"/>
        <v>9.2834114543812102E-2</v>
      </c>
      <c r="O79">
        <f t="shared" si="23"/>
        <v>0.10056635312824021</v>
      </c>
      <c r="P79">
        <f t="shared" si="23"/>
        <v>0.10829859171266831</v>
      </c>
      <c r="Q79">
        <f t="shared" si="23"/>
        <v>0.11603083029709642</v>
      </c>
      <c r="R79">
        <f t="shared" si="23"/>
        <v>0.12376306888152452</v>
      </c>
      <c r="S79">
        <f t="shared" si="23"/>
        <v>0.13149530746595262</v>
      </c>
      <c r="T79">
        <f t="shared" si="23"/>
        <v>0.13922754605038071</v>
      </c>
      <c r="U79">
        <f t="shared" si="23"/>
        <v>0.1469597846348088</v>
      </c>
      <c r="V79" s="38">
        <f>V57</f>
        <v>0.16242426180366501</v>
      </c>
      <c r="W79" s="38">
        <f>V79</f>
        <v>0.16242426180366501</v>
      </c>
      <c r="X79" s="38">
        <f t="shared" ref="X79:AK79" si="24">W79</f>
        <v>0.16242426180366501</v>
      </c>
      <c r="Y79" s="38">
        <f t="shared" si="24"/>
        <v>0.16242426180366501</v>
      </c>
      <c r="Z79" s="38">
        <f t="shared" si="24"/>
        <v>0.16242426180366501</v>
      </c>
      <c r="AA79" s="38">
        <f t="shared" si="24"/>
        <v>0.16242426180366501</v>
      </c>
      <c r="AB79" s="38">
        <f t="shared" si="24"/>
        <v>0.16242426180366501</v>
      </c>
      <c r="AC79" s="38">
        <f t="shared" si="24"/>
        <v>0.16242426180366501</v>
      </c>
      <c r="AD79" s="38">
        <f t="shared" si="24"/>
        <v>0.16242426180366501</v>
      </c>
      <c r="AE79" s="38">
        <f t="shared" si="24"/>
        <v>0.16242426180366501</v>
      </c>
      <c r="AF79" s="38">
        <f t="shared" si="24"/>
        <v>0.16242426180366501</v>
      </c>
      <c r="AG79" s="38">
        <f t="shared" si="24"/>
        <v>0.16242426180366501</v>
      </c>
      <c r="AH79" s="38">
        <f t="shared" si="24"/>
        <v>0.16242426180366501</v>
      </c>
      <c r="AI79" s="38">
        <f t="shared" si="24"/>
        <v>0.16242426180366501</v>
      </c>
      <c r="AJ79" s="38">
        <f t="shared" si="24"/>
        <v>0.16242426180366501</v>
      </c>
      <c r="AK79" s="38">
        <f t="shared" si="24"/>
        <v>0.16242426180366501</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8"/>
  <sheetViews>
    <sheetView workbookViewId="0">
      <selection activeCell="A8" sqref="A8"/>
    </sheetView>
  </sheetViews>
  <sheetFormatPr defaultRowHeight="15" x14ac:dyDescent="0.25"/>
  <cols>
    <col min="1" max="1" width="44.42578125" customWidth="1"/>
    <col min="2" max="2" width="74" customWidth="1"/>
    <col min="13" max="13" width="8.7109375" style="52"/>
    <col min="18" max="18" width="8.7109375" style="53"/>
  </cols>
  <sheetData>
    <row r="1" spans="1:39" ht="14.45" x14ac:dyDescent="0.35">
      <c r="A1" t="s">
        <v>679</v>
      </c>
    </row>
    <row r="2" spans="1:39" ht="14.45" x14ac:dyDescent="0.35">
      <c r="A2" t="s">
        <v>680</v>
      </c>
    </row>
    <row r="3" spans="1:39" ht="14.45" x14ac:dyDescent="0.35">
      <c r="A3" t="s">
        <v>681</v>
      </c>
    </row>
    <row r="4" spans="1:39" ht="14.45" x14ac:dyDescent="0.35">
      <c r="B4" s="61">
        <v>2017</v>
      </c>
      <c r="C4">
        <v>2018</v>
      </c>
      <c r="D4">
        <v>2019</v>
      </c>
      <c r="E4">
        <v>2020</v>
      </c>
      <c r="F4">
        <v>2021</v>
      </c>
      <c r="G4">
        <v>2022</v>
      </c>
      <c r="H4">
        <v>2023</v>
      </c>
      <c r="I4">
        <v>2024</v>
      </c>
      <c r="J4" s="52">
        <v>2025</v>
      </c>
      <c r="K4">
        <v>2026</v>
      </c>
      <c r="L4">
        <v>2027</v>
      </c>
      <c r="M4">
        <v>2028</v>
      </c>
      <c r="N4">
        <v>2029</v>
      </c>
      <c r="O4" s="53">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9" ht="14.45" x14ac:dyDescent="0.35">
      <c r="A5" t="str">
        <f>A69</f>
        <v>Electric</v>
      </c>
      <c r="B5">
        <f t="shared" ref="B5:K6" si="0">E69</f>
        <v>108.09412399999999</v>
      </c>
      <c r="C5">
        <f t="shared" si="0"/>
        <v>206.263992</v>
      </c>
      <c r="D5">
        <f t="shared" si="0"/>
        <v>470.52810699999998</v>
      </c>
      <c r="E5">
        <f t="shared" si="0"/>
        <v>599.15295400000002</v>
      </c>
      <c r="F5">
        <f t="shared" si="0"/>
        <v>719.55011000000002</v>
      </c>
      <c r="G5">
        <f t="shared" si="0"/>
        <v>785.54577600000005</v>
      </c>
      <c r="H5">
        <f t="shared" si="0"/>
        <v>842.00366199999996</v>
      </c>
      <c r="I5">
        <f t="shared" si="0"/>
        <v>909.38183600000002</v>
      </c>
      <c r="J5" s="52">
        <f t="shared" si="0"/>
        <v>962.096497</v>
      </c>
      <c r="K5">
        <f t="shared" si="0"/>
        <v>963.23675500000002</v>
      </c>
      <c r="L5">
        <f t="shared" ref="L5:U6" si="1">O69</f>
        <v>983.455017</v>
      </c>
      <c r="M5">
        <f t="shared" si="1"/>
        <v>1003.50238</v>
      </c>
      <c r="N5">
        <f t="shared" si="1"/>
        <v>1049.824707</v>
      </c>
      <c r="O5" s="53">
        <f t="shared" si="1"/>
        <v>1101.5347899999999</v>
      </c>
      <c r="P5">
        <f t="shared" si="1"/>
        <v>1178.6313479999999</v>
      </c>
      <c r="Q5">
        <f t="shared" si="1"/>
        <v>1239.4079589999999</v>
      </c>
      <c r="R5">
        <f t="shared" si="1"/>
        <v>1317.5888669999999</v>
      </c>
      <c r="S5">
        <f t="shared" si="1"/>
        <v>1402.0170900000001</v>
      </c>
      <c r="T5">
        <f t="shared" si="1"/>
        <v>1480.8422849999999</v>
      </c>
      <c r="U5">
        <f t="shared" si="1"/>
        <v>1556.394775</v>
      </c>
      <c r="V5">
        <f t="shared" ref="V5:AE6" si="2">Y69</f>
        <v>1622.2242429999999</v>
      </c>
      <c r="W5">
        <f t="shared" si="2"/>
        <v>1692.0517580000001</v>
      </c>
      <c r="X5">
        <f t="shared" si="2"/>
        <v>1756.4938959999999</v>
      </c>
      <c r="Y5">
        <f t="shared" si="2"/>
        <v>1822.090698</v>
      </c>
      <c r="Z5">
        <f t="shared" si="2"/>
        <v>1870.7973629999999</v>
      </c>
      <c r="AA5">
        <f t="shared" si="2"/>
        <v>1917.315063</v>
      </c>
      <c r="AB5">
        <f t="shared" si="2"/>
        <v>1964.8897710000001</v>
      </c>
      <c r="AC5">
        <f t="shared" si="2"/>
        <v>2014.804077</v>
      </c>
      <c r="AD5">
        <f t="shared" si="2"/>
        <v>2062.0812989999999</v>
      </c>
      <c r="AE5">
        <f t="shared" si="2"/>
        <v>2111.7995609999998</v>
      </c>
      <c r="AF5">
        <f t="shared" ref="AF5:AI6" si="3">AI69</f>
        <v>2154.9277339999999</v>
      </c>
      <c r="AG5">
        <f t="shared" si="3"/>
        <v>2198.2958979999999</v>
      </c>
      <c r="AH5">
        <f t="shared" si="3"/>
        <v>2244.9223630000001</v>
      </c>
      <c r="AI5">
        <f t="shared" si="3"/>
        <v>2288.2985840000001</v>
      </c>
    </row>
    <row r="6" spans="1:39" ht="14.45" x14ac:dyDescent="0.35">
      <c r="A6" t="str">
        <f>A70</f>
        <v>Plug-in Electric Hybrid</v>
      </c>
      <c r="B6">
        <f t="shared" si="0"/>
        <v>91.240875000000003</v>
      </c>
      <c r="C6">
        <f t="shared" si="0"/>
        <v>176.398056</v>
      </c>
      <c r="D6">
        <f t="shared" si="0"/>
        <v>199.14656099999999</v>
      </c>
      <c r="E6">
        <f t="shared" si="0"/>
        <v>217.85498000000001</v>
      </c>
      <c r="F6">
        <f t="shared" si="0"/>
        <v>250.28263899999999</v>
      </c>
      <c r="G6">
        <f t="shared" si="0"/>
        <v>262.27276599999999</v>
      </c>
      <c r="H6">
        <f t="shared" si="0"/>
        <v>269.39205900000002</v>
      </c>
      <c r="I6">
        <f t="shared" si="0"/>
        <v>279.96743800000002</v>
      </c>
      <c r="J6" s="52">
        <f t="shared" si="0"/>
        <v>291.536652</v>
      </c>
      <c r="K6">
        <f t="shared" si="0"/>
        <v>294.77127100000001</v>
      </c>
      <c r="L6">
        <f t="shared" si="1"/>
        <v>301.42715500000003</v>
      </c>
      <c r="M6">
        <f t="shared" si="1"/>
        <v>306.83090199999998</v>
      </c>
      <c r="N6">
        <f t="shared" si="1"/>
        <v>321.73971599999999</v>
      </c>
      <c r="O6" s="53">
        <f t="shared" si="1"/>
        <v>331.32745399999999</v>
      </c>
      <c r="P6">
        <f t="shared" si="1"/>
        <v>341.095123</v>
      </c>
      <c r="Q6">
        <f t="shared" si="1"/>
        <v>350.58108499999997</v>
      </c>
      <c r="R6">
        <f t="shared" si="1"/>
        <v>359.868652</v>
      </c>
      <c r="S6">
        <f t="shared" si="1"/>
        <v>370.691193</v>
      </c>
      <c r="T6">
        <f t="shared" si="1"/>
        <v>379.92404199999999</v>
      </c>
      <c r="U6">
        <f t="shared" si="1"/>
        <v>390.42361499999998</v>
      </c>
      <c r="V6">
        <f t="shared" si="2"/>
        <v>401.25177000000002</v>
      </c>
      <c r="W6">
        <f t="shared" si="2"/>
        <v>406.60211199999998</v>
      </c>
      <c r="X6">
        <f t="shared" si="2"/>
        <v>416.70404100000002</v>
      </c>
      <c r="Y6">
        <f t="shared" si="2"/>
        <v>427.87902800000001</v>
      </c>
      <c r="Z6">
        <f t="shared" si="2"/>
        <v>435.51357999999999</v>
      </c>
      <c r="AA6">
        <f t="shared" si="2"/>
        <v>443.13809199999997</v>
      </c>
      <c r="AB6">
        <f t="shared" si="2"/>
        <v>450.727081</v>
      </c>
      <c r="AC6">
        <f t="shared" si="2"/>
        <v>459.38079800000003</v>
      </c>
      <c r="AD6">
        <f t="shared" si="2"/>
        <v>467.36834700000003</v>
      </c>
      <c r="AE6">
        <f t="shared" si="2"/>
        <v>476.30490099999997</v>
      </c>
      <c r="AF6">
        <f t="shared" si="3"/>
        <v>484.60043300000001</v>
      </c>
      <c r="AG6">
        <f t="shared" si="3"/>
        <v>492.72619600000002</v>
      </c>
      <c r="AH6">
        <f t="shared" si="3"/>
        <v>501.37835699999999</v>
      </c>
      <c r="AI6">
        <f t="shared" si="3"/>
        <v>511.31332400000002</v>
      </c>
    </row>
    <row r="7" spans="1:39" ht="14.45" x14ac:dyDescent="0.35">
      <c r="A7" t="str">
        <f>A69</f>
        <v>Electric</v>
      </c>
      <c r="B7">
        <f t="shared" ref="B7:AI7" si="4">B5/E78</f>
        <v>2.9278111360608525E-3</v>
      </c>
      <c r="C7">
        <f t="shared" si="4"/>
        <v>5.6409422901770182E-3</v>
      </c>
      <c r="D7">
        <f t="shared" si="4"/>
        <v>1.2752287192116574E-2</v>
      </c>
      <c r="E7">
        <f t="shared" si="4"/>
        <v>1.6148791704677028E-2</v>
      </c>
      <c r="F7">
        <f t="shared" si="4"/>
        <v>1.9032333762409155E-2</v>
      </c>
      <c r="G7">
        <f t="shared" si="4"/>
        <v>2.0787939983390347E-2</v>
      </c>
      <c r="H7">
        <f t="shared" si="4"/>
        <v>2.1888054061202908E-2</v>
      </c>
      <c r="I7">
        <f t="shared" si="4"/>
        <v>2.3384448308452419E-2</v>
      </c>
      <c r="J7" s="52">
        <f t="shared" si="4"/>
        <v>2.4127788863705087E-2</v>
      </c>
      <c r="K7">
        <f t="shared" si="4"/>
        <v>2.4085656524842718E-2</v>
      </c>
      <c r="L7">
        <f t="shared" si="4"/>
        <v>2.4576963779329528E-2</v>
      </c>
      <c r="M7">
        <f t="shared" si="4"/>
        <v>2.4959992303384377E-2</v>
      </c>
      <c r="N7">
        <f t="shared" si="4"/>
        <v>2.6039505145584816E-2</v>
      </c>
      <c r="O7" s="53">
        <f t="shared" si="4"/>
        <v>2.7028812828030387E-2</v>
      </c>
      <c r="P7">
        <f t="shared" si="4"/>
        <v>2.8446703504164211E-2</v>
      </c>
      <c r="Q7">
        <f t="shared" si="4"/>
        <v>2.9784740206718022E-2</v>
      </c>
      <c r="R7">
        <f t="shared" si="4"/>
        <v>3.1335456913968968E-2</v>
      </c>
      <c r="S7">
        <f t="shared" si="4"/>
        <v>3.2977601865446751E-2</v>
      </c>
      <c r="T7">
        <f t="shared" si="4"/>
        <v>3.4648204657659568E-2</v>
      </c>
      <c r="U7">
        <f t="shared" si="4"/>
        <v>3.6276922540066141E-2</v>
      </c>
      <c r="V7">
        <f t="shared" si="4"/>
        <v>3.7555812581547304E-2</v>
      </c>
      <c r="W7">
        <f t="shared" si="4"/>
        <v>3.8879997223178107E-2</v>
      </c>
      <c r="X7">
        <f t="shared" si="4"/>
        <v>4.0248125650127108E-2</v>
      </c>
      <c r="Y7">
        <f t="shared" si="4"/>
        <v>4.1576856165758375E-2</v>
      </c>
      <c r="Z7">
        <f t="shared" si="4"/>
        <v>4.2428754686369828E-2</v>
      </c>
      <c r="AA7">
        <f t="shared" si="4"/>
        <v>4.3484151323950948E-2</v>
      </c>
      <c r="AB7">
        <f t="shared" si="4"/>
        <v>4.4510240334621393E-2</v>
      </c>
      <c r="AC7">
        <f t="shared" si="4"/>
        <v>4.5360947054310603E-2</v>
      </c>
      <c r="AD7">
        <f t="shared" si="4"/>
        <v>4.6224482880697193E-2</v>
      </c>
      <c r="AE7">
        <f t="shared" si="4"/>
        <v>4.7188326473897486E-2</v>
      </c>
      <c r="AF7">
        <f t="shared" si="4"/>
        <v>4.816585999926061E-2</v>
      </c>
      <c r="AG7">
        <f t="shared" si="4"/>
        <v>4.9229264169602785E-2</v>
      </c>
      <c r="AH7">
        <f t="shared" si="4"/>
        <v>5.0180016195016094E-2</v>
      </c>
      <c r="AI7">
        <f t="shared" si="4"/>
        <v>5.1137990151853656E-2</v>
      </c>
    </row>
    <row r="8" spans="1:39" ht="14.45" x14ac:dyDescent="0.35">
      <c r="A8" t="str">
        <f>A70</f>
        <v>Plug-in Electric Hybrid</v>
      </c>
      <c r="B8">
        <f t="shared" ref="B8:AI8" si="5">B6/E78</f>
        <v>2.4713281351809308E-3</v>
      </c>
      <c r="C8">
        <f t="shared" si="5"/>
        <v>4.8241636572001088E-3</v>
      </c>
      <c r="D8">
        <f t="shared" si="5"/>
        <v>5.3972846710183073E-3</v>
      </c>
      <c r="E8">
        <f t="shared" si="5"/>
        <v>5.8717806035328002E-3</v>
      </c>
      <c r="F8">
        <f t="shared" si="5"/>
        <v>6.6200569691867075E-3</v>
      </c>
      <c r="G8">
        <f t="shared" si="5"/>
        <v>6.9405382670987463E-3</v>
      </c>
      <c r="H8">
        <f t="shared" si="5"/>
        <v>7.0029006014593366E-3</v>
      </c>
      <c r="I8">
        <f t="shared" si="5"/>
        <v>7.1992685831046852E-3</v>
      </c>
      <c r="J8" s="52">
        <f t="shared" si="5"/>
        <v>7.3112570385831738E-3</v>
      </c>
      <c r="K8">
        <f t="shared" si="5"/>
        <v>7.3707315982739167E-3</v>
      </c>
      <c r="L8">
        <f t="shared" si="5"/>
        <v>7.5327942229017559E-3</v>
      </c>
      <c r="M8">
        <f t="shared" si="5"/>
        <v>7.6317676021460806E-3</v>
      </c>
      <c r="N8">
        <f t="shared" si="5"/>
        <v>7.9803256052736402E-3</v>
      </c>
      <c r="O8" s="53">
        <f t="shared" si="5"/>
        <v>8.1299182016337842E-3</v>
      </c>
      <c r="P8">
        <f t="shared" si="5"/>
        <v>8.2324569486144552E-3</v>
      </c>
      <c r="Q8">
        <f t="shared" si="5"/>
        <v>8.4249632756427453E-3</v>
      </c>
      <c r="R8">
        <f t="shared" si="5"/>
        <v>8.5585488173634452E-3</v>
      </c>
      <c r="S8">
        <f t="shared" si="5"/>
        <v>8.7192279359315662E-3</v>
      </c>
      <c r="T8">
        <f t="shared" si="5"/>
        <v>8.8893233904252331E-3</v>
      </c>
      <c r="U8">
        <f t="shared" si="5"/>
        <v>9.100112302270872E-3</v>
      </c>
      <c r="V8">
        <f t="shared" si="5"/>
        <v>9.2893053085350338E-3</v>
      </c>
      <c r="W8">
        <f t="shared" si="5"/>
        <v>9.3429110018384866E-3</v>
      </c>
      <c r="X8">
        <f t="shared" si="5"/>
        <v>9.5483147645869879E-3</v>
      </c>
      <c r="Y8">
        <f t="shared" si="5"/>
        <v>9.7634353893729722E-3</v>
      </c>
      <c r="Z8">
        <f t="shared" si="5"/>
        <v>9.877231609291456E-3</v>
      </c>
      <c r="AA8">
        <f t="shared" si="5"/>
        <v>1.0050243813233368E-2</v>
      </c>
      <c r="AB8">
        <f t="shared" si="5"/>
        <v>1.0210227055343739E-2</v>
      </c>
      <c r="AC8">
        <f t="shared" si="5"/>
        <v>1.0342419043975835E-2</v>
      </c>
      <c r="AD8">
        <f t="shared" si="5"/>
        <v>1.0476725706866152E-2</v>
      </c>
      <c r="AE8">
        <f t="shared" si="5"/>
        <v>1.0643070291605871E-2</v>
      </c>
      <c r="AF8">
        <f t="shared" si="5"/>
        <v>1.0831544948439126E-2</v>
      </c>
      <c r="AG8">
        <f t="shared" si="5"/>
        <v>1.1034250706756985E-2</v>
      </c>
      <c r="AH8">
        <f t="shared" si="5"/>
        <v>1.1207146620638193E-2</v>
      </c>
      <c r="AI8">
        <f t="shared" si="5"/>
        <v>1.1426627586998304E-2</v>
      </c>
    </row>
    <row r="9" spans="1:39" ht="14.45" x14ac:dyDescent="0.35">
      <c r="E9">
        <f>E5/E10</f>
        <v>3.7554152221146823E-2</v>
      </c>
      <c r="J9" s="52">
        <f>SUM(J7:J8)</f>
        <v>3.1439045902288264E-2</v>
      </c>
      <c r="K9" s="52">
        <f t="shared" ref="K9:R9" si="6">SUM(K7:K8)</f>
        <v>3.1456388123116637E-2</v>
      </c>
      <c r="L9" s="52">
        <f t="shared" si="6"/>
        <v>3.2109758002231287E-2</v>
      </c>
      <c r="M9" s="52">
        <f t="shared" si="6"/>
        <v>3.2591759905530454E-2</v>
      </c>
      <c r="N9" s="52">
        <f t="shared" si="6"/>
        <v>3.401983075085846E-2</v>
      </c>
      <c r="O9" s="52">
        <f t="shared" si="6"/>
        <v>3.5158731029664173E-2</v>
      </c>
      <c r="P9" s="52">
        <f t="shared" si="6"/>
        <v>3.6679160452778664E-2</v>
      </c>
      <c r="Q9" s="52">
        <f t="shared" si="6"/>
        <v>3.8209703482360767E-2</v>
      </c>
      <c r="R9" s="52">
        <f t="shared" si="6"/>
        <v>3.9894005731332415E-2</v>
      </c>
    </row>
    <row r="10" spans="1:39" ht="14.45" x14ac:dyDescent="0.35">
      <c r="A10" t="str">
        <f t="shared" ref="A10:E10" si="7">A74</f>
        <v>Total Vehicles Sales</v>
      </c>
      <c r="B10" t="str">
        <f t="shared" si="7"/>
        <v>Light-Duty Vehicle Sales: Total Vehicles Sales: Reference case</v>
      </c>
      <c r="C10" t="str">
        <f t="shared" si="7"/>
        <v>48-AEO2019.67.ref2019-d111618a</v>
      </c>
      <c r="D10" t="str">
        <f t="shared" si="7"/>
        <v>thousands</v>
      </c>
      <c r="E10">
        <f t="shared" si="7"/>
        <v>15954.373046999999</v>
      </c>
    </row>
    <row r="11" spans="1:39" ht="14.45" x14ac:dyDescent="0.35">
      <c r="A11" t="s">
        <v>216</v>
      </c>
    </row>
    <row r="12" spans="1:39" ht="14.45" x14ac:dyDescent="0.35">
      <c r="A12" t="s">
        <v>217</v>
      </c>
    </row>
    <row r="13" spans="1:39" ht="14.45" x14ac:dyDescent="0.35">
      <c r="A13" t="s">
        <v>218</v>
      </c>
    </row>
    <row r="14" spans="1:39" ht="14.45" x14ac:dyDescent="0.35">
      <c r="A14" t="s">
        <v>219</v>
      </c>
    </row>
    <row r="15" spans="1:39" ht="14.45" x14ac:dyDescent="0.35">
      <c r="B15" t="s">
        <v>220</v>
      </c>
      <c r="C15" t="s">
        <v>221</v>
      </c>
      <c r="D15" t="s">
        <v>222</v>
      </c>
      <c r="E15">
        <v>2017</v>
      </c>
      <c r="F15">
        <v>2018</v>
      </c>
      <c r="G15">
        <v>2019</v>
      </c>
      <c r="H15">
        <v>2020</v>
      </c>
      <c r="I15">
        <v>2021</v>
      </c>
      <c r="J15">
        <v>2022</v>
      </c>
      <c r="K15">
        <v>2023</v>
      </c>
      <c r="L15">
        <v>2024</v>
      </c>
      <c r="M15" s="52">
        <v>2025</v>
      </c>
      <c r="N15">
        <v>2026</v>
      </c>
      <c r="O15">
        <v>2027</v>
      </c>
      <c r="P15">
        <v>2028</v>
      </c>
      <c r="Q15">
        <v>2029</v>
      </c>
      <c r="R15" s="53">
        <v>2030</v>
      </c>
      <c r="S15">
        <v>2031</v>
      </c>
      <c r="T15">
        <v>2032</v>
      </c>
      <c r="U15">
        <v>2033</v>
      </c>
      <c r="V15">
        <v>2034</v>
      </c>
      <c r="W15">
        <v>2035</v>
      </c>
      <c r="X15">
        <v>2036</v>
      </c>
      <c r="Y15">
        <v>2037</v>
      </c>
      <c r="Z15">
        <v>2038</v>
      </c>
      <c r="AA15">
        <v>2039</v>
      </c>
      <c r="AB15">
        <v>2040</v>
      </c>
      <c r="AC15">
        <v>2041</v>
      </c>
      <c r="AD15">
        <v>2042</v>
      </c>
      <c r="AE15">
        <v>2043</v>
      </c>
      <c r="AF15">
        <v>2044</v>
      </c>
      <c r="AG15">
        <v>2045</v>
      </c>
      <c r="AH15">
        <v>2046</v>
      </c>
      <c r="AI15">
        <v>2047</v>
      </c>
      <c r="AJ15">
        <v>2048</v>
      </c>
      <c r="AK15">
        <v>2049</v>
      </c>
      <c r="AL15">
        <v>2050</v>
      </c>
      <c r="AM15" t="s">
        <v>223</v>
      </c>
    </row>
    <row r="16" spans="1:39" ht="14.45" x14ac:dyDescent="0.35">
      <c r="A16" t="s">
        <v>224</v>
      </c>
      <c r="C16" t="s">
        <v>225</v>
      </c>
    </row>
    <row r="17" spans="1:39" ht="14.45" x14ac:dyDescent="0.35">
      <c r="A17" t="s">
        <v>226</v>
      </c>
      <c r="C17" t="s">
        <v>227</v>
      </c>
    </row>
    <row r="18" spans="1:39" ht="14.45" x14ac:dyDescent="0.35">
      <c r="A18" t="s">
        <v>228</v>
      </c>
      <c r="B18" t="s">
        <v>229</v>
      </c>
      <c r="C18" t="s">
        <v>230</v>
      </c>
      <c r="D18" t="s">
        <v>231</v>
      </c>
      <c r="E18">
        <v>7530.8056640000004</v>
      </c>
      <c r="F18">
        <v>7228.3110349999997</v>
      </c>
      <c r="G18">
        <v>6898.7622069999998</v>
      </c>
      <c r="H18">
        <v>6740.1967770000001</v>
      </c>
      <c r="I18">
        <v>6580.5283200000003</v>
      </c>
      <c r="J18">
        <v>6384.8520509999998</v>
      </c>
      <c r="K18">
        <v>6412.0498049999997</v>
      </c>
      <c r="L18">
        <v>6424.7539059999999</v>
      </c>
      <c r="M18" s="52">
        <v>6442.5839839999999</v>
      </c>
      <c r="N18">
        <v>6458.3627930000002</v>
      </c>
      <c r="O18">
        <v>6518.8383789999998</v>
      </c>
      <c r="P18">
        <v>6577.0722660000001</v>
      </c>
      <c r="Q18">
        <v>6619.7861329999996</v>
      </c>
      <c r="R18" s="53">
        <v>6695.7905270000001</v>
      </c>
      <c r="S18">
        <v>6822.3295900000003</v>
      </c>
      <c r="T18">
        <v>6864.8701170000004</v>
      </c>
      <c r="U18">
        <v>6915.3989259999998</v>
      </c>
      <c r="V18">
        <v>6966.4125979999999</v>
      </c>
      <c r="W18">
        <v>6988.4057620000003</v>
      </c>
      <c r="X18">
        <v>6998.4379879999997</v>
      </c>
      <c r="Y18">
        <v>7027.6499020000001</v>
      </c>
      <c r="Z18">
        <v>7065.4746089999999</v>
      </c>
      <c r="AA18">
        <v>7072.7841799999997</v>
      </c>
      <c r="AB18">
        <v>7088.6147460000002</v>
      </c>
      <c r="AC18">
        <v>7113.1845700000003</v>
      </c>
      <c r="AD18">
        <v>7121.2739259999998</v>
      </c>
      <c r="AE18">
        <v>7134.4921880000002</v>
      </c>
      <c r="AF18">
        <v>7176.5405270000001</v>
      </c>
      <c r="AG18">
        <v>7205.6040039999998</v>
      </c>
      <c r="AH18">
        <v>7218.4125979999999</v>
      </c>
      <c r="AI18">
        <v>7193.4492190000001</v>
      </c>
      <c r="AJ18">
        <v>7153.4775390000004</v>
      </c>
      <c r="AK18">
        <v>7133.4985349999997</v>
      </c>
      <c r="AL18">
        <v>7098.3520509999998</v>
      </c>
      <c r="AM18" s="54">
        <v>-1E-3</v>
      </c>
    </row>
    <row r="19" spans="1:39" ht="14.45" x14ac:dyDescent="0.35">
      <c r="A19" t="s">
        <v>232</v>
      </c>
      <c r="B19" t="s">
        <v>233</v>
      </c>
      <c r="C19" t="s">
        <v>234</v>
      </c>
      <c r="D19" t="s">
        <v>231</v>
      </c>
      <c r="E19">
        <v>2.014081</v>
      </c>
      <c r="F19">
        <v>8.0233290000000004</v>
      </c>
      <c r="G19">
        <v>23.815159000000001</v>
      </c>
      <c r="H19">
        <v>39.822147000000001</v>
      </c>
      <c r="I19">
        <v>44.800072</v>
      </c>
      <c r="J19">
        <v>51.705157999999997</v>
      </c>
      <c r="K19">
        <v>61.558483000000003</v>
      </c>
      <c r="L19">
        <v>71.919380000000004</v>
      </c>
      <c r="M19" s="52">
        <v>86.331588999999994</v>
      </c>
      <c r="N19">
        <v>103.62505299999999</v>
      </c>
      <c r="O19">
        <v>123.29434999999999</v>
      </c>
      <c r="P19">
        <v>148.72796600000001</v>
      </c>
      <c r="Q19">
        <v>164.990219</v>
      </c>
      <c r="R19" s="53">
        <v>182.78720100000001</v>
      </c>
      <c r="S19">
        <v>188.06044</v>
      </c>
      <c r="T19">
        <v>188.97341900000001</v>
      </c>
      <c r="U19">
        <v>184.84728999999999</v>
      </c>
      <c r="V19">
        <v>191.033905</v>
      </c>
      <c r="W19">
        <v>186.978363</v>
      </c>
      <c r="X19">
        <v>181.99996899999999</v>
      </c>
      <c r="Y19">
        <v>180.346619</v>
      </c>
      <c r="Z19">
        <v>177.146164</v>
      </c>
      <c r="AA19">
        <v>174.450256</v>
      </c>
      <c r="AB19">
        <v>172.895477</v>
      </c>
      <c r="AC19">
        <v>172.032837</v>
      </c>
      <c r="AD19">
        <v>169.85827599999999</v>
      </c>
      <c r="AE19">
        <v>168.12609900000001</v>
      </c>
      <c r="AF19">
        <v>167.80808999999999</v>
      </c>
      <c r="AG19">
        <v>165.94313</v>
      </c>
      <c r="AH19">
        <v>166.40708900000001</v>
      </c>
      <c r="AI19">
        <v>165.72305299999999</v>
      </c>
      <c r="AJ19">
        <v>162.90213</v>
      </c>
      <c r="AK19">
        <v>160.80767800000001</v>
      </c>
      <c r="AL19">
        <v>157.17157</v>
      </c>
      <c r="AM19" s="54">
        <v>9.7000000000000003E-2</v>
      </c>
    </row>
    <row r="20" spans="1:39" ht="14.45" x14ac:dyDescent="0.35">
      <c r="A20" t="s">
        <v>235</v>
      </c>
      <c r="B20" t="s">
        <v>236</v>
      </c>
      <c r="C20" t="s">
        <v>237</v>
      </c>
      <c r="D20" t="s">
        <v>231</v>
      </c>
      <c r="E20">
        <v>7532.8198240000002</v>
      </c>
      <c r="F20">
        <v>7236.3344729999999</v>
      </c>
      <c r="G20">
        <v>6922.5771480000003</v>
      </c>
      <c r="H20">
        <v>6780.0190430000002</v>
      </c>
      <c r="I20">
        <v>6625.3286129999997</v>
      </c>
      <c r="J20">
        <v>6436.5571289999998</v>
      </c>
      <c r="K20">
        <v>6473.6083980000003</v>
      </c>
      <c r="L20">
        <v>6496.6733400000003</v>
      </c>
      <c r="M20" s="52">
        <v>6528.9155270000001</v>
      </c>
      <c r="N20">
        <v>6561.9877930000002</v>
      </c>
      <c r="O20">
        <v>6642.1328119999998</v>
      </c>
      <c r="P20">
        <v>6725.8002930000002</v>
      </c>
      <c r="Q20">
        <v>6784.7763670000004</v>
      </c>
      <c r="R20" s="53">
        <v>6878.5776370000003</v>
      </c>
      <c r="S20">
        <v>7010.3901370000003</v>
      </c>
      <c r="T20">
        <v>7053.84375</v>
      </c>
      <c r="U20">
        <v>7100.2460940000001</v>
      </c>
      <c r="V20">
        <v>7157.4462890000004</v>
      </c>
      <c r="W20">
        <v>7175.3842770000001</v>
      </c>
      <c r="X20">
        <v>7180.4379879999997</v>
      </c>
      <c r="Y20">
        <v>7207.9965819999998</v>
      </c>
      <c r="Z20">
        <v>7242.6206050000001</v>
      </c>
      <c r="AA20">
        <v>7247.234375</v>
      </c>
      <c r="AB20">
        <v>7261.5102539999998</v>
      </c>
      <c r="AC20">
        <v>7285.2172849999997</v>
      </c>
      <c r="AD20">
        <v>7291.1323240000002</v>
      </c>
      <c r="AE20">
        <v>7302.6181640000004</v>
      </c>
      <c r="AF20">
        <v>7344.3486329999996</v>
      </c>
      <c r="AG20">
        <v>7371.5473629999997</v>
      </c>
      <c r="AH20">
        <v>7384.8198240000002</v>
      </c>
      <c r="AI20">
        <v>7359.1723629999997</v>
      </c>
      <c r="AJ20">
        <v>7316.3798829999996</v>
      </c>
      <c r="AK20">
        <v>7294.3061520000001</v>
      </c>
      <c r="AL20">
        <v>7255.5234380000002</v>
      </c>
      <c r="AM20" s="54">
        <v>0</v>
      </c>
    </row>
    <row r="21" spans="1:39" ht="14.45" x14ac:dyDescent="0.35">
      <c r="A21" t="s">
        <v>238</v>
      </c>
      <c r="C21" t="s">
        <v>239</v>
      </c>
    </row>
    <row r="22" spans="1:39" x14ac:dyDescent="0.25">
      <c r="A22" t="s">
        <v>240</v>
      </c>
      <c r="B22" t="s">
        <v>241</v>
      </c>
      <c r="C22" t="s">
        <v>242</v>
      </c>
      <c r="D22" t="s">
        <v>231</v>
      </c>
      <c r="E22">
        <v>232.73220800000001</v>
      </c>
      <c r="F22">
        <v>220.67791700000001</v>
      </c>
      <c r="G22">
        <v>213.166504</v>
      </c>
      <c r="H22">
        <v>209.895081</v>
      </c>
      <c r="I22">
        <v>207.28248600000001</v>
      </c>
      <c r="J22">
        <v>202.813141</v>
      </c>
      <c r="K22">
        <v>204.066498</v>
      </c>
      <c r="L22">
        <v>205.56315599999999</v>
      </c>
      <c r="M22" s="52">
        <v>207.43936199999999</v>
      </c>
      <c r="N22">
        <v>208.854309</v>
      </c>
      <c r="O22">
        <v>218.12283300000001</v>
      </c>
      <c r="P22">
        <v>231.41892999999999</v>
      </c>
      <c r="Q22">
        <v>243.846451</v>
      </c>
      <c r="R22" s="53">
        <v>260.24389600000001</v>
      </c>
      <c r="S22">
        <v>269.67044099999998</v>
      </c>
      <c r="T22">
        <v>274.40823399999999</v>
      </c>
      <c r="U22">
        <v>281.80187999999998</v>
      </c>
      <c r="V22">
        <v>292.983521</v>
      </c>
      <c r="W22">
        <v>297.20526100000001</v>
      </c>
      <c r="X22">
        <v>301.89913899999999</v>
      </c>
      <c r="Y22">
        <v>305.776093</v>
      </c>
      <c r="Z22">
        <v>307.25585899999999</v>
      </c>
      <c r="AA22">
        <v>304.05548099999999</v>
      </c>
      <c r="AB22">
        <v>300.85845899999998</v>
      </c>
      <c r="AC22">
        <v>292.75207499999999</v>
      </c>
      <c r="AD22">
        <v>284.67755099999999</v>
      </c>
      <c r="AE22">
        <v>273.72576900000001</v>
      </c>
      <c r="AF22">
        <v>267.73339800000002</v>
      </c>
      <c r="AG22">
        <v>262.45794699999999</v>
      </c>
      <c r="AH22">
        <v>246.370621</v>
      </c>
      <c r="AI22">
        <v>237.94499200000001</v>
      </c>
      <c r="AJ22">
        <v>234.00315900000001</v>
      </c>
      <c r="AK22">
        <v>233.382172</v>
      </c>
      <c r="AL22">
        <v>232.380157</v>
      </c>
      <c r="AM22" s="54">
        <v>2E-3</v>
      </c>
    </row>
    <row r="23" spans="1:39" x14ac:dyDescent="0.25">
      <c r="A23" t="s">
        <v>243</v>
      </c>
      <c r="B23" t="s">
        <v>244</v>
      </c>
      <c r="C23" t="s">
        <v>245</v>
      </c>
      <c r="D23" t="s">
        <v>231</v>
      </c>
      <c r="E23">
        <v>32.803341000000003</v>
      </c>
      <c r="F23">
        <v>14.507841000000001</v>
      </c>
      <c r="G23">
        <v>53.222431</v>
      </c>
      <c r="H23">
        <v>56.504986000000002</v>
      </c>
      <c r="I23">
        <v>61.986359</v>
      </c>
      <c r="J23">
        <v>72.514213999999996</v>
      </c>
      <c r="K23">
        <v>78.208931000000007</v>
      </c>
      <c r="L23">
        <v>88.64846</v>
      </c>
      <c r="M23" s="52">
        <v>94.187270999999996</v>
      </c>
      <c r="N23">
        <v>90.424460999999994</v>
      </c>
      <c r="O23">
        <v>91.515915000000007</v>
      </c>
      <c r="P23">
        <v>87.444962000000004</v>
      </c>
      <c r="Q23">
        <v>88.132750999999999</v>
      </c>
      <c r="R23" s="53">
        <v>87.963333000000006</v>
      </c>
      <c r="S23">
        <v>89.294242999999994</v>
      </c>
      <c r="T23">
        <v>85.798439000000002</v>
      </c>
      <c r="U23">
        <v>86.091178999999997</v>
      </c>
      <c r="V23">
        <v>87.506354999999999</v>
      </c>
      <c r="W23">
        <v>88.548409000000007</v>
      </c>
      <c r="X23">
        <v>89.925835000000006</v>
      </c>
      <c r="Y23">
        <v>89.591544999999996</v>
      </c>
      <c r="Z23">
        <v>91.002510000000001</v>
      </c>
      <c r="AA23">
        <v>92.460319999999996</v>
      </c>
      <c r="AB23">
        <v>94.248694999999998</v>
      </c>
      <c r="AC23">
        <v>94.702881000000005</v>
      </c>
      <c r="AD23">
        <v>95.839554000000007</v>
      </c>
      <c r="AE23">
        <v>96.895545999999996</v>
      </c>
      <c r="AF23">
        <v>98.114052000000001</v>
      </c>
      <c r="AG23">
        <v>99.195685999999995</v>
      </c>
      <c r="AH23">
        <v>100.351158</v>
      </c>
      <c r="AI23">
        <v>101.285149</v>
      </c>
      <c r="AJ23">
        <v>102.18813299999999</v>
      </c>
      <c r="AK23">
        <v>102.95800800000001</v>
      </c>
      <c r="AL23">
        <v>103.951126</v>
      </c>
      <c r="AM23" s="54">
        <v>6.3E-2</v>
      </c>
    </row>
    <row r="24" spans="1:39" x14ac:dyDescent="0.25">
      <c r="A24" t="s">
        <v>246</v>
      </c>
      <c r="B24" t="s">
        <v>247</v>
      </c>
      <c r="C24" t="s">
        <v>248</v>
      </c>
      <c r="D24" t="s">
        <v>231</v>
      </c>
      <c r="E24">
        <v>36.596916</v>
      </c>
      <c r="F24">
        <v>45.548400999999998</v>
      </c>
      <c r="G24">
        <v>167.364349</v>
      </c>
      <c r="H24">
        <v>211.16394</v>
      </c>
      <c r="I24">
        <v>222.59660299999999</v>
      </c>
      <c r="J24">
        <v>229.363708</v>
      </c>
      <c r="K24">
        <v>251.16751099999999</v>
      </c>
      <c r="L24">
        <v>282.23544299999998</v>
      </c>
      <c r="M24" s="52">
        <v>309.16784699999999</v>
      </c>
      <c r="N24">
        <v>309.22421300000002</v>
      </c>
      <c r="O24">
        <v>313.98449699999998</v>
      </c>
      <c r="P24">
        <v>321.720642</v>
      </c>
      <c r="Q24">
        <v>339.12756300000001</v>
      </c>
      <c r="R24" s="53">
        <v>347.173157</v>
      </c>
      <c r="S24">
        <v>373.60693400000002</v>
      </c>
      <c r="T24">
        <v>400.34448200000003</v>
      </c>
      <c r="U24">
        <v>431.36184700000001</v>
      </c>
      <c r="V24">
        <v>466.52743500000003</v>
      </c>
      <c r="W24">
        <v>500.84573399999999</v>
      </c>
      <c r="X24">
        <v>535.83123799999998</v>
      </c>
      <c r="Y24">
        <v>569.00164800000005</v>
      </c>
      <c r="Z24">
        <v>606.24292000000003</v>
      </c>
      <c r="AA24">
        <v>643.16662599999995</v>
      </c>
      <c r="AB24">
        <v>683.19335899999999</v>
      </c>
      <c r="AC24">
        <v>705.88586399999997</v>
      </c>
      <c r="AD24">
        <v>725.70654300000001</v>
      </c>
      <c r="AE24">
        <v>743.03479000000004</v>
      </c>
      <c r="AF24">
        <v>761.01672399999995</v>
      </c>
      <c r="AG24">
        <v>778.44134499999996</v>
      </c>
      <c r="AH24">
        <v>796.45849599999997</v>
      </c>
      <c r="AI24">
        <v>811.037598</v>
      </c>
      <c r="AJ24">
        <v>826.44207800000004</v>
      </c>
      <c r="AK24">
        <v>840.94860800000004</v>
      </c>
      <c r="AL24">
        <v>853.91064500000005</v>
      </c>
      <c r="AM24" s="54">
        <v>9.6000000000000002E-2</v>
      </c>
    </row>
    <row r="25" spans="1:39" x14ac:dyDescent="0.25">
      <c r="A25" t="s">
        <v>249</v>
      </c>
      <c r="B25" t="s">
        <v>250</v>
      </c>
      <c r="C25" t="s">
        <v>251</v>
      </c>
      <c r="D25" t="s">
        <v>231</v>
      </c>
      <c r="E25">
        <v>30.850110999999998</v>
      </c>
      <c r="F25">
        <v>135.28694200000001</v>
      </c>
      <c r="G25">
        <v>216.215622</v>
      </c>
      <c r="H25">
        <v>281.88769500000001</v>
      </c>
      <c r="I25">
        <v>357.01815800000003</v>
      </c>
      <c r="J25">
        <v>376.84274299999998</v>
      </c>
      <c r="K25">
        <v>402.21276899999998</v>
      </c>
      <c r="L25">
        <v>415.685181</v>
      </c>
      <c r="M25" s="52">
        <v>425.46713299999999</v>
      </c>
      <c r="N25">
        <v>430.07592799999998</v>
      </c>
      <c r="O25">
        <v>444.10629299999999</v>
      </c>
      <c r="P25">
        <v>464.97979700000002</v>
      </c>
      <c r="Q25">
        <v>490.40185500000001</v>
      </c>
      <c r="R25" s="53">
        <v>532.59448199999997</v>
      </c>
      <c r="S25">
        <v>578.47979699999996</v>
      </c>
      <c r="T25">
        <v>621.393372</v>
      </c>
      <c r="U25">
        <v>665.11193800000001</v>
      </c>
      <c r="V25">
        <v>707.97406000000001</v>
      </c>
      <c r="W25">
        <v>746.54815699999995</v>
      </c>
      <c r="X25">
        <v>779.98071300000004</v>
      </c>
      <c r="Y25">
        <v>809.73785399999997</v>
      </c>
      <c r="Z25">
        <v>834.71264599999995</v>
      </c>
      <c r="AA25">
        <v>853.98937999999998</v>
      </c>
      <c r="AB25">
        <v>870.14099099999999</v>
      </c>
      <c r="AC25">
        <v>888.90002400000003</v>
      </c>
      <c r="AD25">
        <v>907.25775099999998</v>
      </c>
      <c r="AE25">
        <v>928.254456</v>
      </c>
      <c r="AF25">
        <v>949.59588599999995</v>
      </c>
      <c r="AG25">
        <v>968.74060099999997</v>
      </c>
      <c r="AH25">
        <v>988.10186799999997</v>
      </c>
      <c r="AI25">
        <v>1004.0483400000001</v>
      </c>
      <c r="AJ25">
        <v>1018.749268</v>
      </c>
      <c r="AK25">
        <v>1036.1777340000001</v>
      </c>
      <c r="AL25">
        <v>1050.0291749999999</v>
      </c>
      <c r="AM25" s="54">
        <v>6.6000000000000003E-2</v>
      </c>
    </row>
    <row r="26" spans="1:39" x14ac:dyDescent="0.25">
      <c r="A26" t="s">
        <v>252</v>
      </c>
      <c r="B26" t="s">
        <v>253</v>
      </c>
      <c r="C26" t="s">
        <v>254</v>
      </c>
      <c r="D26" t="s">
        <v>231</v>
      </c>
      <c r="E26">
        <v>22.827991000000001</v>
      </c>
      <c r="F26">
        <v>29.022835000000001</v>
      </c>
      <c r="G26">
        <v>32.499488999999997</v>
      </c>
      <c r="H26">
        <v>37.421421000000002</v>
      </c>
      <c r="I26">
        <v>53.468451999999999</v>
      </c>
      <c r="J26">
        <v>62.236590999999997</v>
      </c>
      <c r="K26">
        <v>67.023514000000006</v>
      </c>
      <c r="L26">
        <v>71.854812999999993</v>
      </c>
      <c r="M26" s="52">
        <v>78.188445999999999</v>
      </c>
      <c r="N26">
        <v>79.583008000000007</v>
      </c>
      <c r="O26">
        <v>81.446258999999998</v>
      </c>
      <c r="P26">
        <v>82.679778999999996</v>
      </c>
      <c r="Q26">
        <v>83.616737000000001</v>
      </c>
      <c r="R26" s="53">
        <v>84.385384000000002</v>
      </c>
      <c r="S26">
        <v>85.340125999999998</v>
      </c>
      <c r="T26">
        <v>86.039703000000003</v>
      </c>
      <c r="U26">
        <v>86.582977</v>
      </c>
      <c r="V26">
        <v>87.349120999999997</v>
      </c>
      <c r="W26">
        <v>87.777916000000005</v>
      </c>
      <c r="X26">
        <v>88.601326</v>
      </c>
      <c r="Y26">
        <v>89.745987</v>
      </c>
      <c r="Z26">
        <v>88.789375000000007</v>
      </c>
      <c r="AA26">
        <v>89.421988999999996</v>
      </c>
      <c r="AB26">
        <v>90.217162999999999</v>
      </c>
      <c r="AC26">
        <v>90.522293000000005</v>
      </c>
      <c r="AD26">
        <v>90.703720000000004</v>
      </c>
      <c r="AE26">
        <v>91.057922000000005</v>
      </c>
      <c r="AF26">
        <v>91.530524999999997</v>
      </c>
      <c r="AG26">
        <v>91.753524999999996</v>
      </c>
      <c r="AH26">
        <v>92.020409000000001</v>
      </c>
      <c r="AI26">
        <v>92.236403999999993</v>
      </c>
      <c r="AJ26">
        <v>92.220528000000002</v>
      </c>
      <c r="AK26">
        <v>92.279121000000004</v>
      </c>
      <c r="AL26">
        <v>92.619964999999993</v>
      </c>
      <c r="AM26" s="54">
        <v>3.6999999999999998E-2</v>
      </c>
    </row>
    <row r="27" spans="1:39" x14ac:dyDescent="0.25">
      <c r="A27" t="s">
        <v>255</v>
      </c>
      <c r="B27" t="s">
        <v>256</v>
      </c>
      <c r="C27" t="s">
        <v>257</v>
      </c>
      <c r="D27" t="s">
        <v>231</v>
      </c>
      <c r="E27">
        <v>47.444186999999999</v>
      </c>
      <c r="F27">
        <v>107.649361</v>
      </c>
      <c r="G27">
        <v>113.503204</v>
      </c>
      <c r="H27">
        <v>118.5467</v>
      </c>
      <c r="I27">
        <v>110.668419</v>
      </c>
      <c r="J27">
        <v>101.89386</v>
      </c>
      <c r="K27">
        <v>98.666313000000002</v>
      </c>
      <c r="L27">
        <v>99.143165999999994</v>
      </c>
      <c r="M27" s="52">
        <v>96.735031000000006</v>
      </c>
      <c r="N27">
        <v>98.697158999999999</v>
      </c>
      <c r="O27">
        <v>103.60118900000001</v>
      </c>
      <c r="P27">
        <v>109.448669</v>
      </c>
      <c r="Q27">
        <v>121.749268</v>
      </c>
      <c r="R27" s="53">
        <v>128.817093</v>
      </c>
      <c r="S27">
        <v>135.848175</v>
      </c>
      <c r="T27">
        <v>142.723816</v>
      </c>
      <c r="U27">
        <v>149.379471</v>
      </c>
      <c r="V27">
        <v>156.81561300000001</v>
      </c>
      <c r="W27">
        <v>163.128311</v>
      </c>
      <c r="X27">
        <v>169.39154099999999</v>
      </c>
      <c r="Y27">
        <v>174.708755</v>
      </c>
      <c r="Z27">
        <v>179.84612999999999</v>
      </c>
      <c r="AA27">
        <v>185.17773399999999</v>
      </c>
      <c r="AB27">
        <v>190.777008</v>
      </c>
      <c r="AC27">
        <v>193.62318400000001</v>
      </c>
      <c r="AD27">
        <v>196.55673200000001</v>
      </c>
      <c r="AE27">
        <v>198.55392499999999</v>
      </c>
      <c r="AF27">
        <v>200.78985599999999</v>
      </c>
      <c r="AG27">
        <v>202.810867</v>
      </c>
      <c r="AH27">
        <v>204.66210899999999</v>
      </c>
      <c r="AI27">
        <v>205.67262299999999</v>
      </c>
      <c r="AJ27">
        <v>206.79814099999999</v>
      </c>
      <c r="AK27">
        <v>207.49127200000001</v>
      </c>
      <c r="AL27">
        <v>208.18980400000001</v>
      </c>
      <c r="AM27" s="54">
        <v>2.1000000000000001E-2</v>
      </c>
    </row>
    <row r="28" spans="1:39" x14ac:dyDescent="0.25">
      <c r="A28" t="s">
        <v>258</v>
      </c>
      <c r="B28" t="s">
        <v>259</v>
      </c>
      <c r="C28" t="s">
        <v>260</v>
      </c>
      <c r="D28" t="s">
        <v>231</v>
      </c>
      <c r="E28">
        <v>0</v>
      </c>
      <c r="F28">
        <v>0</v>
      </c>
      <c r="G28">
        <v>0</v>
      </c>
      <c r="H28">
        <v>0</v>
      </c>
      <c r="I28">
        <v>0</v>
      </c>
      <c r="J28">
        <v>0</v>
      </c>
      <c r="K28">
        <v>0</v>
      </c>
      <c r="L28">
        <v>0</v>
      </c>
      <c r="M28" s="52">
        <v>0</v>
      </c>
      <c r="N28">
        <v>0</v>
      </c>
      <c r="O28">
        <v>0</v>
      </c>
      <c r="P28">
        <v>0</v>
      </c>
      <c r="Q28">
        <v>0</v>
      </c>
      <c r="R28" s="53">
        <v>1.105901</v>
      </c>
      <c r="S28">
        <v>4.9388050000000003</v>
      </c>
      <c r="T28">
        <v>8.250902</v>
      </c>
      <c r="U28">
        <v>10.139390000000001</v>
      </c>
      <c r="V28">
        <v>11.138145</v>
      </c>
      <c r="W28">
        <v>11.594105000000001</v>
      </c>
      <c r="X28">
        <v>11.77393</v>
      </c>
      <c r="Y28">
        <v>12.023985</v>
      </c>
      <c r="Z28">
        <v>12.15597</v>
      </c>
      <c r="AA28">
        <v>12.272347999999999</v>
      </c>
      <c r="AB28">
        <v>12.491013000000001</v>
      </c>
      <c r="AC28">
        <v>12.760185999999999</v>
      </c>
      <c r="AD28">
        <v>12.903351000000001</v>
      </c>
      <c r="AE28">
        <v>13.054422000000001</v>
      </c>
      <c r="AF28">
        <v>13.249292000000001</v>
      </c>
      <c r="AG28">
        <v>13.353697</v>
      </c>
      <c r="AH28">
        <v>13.549345000000001</v>
      </c>
      <c r="AI28">
        <v>13.706545</v>
      </c>
      <c r="AJ28">
        <v>13.738318</v>
      </c>
      <c r="AK28">
        <v>13.814503999999999</v>
      </c>
      <c r="AL28">
        <v>13.754822000000001</v>
      </c>
      <c r="AM28" t="s">
        <v>20</v>
      </c>
    </row>
    <row r="29" spans="1:39" x14ac:dyDescent="0.25">
      <c r="A29" t="s">
        <v>261</v>
      </c>
      <c r="B29" t="s">
        <v>262</v>
      </c>
      <c r="C29" t="s">
        <v>263</v>
      </c>
      <c r="D29" t="s">
        <v>231</v>
      </c>
      <c r="E29">
        <v>418.124908</v>
      </c>
      <c r="F29">
        <v>497.53155500000003</v>
      </c>
      <c r="G29">
        <v>497.56658900000002</v>
      </c>
      <c r="H29">
        <v>497.03857399999998</v>
      </c>
      <c r="I29">
        <v>493.93173200000001</v>
      </c>
      <c r="J29">
        <v>493.773346</v>
      </c>
      <c r="K29">
        <v>516.04711899999995</v>
      </c>
      <c r="L29">
        <v>542.33563200000003</v>
      </c>
      <c r="M29" s="52">
        <v>553.57269299999996</v>
      </c>
      <c r="N29">
        <v>578.45391800000004</v>
      </c>
      <c r="O29">
        <v>608.72827099999995</v>
      </c>
      <c r="P29">
        <v>637.378601</v>
      </c>
      <c r="Q29">
        <v>666.72582999999997</v>
      </c>
      <c r="R29" s="53">
        <v>693.18383800000004</v>
      </c>
      <c r="S29">
        <v>720.51599099999999</v>
      </c>
      <c r="T29">
        <v>736.57128899999998</v>
      </c>
      <c r="U29">
        <v>752.34313999999995</v>
      </c>
      <c r="V29">
        <v>768.43975799999998</v>
      </c>
      <c r="W29">
        <v>779.55926499999998</v>
      </c>
      <c r="X29">
        <v>788.90924099999995</v>
      </c>
      <c r="Y29">
        <v>797.542419</v>
      </c>
      <c r="Z29">
        <v>806.92706299999998</v>
      </c>
      <c r="AA29">
        <v>812.96698000000004</v>
      </c>
      <c r="AB29">
        <v>820.23181199999999</v>
      </c>
      <c r="AC29">
        <v>827.95745799999997</v>
      </c>
      <c r="AD29">
        <v>830.11541699999998</v>
      </c>
      <c r="AE29">
        <v>831.26953100000003</v>
      </c>
      <c r="AF29">
        <v>835.08062700000005</v>
      </c>
      <c r="AG29">
        <v>837.72619599999996</v>
      </c>
      <c r="AH29">
        <v>838.56036400000005</v>
      </c>
      <c r="AI29">
        <v>835.19409199999996</v>
      </c>
      <c r="AJ29">
        <v>830.89190699999995</v>
      </c>
      <c r="AK29">
        <v>827.82391399999995</v>
      </c>
      <c r="AL29">
        <v>822.77740500000004</v>
      </c>
      <c r="AM29" s="54">
        <v>1.6E-2</v>
      </c>
    </row>
    <row r="30" spans="1:39" x14ac:dyDescent="0.25">
      <c r="A30" t="s">
        <v>264</v>
      </c>
      <c r="B30" t="s">
        <v>265</v>
      </c>
      <c r="C30" t="s">
        <v>266</v>
      </c>
      <c r="D30" t="s">
        <v>231</v>
      </c>
      <c r="E30">
        <v>10.569535999999999</v>
      </c>
      <c r="F30">
        <v>0.66113999999999995</v>
      </c>
      <c r="G30">
        <v>0.67041099999999998</v>
      </c>
      <c r="H30">
        <v>0.687415</v>
      </c>
      <c r="I30">
        <v>0.71739799999999998</v>
      </c>
      <c r="J30">
        <v>0.74665599999999999</v>
      </c>
      <c r="K30">
        <v>0.80946399999999996</v>
      </c>
      <c r="L30">
        <v>0.86856</v>
      </c>
      <c r="M30" s="52">
        <v>0.89329700000000001</v>
      </c>
      <c r="N30">
        <v>0.90999099999999999</v>
      </c>
      <c r="O30">
        <v>0.92514200000000002</v>
      </c>
      <c r="P30">
        <v>0.93882399999999999</v>
      </c>
      <c r="Q30">
        <v>0.93973399999999996</v>
      </c>
      <c r="R30" s="53">
        <v>0.95840000000000003</v>
      </c>
      <c r="S30">
        <v>0.98181300000000005</v>
      </c>
      <c r="T30">
        <v>0.99435600000000002</v>
      </c>
      <c r="U30">
        <v>1.0078689999999999</v>
      </c>
      <c r="V30">
        <v>1.0240419999999999</v>
      </c>
      <c r="W30">
        <v>1.034287</v>
      </c>
      <c r="X30">
        <v>1.0428869999999999</v>
      </c>
      <c r="Y30">
        <v>1.051871</v>
      </c>
      <c r="Z30">
        <v>1.0619860000000001</v>
      </c>
      <c r="AA30">
        <v>1.069091</v>
      </c>
      <c r="AB30">
        <v>1.0780590000000001</v>
      </c>
      <c r="AC30">
        <v>1.086595</v>
      </c>
      <c r="AD30">
        <v>1.0932360000000001</v>
      </c>
      <c r="AE30">
        <v>1.0999319999999999</v>
      </c>
      <c r="AF30">
        <v>1.109775</v>
      </c>
      <c r="AG30">
        <v>1.116827</v>
      </c>
      <c r="AH30">
        <v>1.121769</v>
      </c>
      <c r="AI30">
        <v>1.1217969999999999</v>
      </c>
      <c r="AJ30">
        <v>1.1199319999999999</v>
      </c>
      <c r="AK30">
        <v>1.1211690000000001</v>
      </c>
      <c r="AL30">
        <v>1.119902</v>
      </c>
      <c r="AM30" s="54">
        <v>1.7000000000000001E-2</v>
      </c>
    </row>
    <row r="31" spans="1:39" x14ac:dyDescent="0.25">
      <c r="A31" t="s">
        <v>267</v>
      </c>
      <c r="B31" t="s">
        <v>268</v>
      </c>
      <c r="C31" t="s">
        <v>269</v>
      </c>
      <c r="D31" t="s">
        <v>231</v>
      </c>
      <c r="E31">
        <v>3.7069570000000001</v>
      </c>
      <c r="F31">
        <v>3.7867570000000002</v>
      </c>
      <c r="G31">
        <v>3.7774839999999998</v>
      </c>
      <c r="H31">
        <v>3.77142</v>
      </c>
      <c r="I31">
        <v>3.7485119999999998</v>
      </c>
      <c r="J31">
        <v>3.6748569999999998</v>
      </c>
      <c r="K31">
        <v>3.724745</v>
      </c>
      <c r="L31">
        <v>3.7764769999999999</v>
      </c>
      <c r="M31" s="52">
        <v>3.816211</v>
      </c>
      <c r="N31">
        <v>3.8462420000000002</v>
      </c>
      <c r="O31">
        <v>3.9143910000000002</v>
      </c>
      <c r="P31">
        <v>3.9867530000000002</v>
      </c>
      <c r="Q31">
        <v>4.0541859999999996</v>
      </c>
      <c r="R31" s="53">
        <v>4.1451700000000002</v>
      </c>
      <c r="S31">
        <v>4.2613979999999998</v>
      </c>
      <c r="T31">
        <v>4.3257180000000002</v>
      </c>
      <c r="U31">
        <v>4.3961699999999997</v>
      </c>
      <c r="V31">
        <v>4.4760759999999999</v>
      </c>
      <c r="W31">
        <v>4.5295449999999997</v>
      </c>
      <c r="X31">
        <v>4.5748680000000004</v>
      </c>
      <c r="Y31">
        <v>4.6251559999999996</v>
      </c>
      <c r="Z31">
        <v>4.6780730000000004</v>
      </c>
      <c r="AA31">
        <v>4.7125300000000001</v>
      </c>
      <c r="AB31">
        <v>4.7527229999999996</v>
      </c>
      <c r="AC31">
        <v>4.7866359999999997</v>
      </c>
      <c r="AD31">
        <v>4.8088379999999997</v>
      </c>
      <c r="AE31">
        <v>4.8308619999999998</v>
      </c>
      <c r="AF31">
        <v>4.8699760000000003</v>
      </c>
      <c r="AG31">
        <v>4.9006499999999997</v>
      </c>
      <c r="AH31">
        <v>4.9203939999999999</v>
      </c>
      <c r="AI31">
        <v>4.9198560000000002</v>
      </c>
      <c r="AJ31">
        <v>4.912839</v>
      </c>
      <c r="AK31">
        <v>4.9172450000000003</v>
      </c>
      <c r="AL31">
        <v>4.9104570000000001</v>
      </c>
      <c r="AM31" s="54">
        <v>8.0000000000000002E-3</v>
      </c>
    </row>
    <row r="32" spans="1:39" x14ac:dyDescent="0.25">
      <c r="A32" t="s">
        <v>270</v>
      </c>
      <c r="B32" t="s">
        <v>271</v>
      </c>
      <c r="C32" t="s">
        <v>272</v>
      </c>
      <c r="D32" t="s">
        <v>231</v>
      </c>
      <c r="E32">
        <v>0.61745399999999995</v>
      </c>
      <c r="F32">
        <v>0.55335400000000001</v>
      </c>
      <c r="G32">
        <v>0.545489</v>
      </c>
      <c r="H32">
        <v>0.53789299999999995</v>
      </c>
      <c r="I32">
        <v>0.53390400000000005</v>
      </c>
      <c r="J32">
        <v>0.51629999999999998</v>
      </c>
      <c r="K32">
        <v>0.51967200000000002</v>
      </c>
      <c r="L32">
        <v>0.52686200000000005</v>
      </c>
      <c r="M32" s="52">
        <v>0.52944599999999997</v>
      </c>
      <c r="N32">
        <v>0.53485400000000005</v>
      </c>
      <c r="O32">
        <v>0.54456300000000002</v>
      </c>
      <c r="P32">
        <v>0.55776599999999998</v>
      </c>
      <c r="Q32">
        <v>0.56822799999999996</v>
      </c>
      <c r="R32" s="53">
        <v>0.58725400000000005</v>
      </c>
      <c r="S32">
        <v>0.60581600000000002</v>
      </c>
      <c r="T32">
        <v>0.61814899999999995</v>
      </c>
      <c r="U32">
        <v>0.63113900000000001</v>
      </c>
      <c r="V32">
        <v>0.644957</v>
      </c>
      <c r="W32">
        <v>0.65603699999999998</v>
      </c>
      <c r="X32">
        <v>0.66583599999999998</v>
      </c>
      <c r="Y32">
        <v>0.67810800000000004</v>
      </c>
      <c r="Z32">
        <v>0.68908400000000003</v>
      </c>
      <c r="AA32">
        <v>0.69871499999999997</v>
      </c>
      <c r="AB32">
        <v>0.70992100000000002</v>
      </c>
      <c r="AC32">
        <v>0.72137099999999998</v>
      </c>
      <c r="AD32">
        <v>0.73021899999999995</v>
      </c>
      <c r="AE32">
        <v>0.740838</v>
      </c>
      <c r="AF32">
        <v>0.752915</v>
      </c>
      <c r="AG32">
        <v>0.76356400000000002</v>
      </c>
      <c r="AH32">
        <v>0.77384799999999998</v>
      </c>
      <c r="AI32">
        <v>0.78159800000000001</v>
      </c>
      <c r="AJ32">
        <v>0.78814200000000001</v>
      </c>
      <c r="AK32">
        <v>0.79855699999999996</v>
      </c>
      <c r="AL32">
        <v>0.806338</v>
      </c>
      <c r="AM32" s="54">
        <v>1.2E-2</v>
      </c>
    </row>
    <row r="33" spans="1:39" x14ac:dyDescent="0.25">
      <c r="A33" t="s">
        <v>273</v>
      </c>
      <c r="B33" t="s">
        <v>271</v>
      </c>
      <c r="C33" t="s">
        <v>274</v>
      </c>
      <c r="D33" t="s">
        <v>231</v>
      </c>
      <c r="E33">
        <v>1.101329</v>
      </c>
      <c r="F33">
        <v>0.97308700000000004</v>
      </c>
      <c r="G33">
        <v>0.94430099999999995</v>
      </c>
      <c r="H33">
        <v>0.93775500000000001</v>
      </c>
      <c r="I33">
        <v>0.92902899999999999</v>
      </c>
      <c r="J33">
        <v>0.90934599999999999</v>
      </c>
      <c r="K33">
        <v>0.92093599999999998</v>
      </c>
      <c r="L33">
        <v>0.93286899999999995</v>
      </c>
      <c r="M33" s="52">
        <v>0.94206100000000004</v>
      </c>
      <c r="N33">
        <v>0.948299</v>
      </c>
      <c r="O33">
        <v>0.964561</v>
      </c>
      <c r="P33">
        <v>0.98182100000000005</v>
      </c>
      <c r="Q33">
        <v>0.99890599999999996</v>
      </c>
      <c r="R33" s="53">
        <v>1.0211840000000001</v>
      </c>
      <c r="S33">
        <v>1.0495540000000001</v>
      </c>
      <c r="T33">
        <v>1.0649090000000001</v>
      </c>
      <c r="U33">
        <v>1.0815680000000001</v>
      </c>
      <c r="V33">
        <v>1.1003799999999999</v>
      </c>
      <c r="W33">
        <v>1.112957</v>
      </c>
      <c r="X33">
        <v>1.123667</v>
      </c>
      <c r="Y33">
        <v>1.1356170000000001</v>
      </c>
      <c r="Z33">
        <v>1.1482840000000001</v>
      </c>
      <c r="AA33">
        <v>1.1564779999999999</v>
      </c>
      <c r="AB33">
        <v>1.1662220000000001</v>
      </c>
      <c r="AC33">
        <v>1.174464</v>
      </c>
      <c r="AD33">
        <v>1.1798420000000001</v>
      </c>
      <c r="AE33">
        <v>1.1851050000000001</v>
      </c>
      <c r="AF33">
        <v>1.194488</v>
      </c>
      <c r="AG33">
        <v>1.20204</v>
      </c>
      <c r="AH33">
        <v>1.207071</v>
      </c>
      <c r="AI33">
        <v>1.2070920000000001</v>
      </c>
      <c r="AJ33">
        <v>1.205689</v>
      </c>
      <c r="AK33">
        <v>1.2071989999999999</v>
      </c>
      <c r="AL33">
        <v>1.20597</v>
      </c>
      <c r="AM33" s="54">
        <v>7.0000000000000001E-3</v>
      </c>
    </row>
    <row r="34" spans="1:39" x14ac:dyDescent="0.25">
      <c r="A34" t="s">
        <v>275</v>
      </c>
      <c r="B34" t="s">
        <v>276</v>
      </c>
      <c r="C34" t="s">
        <v>277</v>
      </c>
      <c r="D34" t="s">
        <v>231</v>
      </c>
      <c r="E34">
        <v>0</v>
      </c>
      <c r="F34">
        <v>0</v>
      </c>
      <c r="G34">
        <v>0</v>
      </c>
      <c r="H34">
        <v>0</v>
      </c>
      <c r="I34">
        <v>0</v>
      </c>
      <c r="J34">
        <v>0</v>
      </c>
      <c r="K34">
        <v>0</v>
      </c>
      <c r="L34">
        <v>0</v>
      </c>
      <c r="M34" s="52">
        <v>0</v>
      </c>
      <c r="N34">
        <v>0</v>
      </c>
      <c r="O34">
        <v>0</v>
      </c>
      <c r="P34">
        <v>0</v>
      </c>
      <c r="Q34">
        <v>0</v>
      </c>
      <c r="R34" s="53">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t="s">
        <v>20</v>
      </c>
    </row>
    <row r="35" spans="1:39" x14ac:dyDescent="0.25">
      <c r="A35" t="s">
        <v>278</v>
      </c>
      <c r="B35" t="s">
        <v>279</v>
      </c>
      <c r="C35" t="s">
        <v>280</v>
      </c>
      <c r="D35" t="s">
        <v>231</v>
      </c>
      <c r="E35">
        <v>1.572025</v>
      </c>
      <c r="F35">
        <v>2.7404109999999999</v>
      </c>
      <c r="G35">
        <v>5.1480040000000002</v>
      </c>
      <c r="H35">
        <v>8.6500350000000008</v>
      </c>
      <c r="I35">
        <v>15.307382</v>
      </c>
      <c r="J35">
        <v>22.198311</v>
      </c>
      <c r="K35">
        <v>23.096239000000001</v>
      </c>
      <c r="L35">
        <v>25.948252</v>
      </c>
      <c r="M35" s="52">
        <v>28.227211</v>
      </c>
      <c r="N35">
        <v>28.000435</v>
      </c>
      <c r="O35">
        <v>27.787506</v>
      </c>
      <c r="P35">
        <v>26.279565999999999</v>
      </c>
      <c r="Q35">
        <v>26.429459000000001</v>
      </c>
      <c r="R35" s="53">
        <v>26.169991</v>
      </c>
      <c r="S35">
        <v>26.189619</v>
      </c>
      <c r="T35">
        <v>24.073439</v>
      </c>
      <c r="U35">
        <v>23.823599000000002</v>
      </c>
      <c r="V35">
        <v>23.945526000000001</v>
      </c>
      <c r="W35">
        <v>24.012981</v>
      </c>
      <c r="X35">
        <v>24.231573000000001</v>
      </c>
      <c r="Y35">
        <v>23.751595999999999</v>
      </c>
      <c r="Z35">
        <v>23.851946000000002</v>
      </c>
      <c r="AA35">
        <v>24.036843999999999</v>
      </c>
      <c r="AB35">
        <v>24.269532999999999</v>
      </c>
      <c r="AC35">
        <v>24.268643999999998</v>
      </c>
      <c r="AD35">
        <v>24.361158</v>
      </c>
      <c r="AE35">
        <v>24.528084</v>
      </c>
      <c r="AF35">
        <v>24.714908999999999</v>
      </c>
      <c r="AG35">
        <v>24.822458000000001</v>
      </c>
      <c r="AH35">
        <v>24.965015000000001</v>
      </c>
      <c r="AI35">
        <v>25.128277000000001</v>
      </c>
      <c r="AJ35">
        <v>25.215788</v>
      </c>
      <c r="AK35">
        <v>25.337557</v>
      </c>
      <c r="AL35">
        <v>25.567432</v>
      </c>
      <c r="AM35" s="54">
        <v>7.1999999999999995E-2</v>
      </c>
    </row>
    <row r="36" spans="1:39" x14ac:dyDescent="0.25">
      <c r="A36" t="s">
        <v>281</v>
      </c>
      <c r="B36" t="s">
        <v>282</v>
      </c>
      <c r="C36" t="s">
        <v>283</v>
      </c>
      <c r="D36" t="s">
        <v>231</v>
      </c>
      <c r="E36">
        <v>838.94689900000003</v>
      </c>
      <c r="F36">
        <v>1058.939453</v>
      </c>
      <c r="G36">
        <v>1304.623779</v>
      </c>
      <c r="H36">
        <v>1427.0428469999999</v>
      </c>
      <c r="I36">
        <v>1528.1885990000001</v>
      </c>
      <c r="J36">
        <v>1567.483154</v>
      </c>
      <c r="K36">
        <v>1646.4636230000001</v>
      </c>
      <c r="L36">
        <v>1737.5187989999999</v>
      </c>
      <c r="M36" s="52">
        <v>1799.1657709999999</v>
      </c>
      <c r="N36">
        <v>1829.552856</v>
      </c>
      <c r="O36">
        <v>1895.6414789999999</v>
      </c>
      <c r="P36">
        <v>1967.815918</v>
      </c>
      <c r="Q36">
        <v>2066.5910640000002</v>
      </c>
      <c r="R36" s="53">
        <v>2168.3491210000002</v>
      </c>
      <c r="S36">
        <v>2290.7827149999998</v>
      </c>
      <c r="T36">
        <v>2386.6069339999999</v>
      </c>
      <c r="U36">
        <v>2493.751953</v>
      </c>
      <c r="V36">
        <v>2609.9250489999999</v>
      </c>
      <c r="W36">
        <v>2706.5527339999999</v>
      </c>
      <c r="X36">
        <v>2797.951904</v>
      </c>
      <c r="Y36">
        <v>2879.3706050000001</v>
      </c>
      <c r="Z36">
        <v>2958.3618160000001</v>
      </c>
      <c r="AA36">
        <v>3025.1848140000002</v>
      </c>
      <c r="AB36">
        <v>3094.1352539999998</v>
      </c>
      <c r="AC36">
        <v>3139.1416020000001</v>
      </c>
      <c r="AD36">
        <v>3175.9340820000002</v>
      </c>
      <c r="AE36">
        <v>3208.2307129999999</v>
      </c>
      <c r="AF36">
        <v>3249.7524410000001</v>
      </c>
      <c r="AG36">
        <v>3287.2858890000002</v>
      </c>
      <c r="AH36">
        <v>3313.0625</v>
      </c>
      <c r="AI36">
        <v>3334.2844239999999</v>
      </c>
      <c r="AJ36">
        <v>3358.2739259999998</v>
      </c>
      <c r="AK36">
        <v>3388.2570799999999</v>
      </c>
      <c r="AL36">
        <v>3411.2231449999999</v>
      </c>
      <c r="AM36" s="54">
        <v>3.6999999999999998E-2</v>
      </c>
    </row>
    <row r="37" spans="1:39" x14ac:dyDescent="0.25">
      <c r="A37" t="s">
        <v>101</v>
      </c>
      <c r="B37" t="s">
        <v>284</v>
      </c>
      <c r="C37" t="s">
        <v>285</v>
      </c>
      <c r="D37" t="s">
        <v>286</v>
      </c>
      <c r="E37">
        <v>10.021146</v>
      </c>
      <c r="F37">
        <v>12.765575999999999</v>
      </c>
      <c r="G37">
        <v>15.857443</v>
      </c>
      <c r="H37">
        <v>17.387986999999999</v>
      </c>
      <c r="I37">
        <v>18.742692999999999</v>
      </c>
      <c r="J37">
        <v>19.583651</v>
      </c>
      <c r="K37">
        <v>20.276464000000001</v>
      </c>
      <c r="L37">
        <v>21.101267</v>
      </c>
      <c r="M37" s="52">
        <v>21.603605000000002</v>
      </c>
      <c r="N37">
        <v>21.802347000000001</v>
      </c>
      <c r="O37">
        <v>22.202992999999999</v>
      </c>
      <c r="P37">
        <v>22.635183000000001</v>
      </c>
      <c r="Q37">
        <v>23.347704</v>
      </c>
      <c r="R37" s="53">
        <v>23.967797999999998</v>
      </c>
      <c r="S37">
        <v>24.628965000000001</v>
      </c>
      <c r="T37">
        <v>25.280645</v>
      </c>
      <c r="U37">
        <v>25.992833999999998</v>
      </c>
      <c r="V37">
        <v>26.720853999999999</v>
      </c>
      <c r="W37">
        <v>27.388888999999999</v>
      </c>
      <c r="X37">
        <v>28.040113000000002</v>
      </c>
      <c r="Y37">
        <v>28.544321</v>
      </c>
      <c r="Z37">
        <v>29.000753</v>
      </c>
      <c r="AA37">
        <v>29.449584999999999</v>
      </c>
      <c r="AB37">
        <v>29.878729</v>
      </c>
      <c r="AC37">
        <v>30.113522</v>
      </c>
      <c r="AD37">
        <v>30.342161000000001</v>
      </c>
      <c r="AE37">
        <v>30.523040999999999</v>
      </c>
      <c r="AF37">
        <v>30.67511</v>
      </c>
      <c r="AG37">
        <v>30.840954</v>
      </c>
      <c r="AH37">
        <v>30.969328000000001</v>
      </c>
      <c r="AI37">
        <v>31.180603000000001</v>
      </c>
      <c r="AJ37">
        <v>31.460258</v>
      </c>
      <c r="AK37">
        <v>31.717639999999999</v>
      </c>
      <c r="AL37">
        <v>31.979979</v>
      </c>
      <c r="AM37" s="54">
        <v>2.9000000000000001E-2</v>
      </c>
    </row>
    <row r="38" spans="1:39" x14ac:dyDescent="0.25">
      <c r="A38" t="s">
        <v>103</v>
      </c>
      <c r="B38" t="s">
        <v>287</v>
      </c>
      <c r="C38" t="s">
        <v>288</v>
      </c>
      <c r="D38" t="s">
        <v>231</v>
      </c>
      <c r="E38">
        <v>8371.7666019999997</v>
      </c>
      <c r="F38">
        <v>8295.2734380000002</v>
      </c>
      <c r="G38">
        <v>8227.2011719999991</v>
      </c>
      <c r="H38">
        <v>8207.0615230000003</v>
      </c>
      <c r="I38">
        <v>8153.5170900000003</v>
      </c>
      <c r="J38">
        <v>8004.0400390000004</v>
      </c>
      <c r="K38">
        <v>8120.0722660000001</v>
      </c>
      <c r="L38">
        <v>8234.1923829999996</v>
      </c>
      <c r="M38" s="52">
        <v>8328.0810550000006</v>
      </c>
      <c r="N38">
        <v>8391.5410159999992</v>
      </c>
      <c r="O38">
        <v>8537.7744139999995</v>
      </c>
      <c r="P38">
        <v>8693.6162110000005</v>
      </c>
      <c r="Q38">
        <v>8851.3671880000002</v>
      </c>
      <c r="R38" s="53">
        <v>9046.9267579999996</v>
      </c>
      <c r="S38">
        <v>9301.1728519999997</v>
      </c>
      <c r="T38">
        <v>9440.4511719999991</v>
      </c>
      <c r="U38">
        <v>9593.9980469999991</v>
      </c>
      <c r="V38">
        <v>9767.3710940000001</v>
      </c>
      <c r="W38">
        <v>9881.9375</v>
      </c>
      <c r="X38">
        <v>9978.3896480000003</v>
      </c>
      <c r="Y38">
        <v>10087.367188</v>
      </c>
      <c r="Z38">
        <v>10200.982421999999</v>
      </c>
      <c r="AA38">
        <v>10272.418944999999</v>
      </c>
      <c r="AB38">
        <v>10355.645508</v>
      </c>
      <c r="AC38">
        <v>10424.359375</v>
      </c>
      <c r="AD38">
        <v>10467.066406</v>
      </c>
      <c r="AE38">
        <v>10510.848633</v>
      </c>
      <c r="AF38">
        <v>10594.101562</v>
      </c>
      <c r="AG38">
        <v>10658.833008</v>
      </c>
      <c r="AH38">
        <v>10697.882812</v>
      </c>
      <c r="AI38">
        <v>10693.457031</v>
      </c>
      <c r="AJ38">
        <v>10674.654296999999</v>
      </c>
      <c r="AK38">
        <v>10682.563477</v>
      </c>
      <c r="AL38">
        <v>10666.746094</v>
      </c>
      <c r="AM38" s="54">
        <v>8.0000000000000002E-3</v>
      </c>
    </row>
    <row r="39" spans="1:39" x14ac:dyDescent="0.25">
      <c r="A39" t="s">
        <v>289</v>
      </c>
      <c r="C39" t="s">
        <v>290</v>
      </c>
    </row>
    <row r="40" spans="1:39" x14ac:dyDescent="0.25">
      <c r="A40" t="s">
        <v>291</v>
      </c>
      <c r="C40" t="s">
        <v>292</v>
      </c>
    </row>
    <row r="41" spans="1:39" x14ac:dyDescent="0.25">
      <c r="A41" t="s">
        <v>228</v>
      </c>
      <c r="B41" t="s">
        <v>293</v>
      </c>
      <c r="C41" t="s">
        <v>294</v>
      </c>
      <c r="D41" t="s">
        <v>231</v>
      </c>
      <c r="E41">
        <v>6748.1538090000004</v>
      </c>
      <c r="F41">
        <v>6543.2534180000002</v>
      </c>
      <c r="G41">
        <v>6481.8984380000002</v>
      </c>
      <c r="H41">
        <v>6319.5</v>
      </c>
      <c r="I41">
        <v>6225.5029299999997</v>
      </c>
      <c r="J41">
        <v>5990.3295900000003</v>
      </c>
      <c r="K41">
        <v>5918.4091799999997</v>
      </c>
      <c r="L41">
        <v>5823.1567379999997</v>
      </c>
      <c r="M41" s="52">
        <v>5717.8974609999996</v>
      </c>
      <c r="N41">
        <v>5693.873047</v>
      </c>
      <c r="O41">
        <v>5541.3979490000002</v>
      </c>
      <c r="P41">
        <v>5426.5317379999997</v>
      </c>
      <c r="Q41">
        <v>5277.9228519999997</v>
      </c>
      <c r="R41" s="53">
        <v>5192.169922</v>
      </c>
      <c r="S41">
        <v>5162.9565430000002</v>
      </c>
      <c r="T41">
        <v>5088.1713870000003</v>
      </c>
      <c r="U41">
        <v>5049.5419920000004</v>
      </c>
      <c r="V41">
        <v>5003.091797</v>
      </c>
      <c r="W41">
        <v>4951.0712890000004</v>
      </c>
      <c r="X41">
        <v>4891.4379879999997</v>
      </c>
      <c r="Y41">
        <v>4868.251953</v>
      </c>
      <c r="Z41">
        <v>4848.5239259999998</v>
      </c>
      <c r="AA41">
        <v>4818.3535160000001</v>
      </c>
      <c r="AB41">
        <v>4797.1625979999999</v>
      </c>
      <c r="AC41">
        <v>4796.533203</v>
      </c>
      <c r="AD41">
        <v>4766.6948240000002</v>
      </c>
      <c r="AE41">
        <v>4759.0083009999998</v>
      </c>
      <c r="AF41">
        <v>4774.2885740000002</v>
      </c>
      <c r="AG41">
        <v>4774.0122069999998</v>
      </c>
      <c r="AH41">
        <v>4804.6743159999996</v>
      </c>
      <c r="AI41">
        <v>4794.2338870000003</v>
      </c>
      <c r="AJ41">
        <v>4759.5185549999997</v>
      </c>
      <c r="AK41">
        <v>4748.3232420000004</v>
      </c>
      <c r="AL41">
        <v>4731.0268550000001</v>
      </c>
      <c r="AM41" s="54">
        <v>-0.01</v>
      </c>
    </row>
    <row r="42" spans="1:39" x14ac:dyDescent="0.25">
      <c r="A42" t="s">
        <v>232</v>
      </c>
      <c r="B42" t="s">
        <v>295</v>
      </c>
      <c r="C42" t="s">
        <v>296</v>
      </c>
      <c r="D42" t="s">
        <v>231</v>
      </c>
      <c r="E42">
        <v>40.401318000000003</v>
      </c>
      <c r="F42">
        <v>75.857322999999994</v>
      </c>
      <c r="G42">
        <v>129.93537900000001</v>
      </c>
      <c r="H42">
        <v>177.47164900000001</v>
      </c>
      <c r="I42">
        <v>179.659988</v>
      </c>
      <c r="J42">
        <v>180.816452</v>
      </c>
      <c r="K42">
        <v>183.56149300000001</v>
      </c>
      <c r="L42">
        <v>183.61892700000001</v>
      </c>
      <c r="M42" s="52">
        <v>183.896683</v>
      </c>
      <c r="N42">
        <v>181.15090900000001</v>
      </c>
      <c r="O42">
        <v>171.06681800000001</v>
      </c>
      <c r="P42">
        <v>163.80036899999999</v>
      </c>
      <c r="Q42">
        <v>155.46348599999999</v>
      </c>
      <c r="R42" s="53">
        <v>150.00254799999999</v>
      </c>
      <c r="S42">
        <v>148.28234900000001</v>
      </c>
      <c r="T42">
        <v>143.21353099999999</v>
      </c>
      <c r="U42">
        <v>140.049881</v>
      </c>
      <c r="V42">
        <v>138.648743</v>
      </c>
      <c r="W42">
        <v>134.95985400000001</v>
      </c>
      <c r="X42">
        <v>130.72474700000001</v>
      </c>
      <c r="Y42">
        <v>129.03627</v>
      </c>
      <c r="Z42">
        <v>126.607079</v>
      </c>
      <c r="AA42">
        <v>123.880516</v>
      </c>
      <c r="AB42">
        <v>121.841087</v>
      </c>
      <c r="AC42">
        <v>120.63230900000001</v>
      </c>
      <c r="AD42">
        <v>118.065369</v>
      </c>
      <c r="AE42">
        <v>115.912689</v>
      </c>
      <c r="AF42">
        <v>115.157501</v>
      </c>
      <c r="AG42">
        <v>113.381432</v>
      </c>
      <c r="AH42">
        <v>114.24638400000001</v>
      </c>
      <c r="AI42">
        <v>113.955246</v>
      </c>
      <c r="AJ42">
        <v>111.884216</v>
      </c>
      <c r="AK42">
        <v>110.30407700000001</v>
      </c>
      <c r="AL42">
        <v>108.35186</v>
      </c>
      <c r="AM42" s="54">
        <v>1.0999999999999999E-2</v>
      </c>
    </row>
    <row r="43" spans="1:39" x14ac:dyDescent="0.25">
      <c r="A43" t="s">
        <v>297</v>
      </c>
      <c r="B43" t="s">
        <v>298</v>
      </c>
      <c r="C43" t="s">
        <v>299</v>
      </c>
      <c r="D43" t="s">
        <v>231</v>
      </c>
      <c r="E43">
        <v>6788.5551759999998</v>
      </c>
      <c r="F43">
        <v>6619.1108400000003</v>
      </c>
      <c r="G43">
        <v>6611.8339839999999</v>
      </c>
      <c r="H43">
        <v>6496.9716799999997</v>
      </c>
      <c r="I43">
        <v>6405.1630859999996</v>
      </c>
      <c r="J43">
        <v>6171.1459960000002</v>
      </c>
      <c r="K43">
        <v>6101.970703</v>
      </c>
      <c r="L43">
        <v>6006.7758789999998</v>
      </c>
      <c r="M43" s="52">
        <v>5901.7939450000003</v>
      </c>
      <c r="N43">
        <v>5875.0239259999998</v>
      </c>
      <c r="O43">
        <v>5712.4648440000001</v>
      </c>
      <c r="P43">
        <v>5590.3320309999999</v>
      </c>
      <c r="Q43">
        <v>5433.3862300000001</v>
      </c>
      <c r="R43" s="53">
        <v>5342.1723629999997</v>
      </c>
      <c r="S43">
        <v>5311.2387699999999</v>
      </c>
      <c r="T43">
        <v>5231.3847660000001</v>
      </c>
      <c r="U43">
        <v>5189.591797</v>
      </c>
      <c r="V43">
        <v>5141.7407229999999</v>
      </c>
      <c r="W43">
        <v>5086.03125</v>
      </c>
      <c r="X43">
        <v>5022.1625979999999</v>
      </c>
      <c r="Y43">
        <v>4997.2880859999996</v>
      </c>
      <c r="Z43">
        <v>4975.1308589999999</v>
      </c>
      <c r="AA43">
        <v>4942.2338870000003</v>
      </c>
      <c r="AB43">
        <v>4919.0039059999999</v>
      </c>
      <c r="AC43">
        <v>4917.1655270000001</v>
      </c>
      <c r="AD43">
        <v>4884.7602539999998</v>
      </c>
      <c r="AE43">
        <v>4874.9208980000003</v>
      </c>
      <c r="AF43">
        <v>4889.4462890000004</v>
      </c>
      <c r="AG43">
        <v>4887.3935549999997</v>
      </c>
      <c r="AH43">
        <v>4918.9208980000003</v>
      </c>
      <c r="AI43">
        <v>4908.1889650000003</v>
      </c>
      <c r="AJ43">
        <v>4871.4028319999998</v>
      </c>
      <c r="AK43">
        <v>4858.6274409999996</v>
      </c>
      <c r="AL43">
        <v>4839.3789059999999</v>
      </c>
      <c r="AM43" s="54">
        <v>-0.01</v>
      </c>
    </row>
    <row r="44" spans="1:39" x14ac:dyDescent="0.25">
      <c r="A44" t="s">
        <v>300</v>
      </c>
      <c r="C44" t="s">
        <v>301</v>
      </c>
    </row>
    <row r="45" spans="1:39" x14ac:dyDescent="0.25">
      <c r="A45" t="s">
        <v>240</v>
      </c>
      <c r="B45" t="s">
        <v>302</v>
      </c>
      <c r="C45" t="s">
        <v>303</v>
      </c>
      <c r="D45" t="s">
        <v>231</v>
      </c>
      <c r="E45">
        <v>689.29296899999997</v>
      </c>
      <c r="F45">
        <v>665.30493200000001</v>
      </c>
      <c r="G45">
        <v>662.52734399999997</v>
      </c>
      <c r="H45">
        <v>650.68493699999999</v>
      </c>
      <c r="I45">
        <v>647.300476</v>
      </c>
      <c r="J45">
        <v>628.12359600000002</v>
      </c>
      <c r="K45">
        <v>622.51867700000003</v>
      </c>
      <c r="L45">
        <v>615.658997</v>
      </c>
      <c r="M45" s="52">
        <v>608.58850099999995</v>
      </c>
      <c r="N45">
        <v>608.32006799999999</v>
      </c>
      <c r="O45">
        <v>616.36480700000004</v>
      </c>
      <c r="P45">
        <v>641.03637700000002</v>
      </c>
      <c r="Q45">
        <v>655.32299799999998</v>
      </c>
      <c r="R45" s="53">
        <v>688.85290499999996</v>
      </c>
      <c r="S45">
        <v>698.49383499999999</v>
      </c>
      <c r="T45">
        <v>697.20617700000003</v>
      </c>
      <c r="U45">
        <v>706.99408000000005</v>
      </c>
      <c r="V45">
        <v>727.621399</v>
      </c>
      <c r="W45">
        <v>729.95849599999997</v>
      </c>
      <c r="X45">
        <v>733.48944100000006</v>
      </c>
      <c r="Y45">
        <v>737.69177200000001</v>
      </c>
      <c r="Z45">
        <v>733.63720699999999</v>
      </c>
      <c r="AA45">
        <v>718.93823199999997</v>
      </c>
      <c r="AB45">
        <v>703.42028800000003</v>
      </c>
      <c r="AC45">
        <v>675.902649</v>
      </c>
      <c r="AD45">
        <v>648.22497599999997</v>
      </c>
      <c r="AE45">
        <v>615.45788600000003</v>
      </c>
      <c r="AF45">
        <v>597.03765899999996</v>
      </c>
      <c r="AG45">
        <v>579.436646</v>
      </c>
      <c r="AH45">
        <v>538.16332999999997</v>
      </c>
      <c r="AI45">
        <v>518.71673599999997</v>
      </c>
      <c r="AJ45">
        <v>509.540009</v>
      </c>
      <c r="AK45">
        <v>508.32553100000001</v>
      </c>
      <c r="AL45">
        <v>506.80603000000002</v>
      </c>
      <c r="AM45" s="54">
        <v>-8.0000000000000002E-3</v>
      </c>
    </row>
    <row r="46" spans="1:39" x14ac:dyDescent="0.25">
      <c r="A46" t="s">
        <v>243</v>
      </c>
      <c r="B46" t="s">
        <v>304</v>
      </c>
      <c r="C46" t="s">
        <v>305</v>
      </c>
      <c r="D46" t="s">
        <v>231</v>
      </c>
      <c r="E46">
        <v>4.0571169999999999</v>
      </c>
      <c r="F46">
        <v>5.317793</v>
      </c>
      <c r="G46">
        <v>22.118718999999999</v>
      </c>
      <c r="H46">
        <v>30.235634000000001</v>
      </c>
      <c r="I46">
        <v>43.677483000000002</v>
      </c>
      <c r="J46">
        <v>57.193519999999999</v>
      </c>
      <c r="K46">
        <v>58.594524</v>
      </c>
      <c r="L46">
        <v>64.373833000000005</v>
      </c>
      <c r="M46" s="52">
        <v>69.054451</v>
      </c>
      <c r="N46">
        <v>69.133613999999994</v>
      </c>
      <c r="O46">
        <v>69.255179999999996</v>
      </c>
      <c r="P46">
        <v>66.970917</v>
      </c>
      <c r="Q46">
        <v>68.539017000000001</v>
      </c>
      <c r="R46" s="53">
        <v>69.566993999999994</v>
      </c>
      <c r="S46">
        <v>71.802086000000003</v>
      </c>
      <c r="T46">
        <v>69.707779000000002</v>
      </c>
      <c r="U46">
        <v>72.176651000000007</v>
      </c>
      <c r="V46">
        <v>75.775970000000001</v>
      </c>
      <c r="W46">
        <v>79.561904999999996</v>
      </c>
      <c r="X46">
        <v>84.031075000000001</v>
      </c>
      <c r="Y46">
        <v>87.399733999999995</v>
      </c>
      <c r="Z46">
        <v>92.756789999999995</v>
      </c>
      <c r="AA46">
        <v>98.681586999999993</v>
      </c>
      <c r="AB46">
        <v>105.432632</v>
      </c>
      <c r="AC46">
        <v>111.932289</v>
      </c>
      <c r="AD46">
        <v>118.823082</v>
      </c>
      <c r="AE46">
        <v>126.540375</v>
      </c>
      <c r="AF46">
        <v>135.31424000000001</v>
      </c>
      <c r="AG46">
        <v>144.57656900000001</v>
      </c>
      <c r="AH46">
        <v>155.29109199999999</v>
      </c>
      <c r="AI46">
        <v>166.516479</v>
      </c>
      <c r="AJ46">
        <v>178.646423</v>
      </c>
      <c r="AK46">
        <v>192.15303</v>
      </c>
      <c r="AL46">
        <v>207.057007</v>
      </c>
      <c r="AM46" s="54">
        <v>0.121</v>
      </c>
    </row>
    <row r="47" spans="1:39" x14ac:dyDescent="0.25">
      <c r="A47" t="s">
        <v>246</v>
      </c>
      <c r="B47" t="s">
        <v>306</v>
      </c>
      <c r="C47" t="s">
        <v>307</v>
      </c>
      <c r="D47" t="s">
        <v>231</v>
      </c>
      <c r="E47">
        <v>2.4342700000000002</v>
      </c>
      <c r="F47">
        <v>3.0462989999999999</v>
      </c>
      <c r="G47">
        <v>6.2188910000000002</v>
      </c>
      <c r="H47">
        <v>10.432327000000001</v>
      </c>
      <c r="I47">
        <v>18.560449999999999</v>
      </c>
      <c r="J47">
        <v>26.891981000000001</v>
      </c>
      <c r="K47">
        <v>28.061592000000001</v>
      </c>
      <c r="L47">
        <v>31.629116</v>
      </c>
      <c r="M47" s="52">
        <v>34.720908999999999</v>
      </c>
      <c r="N47">
        <v>34.758006999999999</v>
      </c>
      <c r="O47">
        <v>34.824451000000003</v>
      </c>
      <c r="P47">
        <v>33.554507999999998</v>
      </c>
      <c r="Q47">
        <v>34.170901999999998</v>
      </c>
      <c r="R47" s="53">
        <v>34.438510999999998</v>
      </c>
      <c r="S47">
        <v>35.038871999999998</v>
      </c>
      <c r="T47">
        <v>33.147342999999999</v>
      </c>
      <c r="U47">
        <v>33.477882000000001</v>
      </c>
      <c r="V47">
        <v>34.205601000000001</v>
      </c>
      <c r="W47">
        <v>34.797989000000001</v>
      </c>
      <c r="X47">
        <v>35.503520999999999</v>
      </c>
      <c r="Y47">
        <v>35.423617999999998</v>
      </c>
      <c r="Z47">
        <v>35.904651999999999</v>
      </c>
      <c r="AA47">
        <v>36.404021999999998</v>
      </c>
      <c r="AB47">
        <v>36.919517999999997</v>
      </c>
      <c r="AC47">
        <v>37.118862</v>
      </c>
      <c r="AD47">
        <v>37.331097</v>
      </c>
      <c r="AE47">
        <v>37.637737000000001</v>
      </c>
      <c r="AF47">
        <v>38.011691999999996</v>
      </c>
      <c r="AG47">
        <v>38.274124</v>
      </c>
      <c r="AH47">
        <v>38.598457000000003</v>
      </c>
      <c r="AI47">
        <v>38.915709999999997</v>
      </c>
      <c r="AJ47">
        <v>39.128112999999999</v>
      </c>
      <c r="AK47">
        <v>39.448124</v>
      </c>
      <c r="AL47">
        <v>39.915774999999996</v>
      </c>
      <c r="AM47" s="54">
        <v>8.4000000000000005E-2</v>
      </c>
    </row>
    <row r="48" spans="1:39" x14ac:dyDescent="0.25">
      <c r="A48" t="s">
        <v>249</v>
      </c>
      <c r="B48" t="s">
        <v>308</v>
      </c>
      <c r="C48" t="s">
        <v>309</v>
      </c>
      <c r="D48" t="s">
        <v>231</v>
      </c>
      <c r="E48">
        <v>1.3523719999999999</v>
      </c>
      <c r="F48">
        <v>2.5567150000000001</v>
      </c>
      <c r="G48">
        <v>5.3880670000000004</v>
      </c>
      <c r="H48">
        <v>8.9283429999999999</v>
      </c>
      <c r="I48">
        <v>15.711086</v>
      </c>
      <c r="J48">
        <v>22.739601</v>
      </c>
      <c r="K48">
        <v>23.758337000000001</v>
      </c>
      <c r="L48">
        <v>26.809802999999999</v>
      </c>
      <c r="M48" s="52">
        <v>29.498857000000001</v>
      </c>
      <c r="N48">
        <v>29.620450999999999</v>
      </c>
      <c r="O48">
        <v>29.768702999999999</v>
      </c>
      <c r="P48">
        <v>28.831551000000001</v>
      </c>
      <c r="Q48">
        <v>29.452579</v>
      </c>
      <c r="R48" s="53">
        <v>29.798265000000001</v>
      </c>
      <c r="S48">
        <v>30.409296000000001</v>
      </c>
      <c r="T48">
        <v>29.016514000000001</v>
      </c>
      <c r="U48">
        <v>29.369302999999999</v>
      </c>
      <c r="V48">
        <v>30.027609000000002</v>
      </c>
      <c r="W48">
        <v>30.540085000000001</v>
      </c>
      <c r="X48">
        <v>31.122408</v>
      </c>
      <c r="Y48">
        <v>31.069783999999999</v>
      </c>
      <c r="Z48">
        <v>31.432327000000001</v>
      </c>
      <c r="AA48">
        <v>31.791992</v>
      </c>
      <c r="AB48">
        <v>32.155552</v>
      </c>
      <c r="AC48">
        <v>32.257477000000002</v>
      </c>
      <c r="AD48">
        <v>32.356949</v>
      </c>
      <c r="AE48">
        <v>32.526809999999998</v>
      </c>
      <c r="AF48">
        <v>32.751545</v>
      </c>
      <c r="AG48">
        <v>32.853222000000002</v>
      </c>
      <c r="AH48">
        <v>32.998427999999997</v>
      </c>
      <c r="AI48">
        <v>33.124507999999999</v>
      </c>
      <c r="AJ48">
        <v>33.141758000000003</v>
      </c>
      <c r="AK48">
        <v>33.236744000000002</v>
      </c>
      <c r="AL48">
        <v>33.434986000000002</v>
      </c>
      <c r="AM48" s="54">
        <v>8.4000000000000005E-2</v>
      </c>
    </row>
    <row r="49" spans="1:39" x14ac:dyDescent="0.25">
      <c r="A49" t="s">
        <v>252</v>
      </c>
      <c r="B49" t="s">
        <v>310</v>
      </c>
      <c r="C49" t="s">
        <v>311</v>
      </c>
      <c r="D49" t="s">
        <v>231</v>
      </c>
      <c r="E49">
        <v>13.390685</v>
      </c>
      <c r="F49">
        <v>24.567557999999998</v>
      </c>
      <c r="G49">
        <v>32.931702000000001</v>
      </c>
      <c r="H49">
        <v>38.097476999999998</v>
      </c>
      <c r="I49">
        <v>53.461311000000002</v>
      </c>
      <c r="J49">
        <v>61.258602000000003</v>
      </c>
      <c r="K49">
        <v>64.943382</v>
      </c>
      <c r="L49">
        <v>68.362601999999995</v>
      </c>
      <c r="M49" s="52">
        <v>73.226333999999994</v>
      </c>
      <c r="N49">
        <v>73.264847000000003</v>
      </c>
      <c r="O49">
        <v>73.283187999999996</v>
      </c>
      <c r="P49">
        <v>72.320983999999996</v>
      </c>
      <c r="Q49">
        <v>73.472763</v>
      </c>
      <c r="R49" s="53">
        <v>74.746284000000003</v>
      </c>
      <c r="S49">
        <v>76.084671</v>
      </c>
      <c r="T49">
        <v>77.529151999999996</v>
      </c>
      <c r="U49">
        <v>79.140395999999996</v>
      </c>
      <c r="V49">
        <v>81.111030999999997</v>
      </c>
      <c r="W49">
        <v>83.044173999999998</v>
      </c>
      <c r="X49">
        <v>85.580437000000003</v>
      </c>
      <c r="Y49">
        <v>88.765060000000005</v>
      </c>
      <c r="Z49">
        <v>89.924796999999998</v>
      </c>
      <c r="AA49">
        <v>93.038132000000004</v>
      </c>
      <c r="AB49">
        <v>96.586319000000003</v>
      </c>
      <c r="AC49">
        <v>100.012497</v>
      </c>
      <c r="AD49">
        <v>103.433891</v>
      </c>
      <c r="AE49">
        <v>107.40207700000001</v>
      </c>
      <c r="AF49">
        <v>111.913788</v>
      </c>
      <c r="AG49">
        <v>116.32859000000001</v>
      </c>
      <c r="AH49">
        <v>121.548492</v>
      </c>
      <c r="AI49">
        <v>126.928391</v>
      </c>
      <c r="AJ49">
        <v>132.29304500000001</v>
      </c>
      <c r="AK49">
        <v>138.31729100000001</v>
      </c>
      <c r="AL49">
        <v>145.01599100000001</v>
      </c>
      <c r="AM49" s="54">
        <v>5.7000000000000002E-2</v>
      </c>
    </row>
    <row r="50" spans="1:39" x14ac:dyDescent="0.25">
      <c r="A50" t="s">
        <v>255</v>
      </c>
      <c r="B50" t="s">
        <v>312</v>
      </c>
      <c r="C50" t="s">
        <v>313</v>
      </c>
      <c r="D50" t="s">
        <v>231</v>
      </c>
      <c r="E50">
        <v>7.5780050000000001</v>
      </c>
      <c r="F50">
        <v>15.158291</v>
      </c>
      <c r="G50">
        <v>20.212164000000001</v>
      </c>
      <c r="H50">
        <v>23.789379</v>
      </c>
      <c r="I50">
        <v>32.684460000000001</v>
      </c>
      <c r="J50">
        <v>36.883724000000001</v>
      </c>
      <c r="K50">
        <v>38.758862000000001</v>
      </c>
      <c r="L50">
        <v>40.606838000000003</v>
      </c>
      <c r="M50" s="52">
        <v>43.386845000000001</v>
      </c>
      <c r="N50">
        <v>43.226269000000002</v>
      </c>
      <c r="O50">
        <v>43.096508</v>
      </c>
      <c r="P50">
        <v>42.381492999999999</v>
      </c>
      <c r="Q50">
        <v>42.900959</v>
      </c>
      <c r="R50" s="53">
        <v>43.378723000000001</v>
      </c>
      <c r="S50">
        <v>43.822132000000003</v>
      </c>
      <c r="T50">
        <v>44.288424999999997</v>
      </c>
      <c r="U50">
        <v>44.765759000000003</v>
      </c>
      <c r="V50">
        <v>45.415390000000002</v>
      </c>
      <c r="W50">
        <v>45.973621000000001</v>
      </c>
      <c r="X50">
        <v>46.850327</v>
      </c>
      <c r="Y50">
        <v>48.031944000000003</v>
      </c>
      <c r="Z50">
        <v>48.041798</v>
      </c>
      <c r="AA50">
        <v>49.066166000000003</v>
      </c>
      <c r="AB50">
        <v>50.298557000000002</v>
      </c>
      <c r="AC50">
        <v>51.355620999999999</v>
      </c>
      <c r="AD50">
        <v>52.443770999999998</v>
      </c>
      <c r="AE50">
        <v>53.713183999999998</v>
      </c>
      <c r="AF50">
        <v>55.146647999999999</v>
      </c>
      <c r="AG50">
        <v>56.475383999999998</v>
      </c>
      <c r="AH50">
        <v>58.073864</v>
      </c>
      <c r="AI50">
        <v>59.763004000000002</v>
      </c>
      <c r="AJ50">
        <v>61.414493999999998</v>
      </c>
      <c r="AK50">
        <v>63.290641999999998</v>
      </c>
      <c r="AL50">
        <v>65.487572</v>
      </c>
      <c r="AM50" s="54">
        <v>4.7E-2</v>
      </c>
    </row>
    <row r="51" spans="1:39" x14ac:dyDescent="0.25">
      <c r="A51" t="s">
        <v>258</v>
      </c>
      <c r="B51" t="s">
        <v>314</v>
      </c>
      <c r="C51" t="s">
        <v>315</v>
      </c>
      <c r="D51" t="s">
        <v>231</v>
      </c>
      <c r="E51">
        <v>0</v>
      </c>
      <c r="F51">
        <v>0</v>
      </c>
      <c r="G51">
        <v>0</v>
      </c>
      <c r="H51">
        <v>0</v>
      </c>
      <c r="I51">
        <v>0</v>
      </c>
      <c r="J51">
        <v>0</v>
      </c>
      <c r="K51">
        <v>0</v>
      </c>
      <c r="L51">
        <v>0</v>
      </c>
      <c r="M51" s="52">
        <v>0</v>
      </c>
      <c r="N51">
        <v>1.3306E-2</v>
      </c>
      <c r="O51">
        <v>1.6709000000000002E-2</v>
      </c>
      <c r="P51">
        <v>2.1097000000000001E-2</v>
      </c>
      <c r="Q51">
        <v>2.6449E-2</v>
      </c>
      <c r="R51" s="53">
        <v>4.2792999999999998E-2</v>
      </c>
      <c r="S51">
        <v>5.7999000000000002E-2</v>
      </c>
      <c r="T51">
        <v>7.0614999999999997E-2</v>
      </c>
      <c r="U51">
        <v>8.4156999999999996E-2</v>
      </c>
      <c r="V51">
        <v>9.9562999999999999E-2</v>
      </c>
      <c r="W51">
        <v>0.11623699999999999</v>
      </c>
      <c r="X51">
        <v>0.13437499999999999</v>
      </c>
      <c r="Y51">
        <v>0.15468199999999999</v>
      </c>
      <c r="Z51">
        <v>0.175428</v>
      </c>
      <c r="AA51">
        <v>0.19570199999999999</v>
      </c>
      <c r="AB51">
        <v>0.215424</v>
      </c>
      <c r="AC51">
        <v>0.23394999999999999</v>
      </c>
      <c r="AD51">
        <v>0.249248</v>
      </c>
      <c r="AE51">
        <v>0.262901</v>
      </c>
      <c r="AF51">
        <v>0.27621400000000002</v>
      </c>
      <c r="AG51">
        <v>0.28625600000000001</v>
      </c>
      <c r="AH51">
        <v>0.29561799999999999</v>
      </c>
      <c r="AI51">
        <v>0.30233700000000002</v>
      </c>
      <c r="AJ51">
        <v>0.30681199999999997</v>
      </c>
      <c r="AK51">
        <v>0.311886</v>
      </c>
      <c r="AL51">
        <v>0.31582500000000002</v>
      </c>
      <c r="AM51" t="s">
        <v>20</v>
      </c>
    </row>
    <row r="52" spans="1:39" x14ac:dyDescent="0.25">
      <c r="A52" t="s">
        <v>261</v>
      </c>
      <c r="B52" t="s">
        <v>316</v>
      </c>
      <c r="C52" t="s">
        <v>317</v>
      </c>
      <c r="D52" t="s">
        <v>231</v>
      </c>
      <c r="E52">
        <v>54.334553</v>
      </c>
      <c r="F52">
        <v>50.706443999999998</v>
      </c>
      <c r="G52">
        <v>52.82291</v>
      </c>
      <c r="H52">
        <v>57.584125999999998</v>
      </c>
      <c r="I52">
        <v>59.139949999999999</v>
      </c>
      <c r="J52">
        <v>60.158470000000001</v>
      </c>
      <c r="K52">
        <v>63.458694000000001</v>
      </c>
      <c r="L52">
        <v>67.165595999999994</v>
      </c>
      <c r="M52" s="52">
        <v>67.880591999999993</v>
      </c>
      <c r="N52">
        <v>71.986373999999998</v>
      </c>
      <c r="O52">
        <v>74.707877999999994</v>
      </c>
      <c r="P52">
        <v>77.541718000000003</v>
      </c>
      <c r="Q52">
        <v>80.217162999999999</v>
      </c>
      <c r="R52" s="53">
        <v>83.107665999999995</v>
      </c>
      <c r="S52">
        <v>88.009415000000004</v>
      </c>
      <c r="T52">
        <v>91.620414999999994</v>
      </c>
      <c r="U52">
        <v>95.962097</v>
      </c>
      <c r="V52">
        <v>99.970528000000002</v>
      </c>
      <c r="W52">
        <v>103.428123</v>
      </c>
      <c r="X52">
        <v>106.69818100000001</v>
      </c>
      <c r="Y52">
        <v>110.326958</v>
      </c>
      <c r="Z52">
        <v>114.28527099999999</v>
      </c>
      <c r="AA52">
        <v>117.90273999999999</v>
      </c>
      <c r="AB52">
        <v>121.90881299999999</v>
      </c>
      <c r="AC52">
        <v>126.16682400000001</v>
      </c>
      <c r="AD52">
        <v>129.91810599999999</v>
      </c>
      <c r="AE52">
        <v>134.16990699999999</v>
      </c>
      <c r="AF52">
        <v>139.49452199999999</v>
      </c>
      <c r="AG52">
        <v>144.784851</v>
      </c>
      <c r="AH52">
        <v>151.268631</v>
      </c>
      <c r="AI52">
        <v>157.406723</v>
      </c>
      <c r="AJ52">
        <v>163.63906900000001</v>
      </c>
      <c r="AK52">
        <v>170.96313499999999</v>
      </c>
      <c r="AL52">
        <v>178.69122300000001</v>
      </c>
      <c r="AM52" s="54">
        <v>0.04</v>
      </c>
    </row>
    <row r="53" spans="1:39" x14ac:dyDescent="0.25">
      <c r="A53" t="s">
        <v>264</v>
      </c>
      <c r="B53" t="s">
        <v>318</v>
      </c>
      <c r="C53" t="s">
        <v>319</v>
      </c>
      <c r="D53" t="s">
        <v>231</v>
      </c>
      <c r="E53">
        <v>10.795112</v>
      </c>
      <c r="F53">
        <v>0.90049000000000001</v>
      </c>
      <c r="G53">
        <v>0.91500199999999998</v>
      </c>
      <c r="H53">
        <v>0.93257599999999996</v>
      </c>
      <c r="I53">
        <v>0.97861299999999996</v>
      </c>
      <c r="J53">
        <v>1.031792</v>
      </c>
      <c r="K53">
        <v>1.1120559999999999</v>
      </c>
      <c r="L53">
        <v>1.1709229999999999</v>
      </c>
      <c r="M53" s="52">
        <v>1.18106</v>
      </c>
      <c r="N53">
        <v>1.1955690000000001</v>
      </c>
      <c r="O53">
        <v>1.17489</v>
      </c>
      <c r="P53">
        <v>1.151737</v>
      </c>
      <c r="Q53">
        <v>1.1231199999999999</v>
      </c>
      <c r="R53" s="53">
        <v>1.110517</v>
      </c>
      <c r="S53">
        <v>1.1110660000000001</v>
      </c>
      <c r="T53">
        <v>1.0969249999999999</v>
      </c>
      <c r="U53">
        <v>1.088595</v>
      </c>
      <c r="V53">
        <v>1.090819</v>
      </c>
      <c r="W53">
        <v>1.0855840000000001</v>
      </c>
      <c r="X53">
        <v>1.0800240000000001</v>
      </c>
      <c r="Y53">
        <v>1.076797</v>
      </c>
      <c r="Z53">
        <v>1.0757890000000001</v>
      </c>
      <c r="AA53">
        <v>1.073753</v>
      </c>
      <c r="AB53">
        <v>1.0734790000000001</v>
      </c>
      <c r="AC53">
        <v>1.0693550000000001</v>
      </c>
      <c r="AD53">
        <v>1.0674809999999999</v>
      </c>
      <c r="AE53">
        <v>1.0646869999999999</v>
      </c>
      <c r="AF53">
        <v>1.068886</v>
      </c>
      <c r="AG53">
        <v>1.0682879999999999</v>
      </c>
      <c r="AH53">
        <v>1.07176</v>
      </c>
      <c r="AI53">
        <v>1.0700369999999999</v>
      </c>
      <c r="AJ53">
        <v>1.066222</v>
      </c>
      <c r="AK53">
        <v>1.0665500000000001</v>
      </c>
      <c r="AL53">
        <v>1.0673140000000001</v>
      </c>
      <c r="AM53" s="54">
        <v>5.0000000000000001E-3</v>
      </c>
    </row>
    <row r="54" spans="1:39" x14ac:dyDescent="0.25">
      <c r="A54" t="s">
        <v>267</v>
      </c>
      <c r="B54" t="s">
        <v>320</v>
      </c>
      <c r="C54" t="s">
        <v>321</v>
      </c>
      <c r="D54" t="s">
        <v>231</v>
      </c>
      <c r="E54">
        <v>4.8046259999999998</v>
      </c>
      <c r="F54">
        <v>4.7289570000000003</v>
      </c>
      <c r="G54">
        <v>4.7569369999999997</v>
      </c>
      <c r="H54">
        <v>4.7010319999999997</v>
      </c>
      <c r="I54">
        <v>4.6795179999999998</v>
      </c>
      <c r="J54">
        <v>4.5483070000000003</v>
      </c>
      <c r="K54">
        <v>4.5091869999999998</v>
      </c>
      <c r="L54">
        <v>4.4596169999999997</v>
      </c>
      <c r="M54" s="52">
        <v>4.4012989999999999</v>
      </c>
      <c r="N54">
        <v>4.387607</v>
      </c>
      <c r="O54">
        <v>4.291887</v>
      </c>
      <c r="P54">
        <v>4.2266719999999998</v>
      </c>
      <c r="Q54">
        <v>4.1400449999999998</v>
      </c>
      <c r="R54" s="53">
        <v>4.1071999999999997</v>
      </c>
      <c r="S54">
        <v>4.1011550000000003</v>
      </c>
      <c r="T54">
        <v>4.0485860000000002</v>
      </c>
      <c r="U54">
        <v>4.0339219999999996</v>
      </c>
      <c r="V54">
        <v>4.0249879999999996</v>
      </c>
      <c r="W54">
        <v>3.9986069999999998</v>
      </c>
      <c r="X54">
        <v>3.969004</v>
      </c>
      <c r="Y54">
        <v>3.9628570000000001</v>
      </c>
      <c r="Z54">
        <v>3.9543789999999999</v>
      </c>
      <c r="AA54">
        <v>3.934723</v>
      </c>
      <c r="AB54">
        <v>3.9220120000000001</v>
      </c>
      <c r="AC54">
        <v>3.9141080000000001</v>
      </c>
      <c r="AD54">
        <v>3.887448</v>
      </c>
      <c r="AE54">
        <v>3.8726449999999999</v>
      </c>
      <c r="AF54">
        <v>3.8846919999999998</v>
      </c>
      <c r="AG54">
        <v>3.886228</v>
      </c>
      <c r="AH54">
        <v>3.8974319999999998</v>
      </c>
      <c r="AI54">
        <v>3.8952429999999998</v>
      </c>
      <c r="AJ54">
        <v>3.88354</v>
      </c>
      <c r="AK54">
        <v>3.8938799999999998</v>
      </c>
      <c r="AL54">
        <v>3.9020009999999998</v>
      </c>
      <c r="AM54" s="54">
        <v>-6.0000000000000001E-3</v>
      </c>
    </row>
    <row r="55" spans="1:39" x14ac:dyDescent="0.25">
      <c r="A55" t="s">
        <v>270</v>
      </c>
      <c r="B55" t="s">
        <v>322</v>
      </c>
      <c r="C55" t="s">
        <v>323</v>
      </c>
      <c r="D55" t="s">
        <v>231</v>
      </c>
      <c r="E55">
        <v>1.6227290000000001</v>
      </c>
      <c r="F55">
        <v>1.700332</v>
      </c>
      <c r="G55">
        <v>1.677427</v>
      </c>
      <c r="H55">
        <v>1.6700649999999999</v>
      </c>
      <c r="I55">
        <v>1.620433</v>
      </c>
      <c r="J55">
        <v>1.530411</v>
      </c>
      <c r="K55">
        <v>1.5089189999999999</v>
      </c>
      <c r="L55">
        <v>1.487236</v>
      </c>
      <c r="M55" s="52">
        <v>1.4527699999999999</v>
      </c>
      <c r="N55">
        <v>1.4744619999999999</v>
      </c>
      <c r="O55">
        <v>1.466537</v>
      </c>
      <c r="P55">
        <v>1.459319</v>
      </c>
      <c r="Q55">
        <v>1.459473</v>
      </c>
      <c r="R55" s="53">
        <v>1.466926</v>
      </c>
      <c r="S55">
        <v>1.493549</v>
      </c>
      <c r="T55">
        <v>1.4975259999999999</v>
      </c>
      <c r="U55">
        <v>1.5033099999999999</v>
      </c>
      <c r="V55">
        <v>1.532046</v>
      </c>
      <c r="W55">
        <v>1.5483789999999999</v>
      </c>
      <c r="X55">
        <v>1.5662370000000001</v>
      </c>
      <c r="Y55">
        <v>1.586138</v>
      </c>
      <c r="Z55">
        <v>1.6120639999999999</v>
      </c>
      <c r="AA55">
        <v>1.641087</v>
      </c>
      <c r="AB55">
        <v>1.6737409999999999</v>
      </c>
      <c r="AC55">
        <v>1.6980740000000001</v>
      </c>
      <c r="AD55">
        <v>1.7372840000000001</v>
      </c>
      <c r="AE55">
        <v>1.7667459999999999</v>
      </c>
      <c r="AF55">
        <v>1.8044830000000001</v>
      </c>
      <c r="AG55">
        <v>1.839391</v>
      </c>
      <c r="AH55">
        <v>1.887961</v>
      </c>
      <c r="AI55">
        <v>1.9290719999999999</v>
      </c>
      <c r="AJ55">
        <v>1.971489</v>
      </c>
      <c r="AK55">
        <v>2.0184690000000001</v>
      </c>
      <c r="AL55">
        <v>2.0665740000000001</v>
      </c>
      <c r="AM55" s="54">
        <v>6.0000000000000001E-3</v>
      </c>
    </row>
    <row r="56" spans="1:39" x14ac:dyDescent="0.25">
      <c r="A56" t="s">
        <v>273</v>
      </c>
      <c r="B56" t="s">
        <v>324</v>
      </c>
      <c r="C56" t="s">
        <v>325</v>
      </c>
      <c r="D56" t="s">
        <v>231</v>
      </c>
      <c r="E56">
        <v>3.036772</v>
      </c>
      <c r="F56">
        <v>3.0352830000000002</v>
      </c>
      <c r="G56">
        <v>3.0609169999999999</v>
      </c>
      <c r="H56">
        <v>3.0253160000000001</v>
      </c>
      <c r="I56">
        <v>3.0113270000000001</v>
      </c>
      <c r="J56">
        <v>2.9266450000000002</v>
      </c>
      <c r="K56">
        <v>2.901246</v>
      </c>
      <c r="L56">
        <v>2.8690180000000001</v>
      </c>
      <c r="M56" s="52">
        <v>2.8313000000000001</v>
      </c>
      <c r="N56">
        <v>2.8217979999999998</v>
      </c>
      <c r="O56">
        <v>2.759274</v>
      </c>
      <c r="P56">
        <v>2.71699</v>
      </c>
      <c r="Q56">
        <v>2.6612399999999998</v>
      </c>
      <c r="R56" s="53">
        <v>2.6398890000000002</v>
      </c>
      <c r="S56">
        <v>2.6354299999999999</v>
      </c>
      <c r="T56">
        <v>2.6011129999999998</v>
      </c>
      <c r="U56">
        <v>2.591675</v>
      </c>
      <c r="V56">
        <v>2.5853510000000002</v>
      </c>
      <c r="W56">
        <v>2.5678740000000002</v>
      </c>
      <c r="X56">
        <v>2.5482800000000001</v>
      </c>
      <c r="Y56">
        <v>2.544146</v>
      </c>
      <c r="Z56">
        <v>2.5381480000000001</v>
      </c>
      <c r="AA56">
        <v>2.5247380000000001</v>
      </c>
      <c r="AB56">
        <v>2.5158010000000002</v>
      </c>
      <c r="AC56">
        <v>2.5102190000000002</v>
      </c>
      <c r="AD56">
        <v>2.492089</v>
      </c>
      <c r="AE56">
        <v>2.4819849999999999</v>
      </c>
      <c r="AF56">
        <v>2.4890569999999999</v>
      </c>
      <c r="AG56">
        <v>2.4896579999999999</v>
      </c>
      <c r="AH56">
        <v>2.4960830000000001</v>
      </c>
      <c r="AI56">
        <v>2.494164</v>
      </c>
      <c r="AJ56">
        <v>2.486062</v>
      </c>
      <c r="AK56">
        <v>2.492537</v>
      </c>
      <c r="AL56">
        <v>2.4975420000000002</v>
      </c>
      <c r="AM56" s="54">
        <v>-6.0000000000000001E-3</v>
      </c>
    </row>
    <row r="57" spans="1:39" x14ac:dyDescent="0.25">
      <c r="A57" t="s">
        <v>275</v>
      </c>
      <c r="B57" t="s">
        <v>326</v>
      </c>
      <c r="C57" t="s">
        <v>327</v>
      </c>
      <c r="D57" t="s">
        <v>231</v>
      </c>
      <c r="E57">
        <v>0</v>
      </c>
      <c r="F57">
        <v>0</v>
      </c>
      <c r="G57">
        <v>0</v>
      </c>
      <c r="H57">
        <v>0</v>
      </c>
      <c r="I57">
        <v>0</v>
      </c>
      <c r="J57">
        <v>0</v>
      </c>
      <c r="K57">
        <v>0</v>
      </c>
      <c r="L57">
        <v>0</v>
      </c>
      <c r="M57" s="52">
        <v>0</v>
      </c>
      <c r="N57">
        <v>0</v>
      </c>
      <c r="O57">
        <v>0</v>
      </c>
      <c r="P57">
        <v>0</v>
      </c>
      <c r="Q57">
        <v>0</v>
      </c>
      <c r="R57" s="53">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t="s">
        <v>20</v>
      </c>
    </row>
    <row r="58" spans="1:39" x14ac:dyDescent="0.25">
      <c r="A58" t="s">
        <v>278</v>
      </c>
      <c r="B58" t="s">
        <v>328</v>
      </c>
      <c r="C58" t="s">
        <v>329</v>
      </c>
      <c r="D58" t="s">
        <v>231</v>
      </c>
      <c r="E58">
        <v>1.3523719999999999</v>
      </c>
      <c r="F58">
        <v>2.5567150000000001</v>
      </c>
      <c r="G58">
        <v>4.959047</v>
      </c>
      <c r="H58">
        <v>8.4749560000000006</v>
      </c>
      <c r="I58">
        <v>15.11392</v>
      </c>
      <c r="J58">
        <v>21.988724000000001</v>
      </c>
      <c r="K58">
        <v>22.875557000000001</v>
      </c>
      <c r="L58">
        <v>25.694475000000001</v>
      </c>
      <c r="M58" s="52">
        <v>27.936432</v>
      </c>
      <c r="N58">
        <v>27.666792000000001</v>
      </c>
      <c r="O58">
        <v>27.401285000000001</v>
      </c>
      <c r="P58">
        <v>25.823048</v>
      </c>
      <c r="Q58">
        <v>25.911128999999999</v>
      </c>
      <c r="R58" s="53">
        <v>25.582153000000002</v>
      </c>
      <c r="S58">
        <v>25.531904000000001</v>
      </c>
      <c r="T58">
        <v>23.223175000000001</v>
      </c>
      <c r="U58">
        <v>22.906412</v>
      </c>
      <c r="V58">
        <v>22.964466000000002</v>
      </c>
      <c r="W58">
        <v>22.979458000000001</v>
      </c>
      <c r="X58">
        <v>23.153614000000001</v>
      </c>
      <c r="Y58">
        <v>22.584986000000001</v>
      </c>
      <c r="Z58">
        <v>22.649647000000002</v>
      </c>
      <c r="AA58">
        <v>22.808530999999999</v>
      </c>
      <c r="AB58">
        <v>23.018294999999998</v>
      </c>
      <c r="AC58">
        <v>23.001028000000002</v>
      </c>
      <c r="AD58">
        <v>23.082609000000001</v>
      </c>
      <c r="AE58">
        <v>23.240234000000001</v>
      </c>
      <c r="AF58">
        <v>23.417193999999999</v>
      </c>
      <c r="AG58">
        <v>23.519897</v>
      </c>
      <c r="AH58">
        <v>23.666449</v>
      </c>
      <c r="AI58">
        <v>23.840388999999998</v>
      </c>
      <c r="AJ58">
        <v>23.943784999999998</v>
      </c>
      <c r="AK58">
        <v>24.078060000000001</v>
      </c>
      <c r="AL58">
        <v>24.327870999999998</v>
      </c>
      <c r="AM58" s="54">
        <v>7.2999999999999995E-2</v>
      </c>
    </row>
    <row r="59" spans="1:39" x14ac:dyDescent="0.25">
      <c r="A59" t="s">
        <v>330</v>
      </c>
      <c r="B59" t="s">
        <v>331</v>
      </c>
      <c r="C59" t="s">
        <v>332</v>
      </c>
      <c r="D59" t="s">
        <v>231</v>
      </c>
      <c r="E59">
        <v>794.051514</v>
      </c>
      <c r="F59">
        <v>779.57977300000005</v>
      </c>
      <c r="G59">
        <v>817.589111</v>
      </c>
      <c r="H59">
        <v>838.556152</v>
      </c>
      <c r="I59">
        <v>895.93896500000005</v>
      </c>
      <c r="J59">
        <v>925.27533000000005</v>
      </c>
      <c r="K59">
        <v>933.00103799999999</v>
      </c>
      <c r="L59">
        <v>950.28796399999999</v>
      </c>
      <c r="M59" s="52">
        <v>964.15930200000003</v>
      </c>
      <c r="N59">
        <v>967.86914100000001</v>
      </c>
      <c r="O59">
        <v>978.41131600000006</v>
      </c>
      <c r="P59">
        <v>998.03643799999998</v>
      </c>
      <c r="Q59">
        <v>1019.397766</v>
      </c>
      <c r="R59" s="53">
        <v>1058.8388669999999</v>
      </c>
      <c r="S59">
        <v>1078.5913089999999</v>
      </c>
      <c r="T59">
        <v>1075.053711</v>
      </c>
      <c r="U59">
        <v>1094.0942379999999</v>
      </c>
      <c r="V59">
        <v>1126.4248050000001</v>
      </c>
      <c r="W59">
        <v>1139.6004640000001</v>
      </c>
      <c r="X59">
        <v>1155.7270510000001</v>
      </c>
      <c r="Y59">
        <v>1170.61853</v>
      </c>
      <c r="Z59">
        <v>1177.9884030000001</v>
      </c>
      <c r="AA59">
        <v>1178.0013429999999</v>
      </c>
      <c r="AB59">
        <v>1179.140259</v>
      </c>
      <c r="AC59">
        <v>1167.1729740000001</v>
      </c>
      <c r="AD59">
        <v>1155.048096</v>
      </c>
      <c r="AE59">
        <v>1140.137207</v>
      </c>
      <c r="AF59">
        <v>1142.610596</v>
      </c>
      <c r="AG59">
        <v>1145.819092</v>
      </c>
      <c r="AH59">
        <v>1129.257568</v>
      </c>
      <c r="AI59">
        <v>1134.9027100000001</v>
      </c>
      <c r="AJ59">
        <v>1151.460693</v>
      </c>
      <c r="AK59">
        <v>1179.595703</v>
      </c>
      <c r="AL59">
        <v>1210.5854489999999</v>
      </c>
      <c r="AM59" s="54">
        <v>1.4E-2</v>
      </c>
    </row>
    <row r="60" spans="1:39" x14ac:dyDescent="0.25">
      <c r="A60" t="s">
        <v>124</v>
      </c>
      <c r="B60" t="s">
        <v>333</v>
      </c>
      <c r="C60" t="s">
        <v>334</v>
      </c>
      <c r="D60" t="s">
        <v>286</v>
      </c>
      <c r="E60">
        <v>10.472013</v>
      </c>
      <c r="F60">
        <v>10.536727000000001</v>
      </c>
      <c r="G60">
        <v>11.004745</v>
      </c>
      <c r="H60">
        <v>11.431436</v>
      </c>
      <c r="I60">
        <v>12.271284</v>
      </c>
      <c r="J60">
        <v>13.038619000000001</v>
      </c>
      <c r="K60">
        <v>13.262328</v>
      </c>
      <c r="L60">
        <v>13.659326</v>
      </c>
      <c r="M60" s="52">
        <v>14.042614</v>
      </c>
      <c r="N60">
        <v>14.144151000000001</v>
      </c>
      <c r="O60">
        <v>14.623068</v>
      </c>
      <c r="P60">
        <v>15.14846</v>
      </c>
      <c r="Q60">
        <v>15.797796999999999</v>
      </c>
      <c r="R60" s="53">
        <v>16.541744000000001</v>
      </c>
      <c r="S60">
        <v>16.879812000000001</v>
      </c>
      <c r="T60">
        <v>17.046923</v>
      </c>
      <c r="U60">
        <v>17.411663000000001</v>
      </c>
      <c r="V60">
        <v>17.970566000000002</v>
      </c>
      <c r="W60">
        <v>18.304977000000001</v>
      </c>
      <c r="X60">
        <v>18.707474000000001</v>
      </c>
      <c r="Y60">
        <v>18.979187</v>
      </c>
      <c r="Z60">
        <v>19.144573000000001</v>
      </c>
      <c r="AA60">
        <v>19.247648000000002</v>
      </c>
      <c r="AB60">
        <v>19.33605</v>
      </c>
      <c r="AC60">
        <v>19.183236999999998</v>
      </c>
      <c r="AD60">
        <v>19.123919000000001</v>
      </c>
      <c r="AE60">
        <v>18.954716000000001</v>
      </c>
      <c r="AF60">
        <v>18.942305000000001</v>
      </c>
      <c r="AG60">
        <v>18.991855999999999</v>
      </c>
      <c r="AH60">
        <v>18.671036000000001</v>
      </c>
      <c r="AI60">
        <v>18.780166999999999</v>
      </c>
      <c r="AJ60">
        <v>19.118162000000002</v>
      </c>
      <c r="AK60">
        <v>19.535477</v>
      </c>
      <c r="AL60">
        <v>20.009793999999999</v>
      </c>
      <c r="AM60" s="54">
        <v>0.02</v>
      </c>
    </row>
    <row r="61" spans="1:39" x14ac:dyDescent="0.25">
      <c r="A61" t="s">
        <v>126</v>
      </c>
      <c r="B61" t="s">
        <v>335</v>
      </c>
      <c r="C61" t="s">
        <v>336</v>
      </c>
      <c r="D61" t="s">
        <v>231</v>
      </c>
      <c r="E61">
        <v>7582.6064450000003</v>
      </c>
      <c r="F61">
        <v>7398.6904299999997</v>
      </c>
      <c r="G61">
        <v>7429.4228519999997</v>
      </c>
      <c r="H61">
        <v>7335.5278319999998</v>
      </c>
      <c r="I61">
        <v>7301.1020509999998</v>
      </c>
      <c r="J61">
        <v>7096.4213870000003</v>
      </c>
      <c r="K61">
        <v>7034.9716799999997</v>
      </c>
      <c r="L61">
        <v>6957.0639650000003</v>
      </c>
      <c r="M61" s="52">
        <v>6865.953125</v>
      </c>
      <c r="N61">
        <v>6842.8930659999996</v>
      </c>
      <c r="O61">
        <v>6690.8759769999997</v>
      </c>
      <c r="P61">
        <v>6588.3686520000001</v>
      </c>
      <c r="Q61">
        <v>6452.7841799999997</v>
      </c>
      <c r="R61" s="53">
        <v>6401.0112300000001</v>
      </c>
      <c r="S61">
        <v>6389.830078</v>
      </c>
      <c r="T61">
        <v>6306.4384769999997</v>
      </c>
      <c r="U61">
        <v>6283.6860349999997</v>
      </c>
      <c r="V61">
        <v>6268.1655270000001</v>
      </c>
      <c r="W61">
        <v>6225.6318359999996</v>
      </c>
      <c r="X61">
        <v>6177.8896480000003</v>
      </c>
      <c r="Y61">
        <v>6167.9067379999997</v>
      </c>
      <c r="Z61">
        <v>6153.1191410000001</v>
      </c>
      <c r="AA61">
        <v>6120.2353519999997</v>
      </c>
      <c r="AB61">
        <v>6098.1440430000002</v>
      </c>
      <c r="AC61">
        <v>6084.3383789999998</v>
      </c>
      <c r="AD61">
        <v>6039.8085940000001</v>
      </c>
      <c r="AE61">
        <v>6015.0581050000001</v>
      </c>
      <c r="AF61">
        <v>6032.0566410000001</v>
      </c>
      <c r="AG61">
        <v>6033.2128910000001</v>
      </c>
      <c r="AH61">
        <v>6048.1787109999996</v>
      </c>
      <c r="AI61">
        <v>6043.091797</v>
      </c>
      <c r="AJ61">
        <v>6022.8632809999999</v>
      </c>
      <c r="AK61">
        <v>6038.2231449999999</v>
      </c>
      <c r="AL61">
        <v>6049.9643550000001</v>
      </c>
      <c r="AM61" s="54">
        <v>-6.0000000000000001E-3</v>
      </c>
    </row>
    <row r="62" spans="1:39" x14ac:dyDescent="0.25">
      <c r="A62" t="s">
        <v>128</v>
      </c>
      <c r="B62" t="s">
        <v>337</v>
      </c>
      <c r="C62" t="s">
        <v>338</v>
      </c>
      <c r="D62" t="s">
        <v>286</v>
      </c>
      <c r="E62">
        <v>10.235428000000001</v>
      </c>
      <c r="F62">
        <v>11.71482</v>
      </c>
      <c r="G62">
        <v>13.554729</v>
      </c>
      <c r="H62">
        <v>14.576715999999999</v>
      </c>
      <c r="I62">
        <v>15.685460000000001</v>
      </c>
      <c r="J62">
        <v>16.507828</v>
      </c>
      <c r="K62">
        <v>17.020508</v>
      </c>
      <c r="L62">
        <v>17.693121000000001</v>
      </c>
      <c r="M62" s="52">
        <v>18.186907000000001</v>
      </c>
      <c r="N62">
        <v>18.362494000000002</v>
      </c>
      <c r="O62">
        <v>18.872665000000001</v>
      </c>
      <c r="P62">
        <v>19.407509000000001</v>
      </c>
      <c r="Q62">
        <v>20.164389</v>
      </c>
      <c r="R62" s="53">
        <v>20.890736</v>
      </c>
      <c r="S62">
        <v>21.473286000000002</v>
      </c>
      <c r="T62">
        <v>21.983135000000001</v>
      </c>
      <c r="U62">
        <v>22.596785000000001</v>
      </c>
      <c r="V62">
        <v>23.300433999999999</v>
      </c>
      <c r="W62">
        <v>23.877924</v>
      </c>
      <c r="X62">
        <v>24.471464000000001</v>
      </c>
      <c r="Y62">
        <v>24.914925</v>
      </c>
      <c r="Z62">
        <v>25.292432999999999</v>
      </c>
      <c r="AA62">
        <v>25.640667000000001</v>
      </c>
      <c r="AB62">
        <v>25.971374999999998</v>
      </c>
      <c r="AC62">
        <v>26.085127</v>
      </c>
      <c r="AD62">
        <v>26.237444</v>
      </c>
      <c r="AE62">
        <v>26.312429000000002</v>
      </c>
      <c r="AF62">
        <v>26.418385000000001</v>
      </c>
      <c r="AG62">
        <v>26.558187</v>
      </c>
      <c r="AH62">
        <v>26.527553999999999</v>
      </c>
      <c r="AI62">
        <v>26.703157000000001</v>
      </c>
      <c r="AJ62">
        <v>27.008414999999999</v>
      </c>
      <c r="AK62">
        <v>27.318408999999999</v>
      </c>
      <c r="AL62">
        <v>27.647835000000001</v>
      </c>
      <c r="AM62" s="54">
        <v>2.7E-2</v>
      </c>
    </row>
    <row r="63" spans="1:39" x14ac:dyDescent="0.25">
      <c r="A63" t="s">
        <v>130</v>
      </c>
      <c r="B63" t="s">
        <v>339</v>
      </c>
      <c r="C63" t="s">
        <v>340</v>
      </c>
      <c r="D63" t="s">
        <v>231</v>
      </c>
      <c r="E63">
        <v>107.387794</v>
      </c>
      <c r="F63">
        <v>106.900734</v>
      </c>
      <c r="G63">
        <v>110.63782500000001</v>
      </c>
      <c r="H63">
        <v>125.82128899999999</v>
      </c>
      <c r="I63">
        <v>171.57195999999999</v>
      </c>
      <c r="J63">
        <v>205.625595</v>
      </c>
      <c r="K63">
        <v>194.31939700000001</v>
      </c>
      <c r="L63">
        <v>201.65550200000001</v>
      </c>
      <c r="M63" s="52">
        <v>214.887283</v>
      </c>
      <c r="N63">
        <v>216.55076600000001</v>
      </c>
      <c r="O63">
        <v>218.39977999999999</v>
      </c>
      <c r="P63">
        <v>213.09112500000001</v>
      </c>
      <c r="Q63">
        <v>216.717804</v>
      </c>
      <c r="R63" s="53">
        <v>218.698318</v>
      </c>
      <c r="S63">
        <v>223.61123699999999</v>
      </c>
      <c r="T63">
        <v>212.593628</v>
      </c>
      <c r="U63">
        <v>216.31791699999999</v>
      </c>
      <c r="V63">
        <v>220.21489</v>
      </c>
      <c r="W63">
        <v>222.67790199999999</v>
      </c>
      <c r="X63">
        <v>225.16287199999999</v>
      </c>
      <c r="Y63">
        <v>222.46653699999999</v>
      </c>
      <c r="Z63">
        <v>221.16310100000001</v>
      </c>
      <c r="AA63">
        <v>222.67546100000001</v>
      </c>
      <c r="AB63">
        <v>224.27380400000001</v>
      </c>
      <c r="AC63">
        <v>225.318253</v>
      </c>
      <c r="AD63">
        <v>225.594055</v>
      </c>
      <c r="AE63">
        <v>226.24800099999999</v>
      </c>
      <c r="AF63">
        <v>227.64012099999999</v>
      </c>
      <c r="AG63">
        <v>228.41922</v>
      </c>
      <c r="AH63">
        <v>229.16066000000001</v>
      </c>
      <c r="AI63">
        <v>229.297943</v>
      </c>
      <c r="AJ63">
        <v>228.86431899999999</v>
      </c>
      <c r="AK63">
        <v>229.15258800000001</v>
      </c>
      <c r="AL63">
        <v>229.519058</v>
      </c>
      <c r="AM63" s="54">
        <v>2.4E-2</v>
      </c>
    </row>
    <row r="64" spans="1:39" x14ac:dyDescent="0.25">
      <c r="A64" t="s">
        <v>132</v>
      </c>
      <c r="B64" t="s">
        <v>341</v>
      </c>
      <c r="C64" t="s">
        <v>342</v>
      </c>
      <c r="D64" t="s">
        <v>231</v>
      </c>
      <c r="E64">
        <v>0</v>
      </c>
      <c r="F64">
        <v>0</v>
      </c>
      <c r="G64">
        <v>0</v>
      </c>
      <c r="H64">
        <v>0</v>
      </c>
      <c r="I64">
        <v>0</v>
      </c>
      <c r="J64">
        <v>0</v>
      </c>
      <c r="K64">
        <v>0</v>
      </c>
      <c r="L64">
        <v>0</v>
      </c>
      <c r="M64" s="52">
        <v>0</v>
      </c>
      <c r="N64">
        <v>0</v>
      </c>
      <c r="O64">
        <v>0</v>
      </c>
      <c r="P64">
        <v>0</v>
      </c>
      <c r="Q64">
        <v>0</v>
      </c>
      <c r="R64" s="53">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t="s">
        <v>20</v>
      </c>
    </row>
    <row r="65" spans="1:39" x14ac:dyDescent="0.25">
      <c r="A65" t="s">
        <v>343</v>
      </c>
      <c r="B65" t="s">
        <v>344</v>
      </c>
      <c r="D65" t="s">
        <v>345</v>
      </c>
    </row>
    <row r="66" spans="1:39" x14ac:dyDescent="0.25">
      <c r="A66" t="s">
        <v>346</v>
      </c>
      <c r="B66" t="s">
        <v>347</v>
      </c>
      <c r="C66" t="s">
        <v>348</v>
      </c>
      <c r="D66" t="s">
        <v>231</v>
      </c>
      <c r="E66">
        <v>14278.958984000001</v>
      </c>
      <c r="F66">
        <v>13771.564453000001</v>
      </c>
      <c r="G66">
        <v>13380.661133</v>
      </c>
      <c r="H66">
        <v>13059.696289</v>
      </c>
      <c r="I66">
        <v>12806.03125</v>
      </c>
      <c r="J66">
        <v>12375.181640999999</v>
      </c>
      <c r="K66">
        <v>12330.459961</v>
      </c>
      <c r="L66">
        <v>12247.911133</v>
      </c>
      <c r="M66" s="52">
        <v>12160.481444999999</v>
      </c>
      <c r="N66">
        <v>12152.235352</v>
      </c>
      <c r="O66">
        <v>12060.236328000001</v>
      </c>
      <c r="P66">
        <v>12003.603515999999</v>
      </c>
      <c r="Q66">
        <v>11897.708984000001</v>
      </c>
      <c r="R66" s="53">
        <v>11887.959961</v>
      </c>
      <c r="S66">
        <v>11985.287109000001</v>
      </c>
      <c r="T66">
        <v>11953.041015999999</v>
      </c>
      <c r="U66">
        <v>11964.941406</v>
      </c>
      <c r="V66">
        <v>11969.503906</v>
      </c>
      <c r="W66">
        <v>11939.476562</v>
      </c>
      <c r="X66">
        <v>11889.875</v>
      </c>
      <c r="Y66">
        <v>11895.901367</v>
      </c>
      <c r="Z66">
        <v>11913.999023</v>
      </c>
      <c r="AA66">
        <v>11891.137694999999</v>
      </c>
      <c r="AB66">
        <v>11885.777344</v>
      </c>
      <c r="AC66">
        <v>11909.717773</v>
      </c>
      <c r="AD66">
        <v>11887.96875</v>
      </c>
      <c r="AE66">
        <v>11893.500977</v>
      </c>
      <c r="AF66">
        <v>11950.828125</v>
      </c>
      <c r="AG66">
        <v>11979.616211</v>
      </c>
      <c r="AH66">
        <v>12023.086914</v>
      </c>
      <c r="AI66">
        <v>11987.682617</v>
      </c>
      <c r="AJ66">
        <v>11912.996094</v>
      </c>
      <c r="AK66">
        <v>11881.822265999999</v>
      </c>
      <c r="AL66">
        <v>11829.377930000001</v>
      </c>
      <c r="AM66" s="54">
        <v>-5.0000000000000001E-3</v>
      </c>
    </row>
    <row r="67" spans="1:39" x14ac:dyDescent="0.25">
      <c r="A67" t="s">
        <v>349</v>
      </c>
      <c r="B67" t="s">
        <v>350</v>
      </c>
      <c r="C67" t="s">
        <v>351</v>
      </c>
      <c r="D67" t="s">
        <v>231</v>
      </c>
      <c r="E67">
        <v>42.415398000000003</v>
      </c>
      <c r="F67">
        <v>83.880652999999995</v>
      </c>
      <c r="G67">
        <v>153.75053399999999</v>
      </c>
      <c r="H67">
        <v>217.29379299999999</v>
      </c>
      <c r="I67">
        <v>224.46006800000001</v>
      </c>
      <c r="J67">
        <v>232.52162200000001</v>
      </c>
      <c r="K67">
        <v>245.11998</v>
      </c>
      <c r="L67">
        <v>255.53831500000001</v>
      </c>
      <c r="M67" s="52">
        <v>270.22827100000001</v>
      </c>
      <c r="N67">
        <v>284.77596999999997</v>
      </c>
      <c r="O67">
        <v>294.361176</v>
      </c>
      <c r="P67">
        <v>312.52835099999999</v>
      </c>
      <c r="Q67">
        <v>320.45370500000001</v>
      </c>
      <c r="R67" s="53">
        <v>332.78973400000001</v>
      </c>
      <c r="S67">
        <v>336.34277300000002</v>
      </c>
      <c r="T67">
        <v>332.18695100000002</v>
      </c>
      <c r="U67">
        <v>324.897156</v>
      </c>
      <c r="V67">
        <v>329.68264799999997</v>
      </c>
      <c r="W67">
        <v>321.93820199999999</v>
      </c>
      <c r="X67">
        <v>312.72470099999998</v>
      </c>
      <c r="Y67">
        <v>309.382904</v>
      </c>
      <c r="Z67">
        <v>303.753265</v>
      </c>
      <c r="AA67">
        <v>298.33078</v>
      </c>
      <c r="AB67">
        <v>294.73657200000002</v>
      </c>
      <c r="AC67">
        <v>292.66513099999997</v>
      </c>
      <c r="AD67">
        <v>287.92364500000002</v>
      </c>
      <c r="AE67">
        <v>284.03878800000001</v>
      </c>
      <c r="AF67">
        <v>282.96560699999998</v>
      </c>
      <c r="AG67">
        <v>279.32455399999998</v>
      </c>
      <c r="AH67">
        <v>280.65347300000002</v>
      </c>
      <c r="AI67">
        <v>279.67828400000002</v>
      </c>
      <c r="AJ67">
        <v>274.78634599999998</v>
      </c>
      <c r="AK67">
        <v>271.11175500000002</v>
      </c>
      <c r="AL67">
        <v>265.523438</v>
      </c>
      <c r="AM67" s="54">
        <v>3.6999999999999998E-2</v>
      </c>
    </row>
    <row r="68" spans="1:39" x14ac:dyDescent="0.25">
      <c r="A68" t="s">
        <v>352</v>
      </c>
      <c r="B68" t="s">
        <v>353</v>
      </c>
      <c r="C68" t="s">
        <v>354</v>
      </c>
      <c r="D68" t="s">
        <v>231</v>
      </c>
      <c r="E68">
        <v>922.02520800000002</v>
      </c>
      <c r="F68">
        <v>885.98284899999999</v>
      </c>
      <c r="G68">
        <v>875.69378700000004</v>
      </c>
      <c r="H68">
        <v>860.580017</v>
      </c>
      <c r="I68">
        <v>854.58294699999999</v>
      </c>
      <c r="J68">
        <v>830.93670699999996</v>
      </c>
      <c r="K68">
        <v>826.58514400000001</v>
      </c>
      <c r="L68">
        <v>821.22216800000001</v>
      </c>
      <c r="M68" s="52">
        <v>816.02789299999995</v>
      </c>
      <c r="N68">
        <v>817.17437700000005</v>
      </c>
      <c r="O68">
        <v>834.48767099999998</v>
      </c>
      <c r="P68">
        <v>872.45538299999998</v>
      </c>
      <c r="Q68">
        <v>899.16943400000002</v>
      </c>
      <c r="R68" s="53">
        <v>949.09680200000003</v>
      </c>
      <c r="S68">
        <v>968.16424600000005</v>
      </c>
      <c r="T68">
        <v>971.61444100000006</v>
      </c>
      <c r="U68">
        <v>988.79595900000004</v>
      </c>
      <c r="V68">
        <v>1020.604858</v>
      </c>
      <c r="W68">
        <v>1027.1636960000001</v>
      </c>
      <c r="X68">
        <v>1035.3885499999999</v>
      </c>
      <c r="Y68">
        <v>1043.4678960000001</v>
      </c>
      <c r="Z68">
        <v>1040.8930660000001</v>
      </c>
      <c r="AA68">
        <v>1022.993713</v>
      </c>
      <c r="AB68">
        <v>1004.278809</v>
      </c>
      <c r="AC68">
        <v>968.65472399999999</v>
      </c>
      <c r="AD68">
        <v>932.90252699999996</v>
      </c>
      <c r="AE68">
        <v>889.18365500000004</v>
      </c>
      <c r="AF68">
        <v>864.77105700000004</v>
      </c>
      <c r="AG68">
        <v>841.89465299999995</v>
      </c>
      <c r="AH68">
        <v>784.53393600000004</v>
      </c>
      <c r="AI68">
        <v>756.661743</v>
      </c>
      <c r="AJ68">
        <v>743.54315199999996</v>
      </c>
      <c r="AK68">
        <v>741.70770300000004</v>
      </c>
      <c r="AL68">
        <v>739.18615699999998</v>
      </c>
      <c r="AM68" s="54">
        <v>-6.0000000000000001E-3</v>
      </c>
    </row>
    <row r="69" spans="1:39" x14ac:dyDescent="0.25">
      <c r="A69" t="s">
        <v>355</v>
      </c>
      <c r="B69" t="s">
        <v>356</v>
      </c>
      <c r="C69" t="s">
        <v>357</v>
      </c>
      <c r="D69" t="s">
        <v>231</v>
      </c>
      <c r="E69">
        <v>108.09412399999999</v>
      </c>
      <c r="F69">
        <v>206.263992</v>
      </c>
      <c r="G69">
        <v>470.52810699999998</v>
      </c>
      <c r="H69">
        <v>599.15295400000002</v>
      </c>
      <c r="I69">
        <v>719.55011000000002</v>
      </c>
      <c r="J69">
        <v>785.54577600000005</v>
      </c>
      <c r="K69">
        <v>842.00366199999996</v>
      </c>
      <c r="L69">
        <v>909.38183600000002</v>
      </c>
      <c r="M69" s="52">
        <v>962.096497</v>
      </c>
      <c r="N69">
        <v>963.23675500000002</v>
      </c>
      <c r="O69">
        <v>983.455017</v>
      </c>
      <c r="P69">
        <v>1003.50238</v>
      </c>
      <c r="Q69">
        <v>1049.824707</v>
      </c>
      <c r="R69" s="53">
        <v>1101.5347899999999</v>
      </c>
      <c r="S69">
        <v>1178.6313479999999</v>
      </c>
      <c r="T69">
        <v>1239.4079589999999</v>
      </c>
      <c r="U69">
        <v>1317.5888669999999</v>
      </c>
      <c r="V69">
        <v>1402.0170900000001</v>
      </c>
      <c r="W69">
        <v>1480.8422849999999</v>
      </c>
      <c r="X69">
        <v>1556.394775</v>
      </c>
      <c r="Y69">
        <v>1622.2242429999999</v>
      </c>
      <c r="Z69">
        <v>1692.0517580000001</v>
      </c>
      <c r="AA69">
        <v>1756.4938959999999</v>
      </c>
      <c r="AB69">
        <v>1822.090698</v>
      </c>
      <c r="AC69">
        <v>1870.7973629999999</v>
      </c>
      <c r="AD69">
        <v>1917.315063</v>
      </c>
      <c r="AE69">
        <v>1964.8897710000001</v>
      </c>
      <c r="AF69">
        <v>2014.804077</v>
      </c>
      <c r="AG69">
        <v>2062.0812989999999</v>
      </c>
      <c r="AH69">
        <v>2111.7995609999998</v>
      </c>
      <c r="AI69">
        <v>2154.9277339999999</v>
      </c>
      <c r="AJ69">
        <v>2198.2958979999999</v>
      </c>
      <c r="AK69">
        <v>2244.9223630000001</v>
      </c>
      <c r="AL69">
        <v>2288.2985840000001</v>
      </c>
      <c r="AM69" s="54">
        <v>7.8E-2</v>
      </c>
    </row>
    <row r="70" spans="1:39" x14ac:dyDescent="0.25">
      <c r="A70" t="s">
        <v>358</v>
      </c>
      <c r="B70" t="s">
        <v>359</v>
      </c>
      <c r="C70" t="s">
        <v>360</v>
      </c>
      <c r="D70" t="s">
        <v>231</v>
      </c>
      <c r="E70">
        <v>91.240875000000003</v>
      </c>
      <c r="F70">
        <v>176.398056</v>
      </c>
      <c r="G70">
        <v>199.14656099999999</v>
      </c>
      <c r="H70">
        <v>217.85498000000001</v>
      </c>
      <c r="I70">
        <v>250.28263899999999</v>
      </c>
      <c r="J70">
        <v>262.27276599999999</v>
      </c>
      <c r="K70">
        <v>269.39205900000002</v>
      </c>
      <c r="L70">
        <v>279.96743800000002</v>
      </c>
      <c r="M70" s="52">
        <v>291.536652</v>
      </c>
      <c r="N70">
        <v>294.77127100000001</v>
      </c>
      <c r="O70">
        <v>301.42715500000003</v>
      </c>
      <c r="P70">
        <v>306.83090199999998</v>
      </c>
      <c r="Q70">
        <v>321.73971599999999</v>
      </c>
      <c r="R70" s="53">
        <v>331.32745399999999</v>
      </c>
      <c r="S70">
        <v>341.095123</v>
      </c>
      <c r="T70">
        <v>350.58108499999997</v>
      </c>
      <c r="U70">
        <v>359.868652</v>
      </c>
      <c r="V70">
        <v>370.691193</v>
      </c>
      <c r="W70">
        <v>379.92404199999999</v>
      </c>
      <c r="X70">
        <v>390.42361499999998</v>
      </c>
      <c r="Y70">
        <v>401.25177000000002</v>
      </c>
      <c r="Z70">
        <v>406.60211199999998</v>
      </c>
      <c r="AA70">
        <v>416.70404100000002</v>
      </c>
      <c r="AB70">
        <v>427.87902800000001</v>
      </c>
      <c r="AC70">
        <v>435.51357999999999</v>
      </c>
      <c r="AD70">
        <v>443.13809199999997</v>
      </c>
      <c r="AE70">
        <v>450.727081</v>
      </c>
      <c r="AF70">
        <v>459.38079800000003</v>
      </c>
      <c r="AG70">
        <v>467.36834700000003</v>
      </c>
      <c r="AH70">
        <v>476.30490099999997</v>
      </c>
      <c r="AI70">
        <v>484.60043300000001</v>
      </c>
      <c r="AJ70">
        <v>492.72619600000002</v>
      </c>
      <c r="AK70">
        <v>501.37835699999999</v>
      </c>
      <c r="AL70">
        <v>511.31332400000002</v>
      </c>
      <c r="AM70" s="54">
        <v>3.4000000000000002E-2</v>
      </c>
    </row>
    <row r="71" spans="1:39" x14ac:dyDescent="0.25">
      <c r="A71" t="s">
        <v>361</v>
      </c>
      <c r="B71" t="s">
        <v>362</v>
      </c>
      <c r="C71" t="s">
        <v>363</v>
      </c>
      <c r="D71" t="s">
        <v>231</v>
      </c>
      <c r="E71">
        <v>472.459473</v>
      </c>
      <c r="F71">
        <v>548.237976</v>
      </c>
      <c r="G71">
        <v>550.38946499999997</v>
      </c>
      <c r="H71">
        <v>554.62268100000006</v>
      </c>
      <c r="I71">
        <v>553.07165499999996</v>
      </c>
      <c r="J71">
        <v>553.93182400000001</v>
      </c>
      <c r="K71">
        <v>579.50579800000003</v>
      </c>
      <c r="L71">
        <v>609.50122099999999</v>
      </c>
      <c r="M71" s="52">
        <v>621.45330799999999</v>
      </c>
      <c r="N71">
        <v>650.45355199999995</v>
      </c>
      <c r="O71">
        <v>683.45281999999997</v>
      </c>
      <c r="P71">
        <v>714.94140600000003</v>
      </c>
      <c r="Q71">
        <v>746.96948199999997</v>
      </c>
      <c r="R71" s="53">
        <v>777.44018600000004</v>
      </c>
      <c r="S71">
        <v>813.522156</v>
      </c>
      <c r="T71">
        <v>836.51330600000006</v>
      </c>
      <c r="U71">
        <v>858.52880900000002</v>
      </c>
      <c r="V71">
        <v>879.64794900000004</v>
      </c>
      <c r="W71">
        <v>894.69775400000003</v>
      </c>
      <c r="X71">
        <v>907.51568599999996</v>
      </c>
      <c r="Y71">
        <v>920.04797399999995</v>
      </c>
      <c r="Z71">
        <v>933.54382299999997</v>
      </c>
      <c r="AA71">
        <v>943.33776899999998</v>
      </c>
      <c r="AB71">
        <v>954.84710700000005</v>
      </c>
      <c r="AC71">
        <v>967.11840800000004</v>
      </c>
      <c r="AD71">
        <v>973.18615699999998</v>
      </c>
      <c r="AE71">
        <v>978.75677499999995</v>
      </c>
      <c r="AF71">
        <v>988.10064699999998</v>
      </c>
      <c r="AG71">
        <v>996.15100099999995</v>
      </c>
      <c r="AH71">
        <v>1003.673889</v>
      </c>
      <c r="AI71">
        <v>1006.60968</v>
      </c>
      <c r="AJ71">
        <v>1008.576172</v>
      </c>
      <c r="AK71">
        <v>1012.913452</v>
      </c>
      <c r="AL71">
        <v>1015.539307</v>
      </c>
      <c r="AM71" s="54">
        <v>1.9E-2</v>
      </c>
    </row>
    <row r="72" spans="1:39" x14ac:dyDescent="0.25">
      <c r="A72" t="s">
        <v>364</v>
      </c>
      <c r="B72" t="s">
        <v>365</v>
      </c>
      <c r="C72" t="s">
        <v>366</v>
      </c>
      <c r="D72" t="s">
        <v>231</v>
      </c>
      <c r="E72">
        <v>36.254517</v>
      </c>
      <c r="F72">
        <v>16.339399</v>
      </c>
      <c r="G72">
        <v>16.347968999999999</v>
      </c>
      <c r="H72">
        <v>16.263472</v>
      </c>
      <c r="I72">
        <v>16.218733</v>
      </c>
      <c r="J72">
        <v>15.884314</v>
      </c>
      <c r="K72">
        <v>16.006226000000002</v>
      </c>
      <c r="L72">
        <v>16.091562</v>
      </c>
      <c r="M72" s="52">
        <v>16.047443000000001</v>
      </c>
      <c r="N72">
        <v>16.118822000000002</v>
      </c>
      <c r="O72">
        <v>16.041243000000001</v>
      </c>
      <c r="P72">
        <v>16.019881999999999</v>
      </c>
      <c r="Q72">
        <v>15.944932</v>
      </c>
      <c r="R72" s="53">
        <v>16.036541</v>
      </c>
      <c r="S72">
        <v>16.23978</v>
      </c>
      <c r="T72">
        <v>16.247281999999998</v>
      </c>
      <c r="U72">
        <v>16.334247999999999</v>
      </c>
      <c r="V72">
        <v>16.478656999999998</v>
      </c>
      <c r="W72">
        <v>16.533270000000002</v>
      </c>
      <c r="X72">
        <v>16.570803000000002</v>
      </c>
      <c r="Y72">
        <v>16.660692000000001</v>
      </c>
      <c r="Z72">
        <v>16.757809000000002</v>
      </c>
      <c r="AA72">
        <v>16.811115000000001</v>
      </c>
      <c r="AB72">
        <v>16.891957999999999</v>
      </c>
      <c r="AC72">
        <v>16.960819000000001</v>
      </c>
      <c r="AD72">
        <v>16.996437</v>
      </c>
      <c r="AE72">
        <v>17.042801000000001</v>
      </c>
      <c r="AF72">
        <v>17.174272999999999</v>
      </c>
      <c r="AG72">
        <v>17.266645</v>
      </c>
      <c r="AH72">
        <v>17.376318000000001</v>
      </c>
      <c r="AI72">
        <v>17.418859000000001</v>
      </c>
      <c r="AJ72">
        <v>17.433916</v>
      </c>
      <c r="AK72">
        <v>17.515605999999998</v>
      </c>
      <c r="AL72">
        <v>17.576098999999999</v>
      </c>
      <c r="AM72" s="54">
        <v>2E-3</v>
      </c>
    </row>
    <row r="73" spans="1:39" x14ac:dyDescent="0.25">
      <c r="A73" t="s">
        <v>367</v>
      </c>
      <c r="B73" t="s">
        <v>368</v>
      </c>
      <c r="C73" t="s">
        <v>369</v>
      </c>
      <c r="D73" t="s">
        <v>231</v>
      </c>
      <c r="E73">
        <v>2.9243969999999999</v>
      </c>
      <c r="F73">
        <v>5.2971259999999996</v>
      </c>
      <c r="G73">
        <v>10.107049999999999</v>
      </c>
      <c r="H73">
        <v>17.12499</v>
      </c>
      <c r="I73">
        <v>30.421301</v>
      </c>
      <c r="J73">
        <v>44.187030999999998</v>
      </c>
      <c r="K73">
        <v>45.971794000000003</v>
      </c>
      <c r="L73">
        <v>51.642727000000001</v>
      </c>
      <c r="M73" s="52">
        <v>56.163643</v>
      </c>
      <c r="N73">
        <v>55.667228999999999</v>
      </c>
      <c r="O73">
        <v>55.188789</v>
      </c>
      <c r="P73">
        <v>52.102612000000001</v>
      </c>
      <c r="Q73">
        <v>52.340587999999997</v>
      </c>
      <c r="R73" s="53">
        <v>51.752144000000001</v>
      </c>
      <c r="S73">
        <v>51.721522999999998</v>
      </c>
      <c r="T73">
        <v>47.296612000000003</v>
      </c>
      <c r="U73">
        <v>46.730010999999998</v>
      </c>
      <c r="V73">
        <v>46.909992000000003</v>
      </c>
      <c r="W73">
        <v>46.992435</v>
      </c>
      <c r="X73">
        <v>47.385185</v>
      </c>
      <c r="Y73">
        <v>46.336582</v>
      </c>
      <c r="Z73">
        <v>46.501590999999998</v>
      </c>
      <c r="AA73">
        <v>46.845374999999997</v>
      </c>
      <c r="AB73">
        <v>47.28783</v>
      </c>
      <c r="AC73">
        <v>47.269672</v>
      </c>
      <c r="AD73">
        <v>47.443767999999999</v>
      </c>
      <c r="AE73">
        <v>47.768318000000001</v>
      </c>
      <c r="AF73">
        <v>48.132106999999998</v>
      </c>
      <c r="AG73">
        <v>48.342354</v>
      </c>
      <c r="AH73">
        <v>48.631466000000003</v>
      </c>
      <c r="AI73">
        <v>48.968665999999999</v>
      </c>
      <c r="AJ73">
        <v>49.159573000000002</v>
      </c>
      <c r="AK73">
        <v>49.415619</v>
      </c>
      <c r="AL73">
        <v>49.895302000000001</v>
      </c>
      <c r="AM73" s="54">
        <v>7.2999999999999995E-2</v>
      </c>
    </row>
    <row r="74" spans="1:39" x14ac:dyDescent="0.25">
      <c r="A74" t="s">
        <v>151</v>
      </c>
      <c r="B74" t="s">
        <v>370</v>
      </c>
      <c r="C74" t="s">
        <v>371</v>
      </c>
      <c r="D74" t="s">
        <v>231</v>
      </c>
      <c r="E74">
        <v>15954.373046999999</v>
      </c>
      <c r="F74">
        <v>15693.963867</v>
      </c>
      <c r="G74">
        <v>15656.624023</v>
      </c>
      <c r="H74">
        <v>15542.589844</v>
      </c>
      <c r="I74">
        <v>15454.619140999999</v>
      </c>
      <c r="J74">
        <v>15100.460938</v>
      </c>
      <c r="K74">
        <v>15155.043944999999</v>
      </c>
      <c r="L74">
        <v>15191.255859000001</v>
      </c>
      <c r="M74" s="52">
        <v>15194.034180000001</v>
      </c>
      <c r="N74">
        <v>15234.433594</v>
      </c>
      <c r="O74">
        <v>15228.650390999999</v>
      </c>
      <c r="P74">
        <v>15281.984375</v>
      </c>
      <c r="Q74">
        <v>15304.151367</v>
      </c>
      <c r="R74" s="53">
        <v>15447.9375</v>
      </c>
      <c r="S74">
        <v>15691.002930000001</v>
      </c>
      <c r="T74">
        <v>15746.889648</v>
      </c>
      <c r="U74">
        <v>15877.683594</v>
      </c>
      <c r="V74">
        <v>16035.537109000001</v>
      </c>
      <c r="W74">
        <v>16107.569336</v>
      </c>
      <c r="X74">
        <v>16156.279296999999</v>
      </c>
      <c r="Y74">
        <v>16255.273438</v>
      </c>
      <c r="Z74">
        <v>16354.101562</v>
      </c>
      <c r="AA74">
        <v>16392.654297000001</v>
      </c>
      <c r="AB74">
        <v>16453.789062</v>
      </c>
      <c r="AC74">
        <v>16508.697265999999</v>
      </c>
      <c r="AD74">
        <v>16506.875</v>
      </c>
      <c r="AE74">
        <v>16525.90625</v>
      </c>
      <c r="AF74">
        <v>16626.158202999999</v>
      </c>
      <c r="AG74">
        <v>16692.046875</v>
      </c>
      <c r="AH74">
        <v>16746.0625</v>
      </c>
      <c r="AI74">
        <v>16736.548827999999</v>
      </c>
      <c r="AJ74">
        <v>16697.517577999999</v>
      </c>
      <c r="AK74">
        <v>16720.787109000001</v>
      </c>
      <c r="AL74">
        <v>16716.710938</v>
      </c>
      <c r="AM74" s="54">
        <v>2E-3</v>
      </c>
    </row>
    <row r="75" spans="1:39" x14ac:dyDescent="0.25">
      <c r="A75" t="s">
        <v>372</v>
      </c>
      <c r="B75" t="s">
        <v>373</v>
      </c>
      <c r="C75" t="s">
        <v>374</v>
      </c>
      <c r="D75" t="s">
        <v>231</v>
      </c>
      <c r="E75">
        <v>1665.472534</v>
      </c>
      <c r="F75">
        <v>1622.4594729999999</v>
      </c>
      <c r="G75">
        <v>1644.2060550000001</v>
      </c>
      <c r="H75">
        <v>1751.1110839999999</v>
      </c>
      <c r="I75">
        <v>2104.0654300000001</v>
      </c>
      <c r="J75">
        <v>2407.2009280000002</v>
      </c>
      <c r="K75">
        <v>2640.255615</v>
      </c>
      <c r="L75">
        <v>2752.286865</v>
      </c>
      <c r="M75" s="52">
        <v>3188.7377929999998</v>
      </c>
      <c r="N75">
        <v>3180.6660160000001</v>
      </c>
      <c r="O75">
        <v>3153.6972660000001</v>
      </c>
      <c r="P75">
        <v>3137.5092770000001</v>
      </c>
      <c r="Q75">
        <v>3106.3991700000001</v>
      </c>
      <c r="R75" s="53">
        <v>3102.9399410000001</v>
      </c>
      <c r="S75">
        <v>3125.9885250000002</v>
      </c>
      <c r="T75">
        <v>3116.2475589999999</v>
      </c>
      <c r="U75">
        <v>3144.5192870000001</v>
      </c>
      <c r="V75">
        <v>3142.6000979999999</v>
      </c>
      <c r="W75">
        <v>3133.2045899999998</v>
      </c>
      <c r="X75">
        <v>3118.538818</v>
      </c>
      <c r="Y75">
        <v>3119.460693</v>
      </c>
      <c r="Z75">
        <v>3143.2460940000001</v>
      </c>
      <c r="AA75">
        <v>3135.655518</v>
      </c>
      <c r="AB75">
        <v>3133.2934570000002</v>
      </c>
      <c r="AC75">
        <v>3196.4870609999998</v>
      </c>
      <c r="AD75">
        <v>3188.8447270000001</v>
      </c>
      <c r="AE75">
        <v>3189.8239749999998</v>
      </c>
      <c r="AF75">
        <v>3204.5202640000002</v>
      </c>
      <c r="AG75">
        <v>3217.1115719999998</v>
      </c>
      <c r="AH75">
        <v>3228.851807</v>
      </c>
      <c r="AI75">
        <v>3219.1362300000001</v>
      </c>
      <c r="AJ75">
        <v>3198.3020019999999</v>
      </c>
      <c r="AK75">
        <v>3189.9011230000001</v>
      </c>
      <c r="AL75">
        <v>3175.6611330000001</v>
      </c>
      <c r="AM75" s="54">
        <v>2.1000000000000001E-2</v>
      </c>
    </row>
    <row r="76" spans="1:39" x14ac:dyDescent="0.25">
      <c r="A76" t="s">
        <v>375</v>
      </c>
      <c r="B76" t="s">
        <v>376</v>
      </c>
      <c r="C76" t="s">
        <v>377</v>
      </c>
      <c r="D76" t="s">
        <v>231</v>
      </c>
      <c r="E76">
        <v>4.6682259999999998</v>
      </c>
      <c r="F76">
        <v>10.273467</v>
      </c>
      <c r="G76">
        <v>19.92071</v>
      </c>
      <c r="H76">
        <v>31.734995000000001</v>
      </c>
      <c r="I76">
        <v>40.764198</v>
      </c>
      <c r="J76">
        <v>47.929943000000002</v>
      </c>
      <c r="K76">
        <v>53.456493000000002</v>
      </c>
      <c r="L76">
        <v>57.885925</v>
      </c>
      <c r="M76" s="52">
        <v>75.938850000000002</v>
      </c>
      <c r="N76">
        <v>79.734802000000002</v>
      </c>
      <c r="O76">
        <v>82.208648999999994</v>
      </c>
      <c r="P76">
        <v>87.065963999999994</v>
      </c>
      <c r="Q76">
        <v>89.071242999999996</v>
      </c>
      <c r="R76" s="53">
        <v>92.362373000000005</v>
      </c>
      <c r="S76">
        <v>93.267128</v>
      </c>
      <c r="T76">
        <v>92.058043999999995</v>
      </c>
      <c r="U76">
        <v>90.707115000000002</v>
      </c>
      <c r="V76">
        <v>91.915786999999995</v>
      </c>
      <c r="W76">
        <v>89.726517000000001</v>
      </c>
      <c r="X76">
        <v>87.126655999999997</v>
      </c>
      <c r="Y76">
        <v>86.183891000000003</v>
      </c>
      <c r="Z76">
        <v>85.054114999999996</v>
      </c>
      <c r="AA76">
        <v>83.495140000000006</v>
      </c>
      <c r="AB76">
        <v>82.462104999999994</v>
      </c>
      <c r="AC76">
        <v>83.329078999999993</v>
      </c>
      <c r="AD76">
        <v>81.928641999999996</v>
      </c>
      <c r="AE76">
        <v>80.797912999999994</v>
      </c>
      <c r="AF76">
        <v>80.469116</v>
      </c>
      <c r="AG76">
        <v>79.410431000000003</v>
      </c>
      <c r="AH76">
        <v>79.784392999999994</v>
      </c>
      <c r="AI76">
        <v>79.499320999999995</v>
      </c>
      <c r="AJ76">
        <v>78.089432000000002</v>
      </c>
      <c r="AK76">
        <v>77.037621000000001</v>
      </c>
      <c r="AL76">
        <v>75.451408000000001</v>
      </c>
      <c r="AM76" s="54">
        <v>6.4000000000000001E-2</v>
      </c>
    </row>
    <row r="77" spans="1:39" x14ac:dyDescent="0.25">
      <c r="A77" t="s">
        <v>157</v>
      </c>
      <c r="B77" t="s">
        <v>378</v>
      </c>
      <c r="C77" t="s">
        <v>379</v>
      </c>
      <c r="D77" t="s">
        <v>231</v>
      </c>
      <c r="E77">
        <v>3340.8867190000001</v>
      </c>
      <c r="F77">
        <v>3544.859375</v>
      </c>
      <c r="G77">
        <v>3920.1708979999999</v>
      </c>
      <c r="H77">
        <v>4234.0048829999996</v>
      </c>
      <c r="I77">
        <v>4752.6523440000001</v>
      </c>
      <c r="J77">
        <v>5132.4804690000001</v>
      </c>
      <c r="K77">
        <v>5464.8388670000004</v>
      </c>
      <c r="L77">
        <v>5695.6318359999996</v>
      </c>
      <c r="M77" s="52">
        <v>6222.2919920000004</v>
      </c>
      <c r="N77">
        <v>6262.8642579999996</v>
      </c>
      <c r="O77">
        <v>6322.111328</v>
      </c>
      <c r="P77">
        <v>6415.890625</v>
      </c>
      <c r="Q77">
        <v>6512.841797</v>
      </c>
      <c r="R77" s="53">
        <v>6662.9169920000004</v>
      </c>
      <c r="S77">
        <v>6831.705078</v>
      </c>
      <c r="T77">
        <v>6910.095703</v>
      </c>
      <c r="U77">
        <v>7057.263672</v>
      </c>
      <c r="V77">
        <v>7208.6328119999998</v>
      </c>
      <c r="W77">
        <v>7301.296875</v>
      </c>
      <c r="X77">
        <v>7384.9414059999999</v>
      </c>
      <c r="Y77">
        <v>7478.8330079999996</v>
      </c>
      <c r="Z77">
        <v>7583.3486329999996</v>
      </c>
      <c r="AA77">
        <v>7637.1728519999997</v>
      </c>
      <c r="AB77">
        <v>7701.3046880000002</v>
      </c>
      <c r="AC77">
        <v>7795.4658200000003</v>
      </c>
      <c r="AD77">
        <v>7807.75</v>
      </c>
      <c r="AE77">
        <v>7822.2314450000003</v>
      </c>
      <c r="AF77">
        <v>7879.8476559999999</v>
      </c>
      <c r="AG77">
        <v>7929.5400390000004</v>
      </c>
      <c r="AH77">
        <v>7951.8251950000003</v>
      </c>
      <c r="AI77">
        <v>7968.0009769999997</v>
      </c>
      <c r="AJ77">
        <v>7982.8242190000001</v>
      </c>
      <c r="AK77">
        <v>8028.8652339999999</v>
      </c>
      <c r="AL77">
        <v>8062.9931640000004</v>
      </c>
      <c r="AM77" s="54">
        <v>2.5999999999999999E-2</v>
      </c>
    </row>
    <row r="78" spans="1:39" x14ac:dyDescent="0.25">
      <c r="A78" t="s">
        <v>380</v>
      </c>
      <c r="E78">
        <f>SUM(E66:E77)</f>
        <v>36919.773502000004</v>
      </c>
      <c r="F78">
        <f t="shared" ref="F78:AL78" si="8">SUM(F66:F77)</f>
        <v>36565.520686000003</v>
      </c>
      <c r="G78">
        <f t="shared" si="8"/>
        <v>36897.546291999999</v>
      </c>
      <c r="H78">
        <f t="shared" si="8"/>
        <v>37102.029982</v>
      </c>
      <c r="I78">
        <f t="shared" si="8"/>
        <v>37806.719815999997</v>
      </c>
      <c r="J78">
        <f t="shared" si="8"/>
        <v>37788.533959</v>
      </c>
      <c r="K78">
        <f t="shared" si="8"/>
        <v>38468.639543999998</v>
      </c>
      <c r="L78">
        <f t="shared" si="8"/>
        <v>38888.316885000007</v>
      </c>
      <c r="M78" s="52">
        <f t="shared" si="8"/>
        <v>39875.037966999997</v>
      </c>
      <c r="N78">
        <f t="shared" si="8"/>
        <v>39992.131998000004</v>
      </c>
      <c r="O78">
        <f t="shared" si="8"/>
        <v>40015.317833000001</v>
      </c>
      <c r="P78">
        <f t="shared" si="8"/>
        <v>40204.434673000003</v>
      </c>
      <c r="Q78">
        <f t="shared" si="8"/>
        <v>40316.615124999997</v>
      </c>
      <c r="R78" s="53">
        <f t="shared" si="8"/>
        <v>40754.094418000001</v>
      </c>
      <c r="S78">
        <f t="shared" si="8"/>
        <v>41432.967719</v>
      </c>
      <c r="T78">
        <f t="shared" si="8"/>
        <v>41612.179605999998</v>
      </c>
      <c r="U78">
        <f t="shared" si="8"/>
        <v>42047.858776000001</v>
      </c>
      <c r="V78">
        <f t="shared" si="8"/>
        <v>42514.222099000006</v>
      </c>
      <c r="W78">
        <f t="shared" si="8"/>
        <v>42739.365564000007</v>
      </c>
      <c r="X78">
        <f t="shared" si="8"/>
        <v>42903.164491999996</v>
      </c>
      <c r="Y78">
        <f t="shared" si="8"/>
        <v>43195.024458</v>
      </c>
      <c r="Z78">
        <f t="shared" si="8"/>
        <v>43519.852851000003</v>
      </c>
      <c r="AA78">
        <f t="shared" si="8"/>
        <v>43641.632190999997</v>
      </c>
      <c r="AB78">
        <f t="shared" si="8"/>
        <v>43824.638657999996</v>
      </c>
      <c r="AC78">
        <f t="shared" si="8"/>
        <v>44092.676696000002</v>
      </c>
      <c r="AD78">
        <f t="shared" si="8"/>
        <v>44092.272808000009</v>
      </c>
      <c r="AE78">
        <f t="shared" si="8"/>
        <v>44144.667749</v>
      </c>
      <c r="AF78">
        <f t="shared" si="8"/>
        <v>44417.15193</v>
      </c>
      <c r="AG78">
        <f t="shared" si="8"/>
        <v>44610.153980999996</v>
      </c>
      <c r="AH78">
        <f t="shared" si="8"/>
        <v>44752.584352999991</v>
      </c>
      <c r="AI78">
        <f t="shared" si="8"/>
        <v>44739.733372000002</v>
      </c>
      <c r="AJ78">
        <f t="shared" si="8"/>
        <v>44654.250577999999</v>
      </c>
      <c r="AK78">
        <f t="shared" si="8"/>
        <v>44737.378208000002</v>
      </c>
      <c r="AL78">
        <f t="shared" si="8"/>
        <v>44747.526784000009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1"/>
  <sheetViews>
    <sheetView workbookViewId="0">
      <selection activeCell="C38" sqref="C38"/>
    </sheetView>
  </sheetViews>
  <sheetFormatPr defaultRowHeight="15" x14ac:dyDescent="0.25"/>
  <cols>
    <col min="1" max="1" width="23.28515625" customWidth="1"/>
    <col min="2" max="2" width="18.85546875" customWidth="1"/>
    <col min="3" max="3" width="24.140625" customWidth="1"/>
    <col min="4" max="4" width="14.7109375" customWidth="1"/>
    <col min="5" max="5" width="16.28515625" customWidth="1"/>
    <col min="6" max="6" width="18" style="23" customWidth="1"/>
    <col min="7" max="7" width="32.28515625" style="23" customWidth="1"/>
    <col min="9" max="10" width="9.140625" customWidth="1"/>
  </cols>
  <sheetData>
    <row r="1" spans="1:43" ht="14.45" x14ac:dyDescent="0.35">
      <c r="A1" t="s">
        <v>168</v>
      </c>
      <c r="I1" s="29" t="s">
        <v>53</v>
      </c>
      <c r="J1" s="30"/>
      <c r="K1" s="31"/>
      <c r="L1" s="31"/>
      <c r="M1" s="31"/>
    </row>
    <row r="2" spans="1:43" ht="14.45" x14ac:dyDescent="0.35">
      <c r="A2" t="s">
        <v>55</v>
      </c>
      <c r="I2" s="27" t="s">
        <v>50</v>
      </c>
      <c r="J2" s="25">
        <v>1</v>
      </c>
    </row>
    <row r="3" spans="1:43" ht="14.45" x14ac:dyDescent="0.35">
      <c r="A3" t="s">
        <v>56</v>
      </c>
      <c r="I3" s="27" t="s">
        <v>51</v>
      </c>
      <c r="J3" s="25">
        <v>-0.3</v>
      </c>
    </row>
    <row r="4" spans="1:43" thickBot="1" x14ac:dyDescent="0.4">
      <c r="A4" t="s">
        <v>57</v>
      </c>
      <c r="I4" s="28" t="s">
        <v>52</v>
      </c>
      <c r="J4" s="26">
        <v>-17</v>
      </c>
    </row>
    <row r="5" spans="1:43" ht="14.45" x14ac:dyDescent="0.35">
      <c r="A5" t="s">
        <v>58</v>
      </c>
    </row>
    <row r="6" spans="1:43" ht="29.1" x14ac:dyDescent="0.35">
      <c r="A6" s="2"/>
      <c r="B6" s="2"/>
      <c r="C6" s="2"/>
      <c r="D6" s="3" t="s">
        <v>14</v>
      </c>
      <c r="E6" s="3" t="s">
        <v>14</v>
      </c>
      <c r="F6" s="3" t="s">
        <v>54</v>
      </c>
      <c r="G6" s="3" t="s">
        <v>167</v>
      </c>
    </row>
    <row r="7" spans="1:43" ht="14.45" x14ac:dyDescent="0.35">
      <c r="A7" s="2" t="s">
        <v>7</v>
      </c>
      <c r="B7" s="2" t="s">
        <v>8</v>
      </c>
      <c r="C7" s="2" t="s">
        <v>9</v>
      </c>
      <c r="D7" s="2">
        <v>2016</v>
      </c>
      <c r="E7" s="2">
        <v>2050</v>
      </c>
      <c r="F7" s="22"/>
      <c r="G7" s="22"/>
      <c r="I7" s="32">
        <v>2016</v>
      </c>
      <c r="J7" s="32">
        <v>2017</v>
      </c>
      <c r="K7" s="32">
        <v>2018</v>
      </c>
      <c r="L7" s="32">
        <v>2019</v>
      </c>
      <c r="M7" s="32">
        <v>2020</v>
      </c>
      <c r="N7" s="32">
        <v>2021</v>
      </c>
      <c r="O7" s="32">
        <v>2022</v>
      </c>
      <c r="P7" s="32">
        <v>2023</v>
      </c>
      <c r="Q7" s="32">
        <v>2024</v>
      </c>
      <c r="R7" s="32">
        <v>2025</v>
      </c>
      <c r="S7" s="32">
        <v>2026</v>
      </c>
      <c r="T7" s="32">
        <v>2027</v>
      </c>
      <c r="U7" s="32">
        <v>2028</v>
      </c>
      <c r="V7" s="32">
        <v>2029</v>
      </c>
      <c r="W7" s="32">
        <v>2030</v>
      </c>
      <c r="X7" s="32">
        <v>2031</v>
      </c>
      <c r="Y7" s="32">
        <v>2032</v>
      </c>
      <c r="Z7" s="32">
        <v>2033</v>
      </c>
      <c r="AA7" s="32">
        <v>2034</v>
      </c>
      <c r="AB7" s="32">
        <v>2035</v>
      </c>
      <c r="AC7" s="32">
        <v>2036</v>
      </c>
      <c r="AD7" s="32">
        <v>2037</v>
      </c>
      <c r="AE7" s="32">
        <v>2038</v>
      </c>
      <c r="AF7" s="32">
        <v>2039</v>
      </c>
      <c r="AG7" s="32">
        <v>2040</v>
      </c>
      <c r="AH7" s="32">
        <v>2041</v>
      </c>
      <c r="AI7" s="32">
        <v>2042</v>
      </c>
      <c r="AJ7" s="32">
        <v>2043</v>
      </c>
      <c r="AK7" s="32">
        <v>2044</v>
      </c>
      <c r="AL7" s="32">
        <v>2045</v>
      </c>
      <c r="AM7" s="32">
        <v>2046</v>
      </c>
      <c r="AN7" s="32">
        <v>2047</v>
      </c>
      <c r="AO7" s="32">
        <v>2048</v>
      </c>
      <c r="AP7" s="32">
        <v>2049</v>
      </c>
      <c r="AQ7" s="32">
        <v>2050</v>
      </c>
    </row>
    <row r="8" spans="1:43" ht="14.45" x14ac:dyDescent="0.35">
      <c r="A8" t="s">
        <v>10</v>
      </c>
      <c r="B8" t="s">
        <v>13</v>
      </c>
      <c r="C8" t="s">
        <v>1</v>
      </c>
      <c r="D8">
        <v>0</v>
      </c>
      <c r="E8">
        <v>0</v>
      </c>
      <c r="F8" s="23" t="str">
        <f t="shared" ref="F8:F22" si="0">IF(D8=E8,"n/a",IF(OR(C8="battery electric vehicle",C8="natural gas vehicle",C8="plugin hybrid vehicle"),"s-curve","linear"))</f>
        <v>n/a</v>
      </c>
      <c r="I8" s="19">
        <f t="shared" ref="I8:I27" si="1">D8</f>
        <v>0</v>
      </c>
      <c r="J8">
        <f>IF($F8="s-curve",$D8+($E8-$D8)*$J$2/(1+EXP($J$3*(COUNT($I$7:J$7)+$J$4))),TREND($D8:$E8,$D$7:$E$7,J$7))</f>
        <v>0</v>
      </c>
      <c r="K8">
        <f>IF($F8="s-curve",$D8+($E8-$D8)*$J$2/(1+EXP($J$3*(COUNT($I$7:K$7)+$J$4))),TREND($D8:$E8,$D$7:$E$7,K$7))</f>
        <v>0</v>
      </c>
      <c r="L8">
        <f>IF($F8="s-curve",$D8+($E8-$D8)*$J$2/(1+EXP($J$3*(COUNT($I$7:L$7)+$J$4))),TREND($D8:$E8,$D$7:$E$7,L$7))</f>
        <v>0</v>
      </c>
      <c r="M8">
        <f>IF($F8="s-curve",$D8+($E8-$D8)*$J$2/(1+EXP($J$3*(COUNT($I$7:M$7)+$J$4))),TREND($D8:$E8,$D$7:$E$7,M$7))</f>
        <v>0</v>
      </c>
      <c r="N8">
        <f>IF($F8="s-curve",$D8+($E8-$D8)*$J$2/(1+EXP($J$3*(COUNT($I$7:N$7)+$J$4))),TREND($D8:$E8,$D$7:$E$7,N$7))</f>
        <v>0</v>
      </c>
      <c r="O8">
        <f>IF($F8="s-curve",$D8+($E8-$D8)*$J$2/(1+EXP($J$3*(COUNT($I$7:O$7)+$J$4))),TREND($D8:$E8,$D$7:$E$7,O$7))</f>
        <v>0</v>
      </c>
      <c r="P8">
        <f>IF($F8="s-curve",$D8+($E8-$D8)*$J$2/(1+EXP($J$3*(COUNT($I$7:P$7)+$J$4))),TREND($D8:$E8,$D$7:$E$7,P$7))</f>
        <v>0</v>
      </c>
      <c r="Q8">
        <f>IF($F8="s-curve",$D8+($E8-$D8)*$J$2/(1+EXP($J$3*(COUNT($I$7:Q$7)+$J$4))),TREND($D8:$E8,$D$7:$E$7,Q$7))</f>
        <v>0</v>
      </c>
      <c r="R8">
        <f>IF($F8="s-curve",$D8+($E8-$D8)*$J$2/(1+EXP($J$3*(COUNT($I$7:R$7)+$J$4))),TREND($D8:$E8,$D$7:$E$7,R$7))</f>
        <v>0</v>
      </c>
      <c r="S8">
        <f>IF($F8="s-curve",$D8+($E8-$D8)*$J$2/(1+EXP($J$3*(COUNT($I$7:S$7)+$J$4))),TREND($D8:$E8,$D$7:$E$7,S$7))</f>
        <v>0</v>
      </c>
      <c r="T8">
        <f>IF($F8="s-curve",$D8+($E8-$D8)*$J$2/(1+EXP($J$3*(COUNT($I$7:T$7)+$J$4))),TREND($D8:$E8,$D$7:$E$7,T$7))</f>
        <v>0</v>
      </c>
      <c r="U8">
        <f>IF($F8="s-curve",$D8+($E8-$D8)*$J$2/(1+EXP($J$3*(COUNT($I$7:U$7)+$J$4))),TREND($D8:$E8,$D$7:$E$7,U$7))</f>
        <v>0</v>
      </c>
      <c r="V8">
        <f>IF($F8="s-curve",$D8+($E8-$D8)*$J$2/(1+EXP($J$3*(COUNT($I$7:V$7)+$J$4))),TREND($D8:$E8,$D$7:$E$7,V$7))</f>
        <v>0</v>
      </c>
      <c r="W8">
        <f>IF($F8="s-curve",$D8+($E8-$D8)*$J$2/(1+EXP($J$3*(COUNT($I$7:W$7)+$J$4))),TREND($D8:$E8,$D$7:$E$7,W$7))</f>
        <v>0</v>
      </c>
      <c r="X8">
        <f>IF($F8="s-curve",$D8+($E8-$D8)*$J$2/(1+EXP($J$3*(COUNT($I$7:X$7)+$J$4))),TREND($D8:$E8,$D$7:$E$7,X$7))</f>
        <v>0</v>
      </c>
      <c r="Y8">
        <f>IF($F8="s-curve",$D8+($E8-$D8)*$J$2/(1+EXP($J$3*(COUNT($I$7:Y$7)+$J$4))),TREND($D8:$E8,$D$7:$E$7,Y$7))</f>
        <v>0</v>
      </c>
      <c r="Z8">
        <f>IF($F8="s-curve",$D8+($E8-$D8)*$J$2/(1+EXP($J$3*(COUNT($I$7:Z$7)+$J$4))),TREND($D8:$E8,$D$7:$E$7,Z$7))</f>
        <v>0</v>
      </c>
      <c r="AA8">
        <f>IF($F8="s-curve",$D8+($E8-$D8)*$J$2/(1+EXP($J$3*(COUNT($I$7:AA$7)+$J$4))),TREND($D8:$E8,$D$7:$E$7,AA$7))</f>
        <v>0</v>
      </c>
      <c r="AB8">
        <f>IF($F8="s-curve",$D8+($E8-$D8)*$J$2/(1+EXP($J$3*(COUNT($I$7:AB$7)+$J$4))),TREND($D8:$E8,$D$7:$E$7,AB$7))</f>
        <v>0</v>
      </c>
      <c r="AC8">
        <f>IF($F8="s-curve",$D8+($E8-$D8)*$J$2/(1+EXP($J$3*(COUNT($I$7:AC$7)+$J$4))),TREND($D8:$E8,$D$7:$E$7,AC$7))</f>
        <v>0</v>
      </c>
      <c r="AD8">
        <f>IF($F8="s-curve",$D8+($E8-$D8)*$J$2/(1+EXP($J$3*(COUNT($I$7:AD$7)+$J$4))),TREND($D8:$E8,$D$7:$E$7,AD$7))</f>
        <v>0</v>
      </c>
      <c r="AE8">
        <f>IF($F8="s-curve",$D8+($E8-$D8)*$J$2/(1+EXP($J$3*(COUNT($I$7:AE$7)+$J$4))),TREND($D8:$E8,$D$7:$E$7,AE$7))</f>
        <v>0</v>
      </c>
      <c r="AF8">
        <f>IF($F8="s-curve",$D8+($E8-$D8)*$J$2/(1+EXP($J$3*(COUNT($I$7:AF$7)+$J$4))),TREND($D8:$E8,$D$7:$E$7,AF$7))</f>
        <v>0</v>
      </c>
      <c r="AG8">
        <f>IF($F8="s-curve",$D8+($E8-$D8)*$J$2/(1+EXP($J$3*(COUNT($I$7:AG$7)+$J$4))),TREND($D8:$E8,$D$7:$E$7,AG$7))</f>
        <v>0</v>
      </c>
      <c r="AH8">
        <f>IF($F8="s-curve",$D8+($E8-$D8)*$J$2/(1+EXP($J$3*(COUNT($I$7:AH$7)+$J$4))),TREND($D8:$E8,$D$7:$E$7,AH$7))</f>
        <v>0</v>
      </c>
      <c r="AI8">
        <f>IF($F8="s-curve",$D8+($E8-$D8)*$J$2/(1+EXP($J$3*(COUNT($I$7:AI$7)+$J$4))),TREND($D8:$E8,$D$7:$E$7,AI$7))</f>
        <v>0</v>
      </c>
      <c r="AJ8">
        <f>IF($F8="s-curve",$D8+($E8-$D8)*$J$2/(1+EXP($J$3*(COUNT($I$7:AJ$7)+$J$4))),TREND($D8:$E8,$D$7:$E$7,AJ$7))</f>
        <v>0</v>
      </c>
      <c r="AK8">
        <f>IF($F8="s-curve",$D8+($E8-$D8)*$J$2/(1+EXP($J$3*(COUNT($I$7:AK$7)+$J$4))),TREND($D8:$E8,$D$7:$E$7,AK$7))</f>
        <v>0</v>
      </c>
      <c r="AL8">
        <f>IF($F8="s-curve",$D8+($E8-$D8)*$J$2/(1+EXP($J$3*(COUNT($I$7:AL$7)+$J$4))),TREND($D8:$E8,$D$7:$E$7,AL$7))</f>
        <v>0</v>
      </c>
      <c r="AM8">
        <f>IF($F8="s-curve",$D8+($E8-$D8)*$J$2/(1+EXP($J$3*(COUNT($I$7:AM$7)+$J$4))),TREND($D8:$E8,$D$7:$E$7,AM$7))</f>
        <v>0</v>
      </c>
      <c r="AN8">
        <f>IF($F8="s-curve",$D8+($E8-$D8)*$J$2/(1+EXP($J$3*(COUNT($I$7:AN$7)+$J$4))),TREND($D8:$E8,$D$7:$E$7,AN$7))</f>
        <v>0</v>
      </c>
      <c r="AO8">
        <f>IF($F8="s-curve",$D8+($E8-$D8)*$J$2/(1+EXP($J$3*(COUNT($I$7:AO$7)+$J$4))),TREND($D8:$E8,$D$7:$E$7,AO$7))</f>
        <v>0</v>
      </c>
      <c r="AP8">
        <f>IF($F8="s-curve",$D8+($E8-$D8)*$J$2/(1+EXP($J$3*(COUNT($I$7:AP$7)+$J$4))),TREND($D8:$E8,$D$7:$E$7,AP$7))</f>
        <v>0</v>
      </c>
      <c r="AQ8">
        <f>IF($F8="s-curve",$D8+($E8-$D8)*$J$2/(1+EXP($J$3*(COUNT($I$7:AQ$7)+$J$4))),TREND($D8:$E8,$D$7:$E$7,AQ$7))</f>
        <v>0</v>
      </c>
    </row>
    <row r="9" spans="1:43" ht="14.45" x14ac:dyDescent="0.35">
      <c r="C9" t="s">
        <v>2</v>
      </c>
      <c r="D9">
        <v>0</v>
      </c>
      <c r="E9">
        <v>0</v>
      </c>
      <c r="F9" s="23" t="str">
        <f t="shared" si="0"/>
        <v>n/a</v>
      </c>
      <c r="I9" s="19">
        <f t="shared" si="1"/>
        <v>0</v>
      </c>
      <c r="J9">
        <f>IF($F9="s-curve",$D9+($E9-$D9)*$J$2/(1+EXP($J$3*(COUNT($I$7:J$7)+$J$4))),TREND($D9:$E9,$D$7:$E$7,J$7))</f>
        <v>0</v>
      </c>
      <c r="K9">
        <f>IF($F9="s-curve",$D9+($E9-$D9)*$J$2/(1+EXP($J$3*(COUNT($I$7:K$7)+$J$4))),TREND($D9:$E9,$D$7:$E$7,K$7))</f>
        <v>0</v>
      </c>
      <c r="L9">
        <f>IF($F9="s-curve",$D9+($E9-$D9)*$J$2/(1+EXP($J$3*(COUNT($I$7:L$7)+$J$4))),TREND($D9:$E9,$D$7:$E$7,L$7))</f>
        <v>0</v>
      </c>
      <c r="M9">
        <f>IF($F9="s-curve",$D9+($E9-$D9)*$J$2/(1+EXP($J$3*(COUNT($I$7:M$7)+$J$4))),TREND($D9:$E9,$D$7:$E$7,M$7))</f>
        <v>0</v>
      </c>
      <c r="N9">
        <f>IF($F9="s-curve",$D9+($E9-$D9)*$J$2/(1+EXP($J$3*(COUNT($I$7:N$7)+$J$4))),TREND($D9:$E9,$D$7:$E$7,N$7))</f>
        <v>0</v>
      </c>
      <c r="O9">
        <f>IF($F9="s-curve",$D9+($E9-$D9)*$J$2/(1+EXP($J$3*(COUNT($I$7:O$7)+$J$4))),TREND($D9:$E9,$D$7:$E$7,O$7))</f>
        <v>0</v>
      </c>
      <c r="P9">
        <f>IF($F9="s-curve",$D9+($E9-$D9)*$J$2/(1+EXP($J$3*(COUNT($I$7:P$7)+$J$4))),TREND($D9:$E9,$D$7:$E$7,P$7))</f>
        <v>0</v>
      </c>
      <c r="Q9">
        <f>IF($F9="s-curve",$D9+($E9-$D9)*$J$2/(1+EXP($J$3*(COUNT($I$7:Q$7)+$J$4))),TREND($D9:$E9,$D$7:$E$7,Q$7))</f>
        <v>0</v>
      </c>
      <c r="R9">
        <f>IF($F9="s-curve",$D9+($E9-$D9)*$J$2/(1+EXP($J$3*(COUNT($I$7:R$7)+$J$4))),TREND($D9:$E9,$D$7:$E$7,R$7))</f>
        <v>0</v>
      </c>
      <c r="S9">
        <f>IF($F9="s-curve",$D9+($E9-$D9)*$J$2/(1+EXP($J$3*(COUNT($I$7:S$7)+$J$4))),TREND($D9:$E9,$D$7:$E$7,S$7))</f>
        <v>0</v>
      </c>
      <c r="T9">
        <f>IF($F9="s-curve",$D9+($E9-$D9)*$J$2/(1+EXP($J$3*(COUNT($I$7:T$7)+$J$4))),TREND($D9:$E9,$D$7:$E$7,T$7))</f>
        <v>0</v>
      </c>
      <c r="U9">
        <f>IF($F9="s-curve",$D9+($E9-$D9)*$J$2/(1+EXP($J$3*(COUNT($I$7:U$7)+$J$4))),TREND($D9:$E9,$D$7:$E$7,U$7))</f>
        <v>0</v>
      </c>
      <c r="V9">
        <f>IF($F9="s-curve",$D9+($E9-$D9)*$J$2/(1+EXP($J$3*(COUNT($I$7:V$7)+$J$4))),TREND($D9:$E9,$D$7:$E$7,V$7))</f>
        <v>0</v>
      </c>
      <c r="W9">
        <f>IF($F9="s-curve",$D9+($E9-$D9)*$J$2/(1+EXP($J$3*(COUNT($I$7:W$7)+$J$4))),TREND($D9:$E9,$D$7:$E$7,W$7))</f>
        <v>0</v>
      </c>
      <c r="X9">
        <f>IF($F9="s-curve",$D9+($E9-$D9)*$J$2/(1+EXP($J$3*(COUNT($I$7:X$7)+$J$4))),TREND($D9:$E9,$D$7:$E$7,X$7))</f>
        <v>0</v>
      </c>
      <c r="Y9">
        <f>IF($F9="s-curve",$D9+($E9-$D9)*$J$2/(1+EXP($J$3*(COUNT($I$7:Y$7)+$J$4))),TREND($D9:$E9,$D$7:$E$7,Y$7))</f>
        <v>0</v>
      </c>
      <c r="Z9">
        <f>IF($F9="s-curve",$D9+($E9-$D9)*$J$2/(1+EXP($J$3*(COUNT($I$7:Z$7)+$J$4))),TREND($D9:$E9,$D$7:$E$7,Z$7))</f>
        <v>0</v>
      </c>
      <c r="AA9">
        <f>IF($F9="s-curve",$D9+($E9-$D9)*$J$2/(1+EXP($J$3*(COUNT($I$7:AA$7)+$J$4))),TREND($D9:$E9,$D$7:$E$7,AA$7))</f>
        <v>0</v>
      </c>
      <c r="AB9">
        <f>IF($F9="s-curve",$D9+($E9-$D9)*$J$2/(1+EXP($J$3*(COUNT($I$7:AB$7)+$J$4))),TREND($D9:$E9,$D$7:$E$7,AB$7))</f>
        <v>0</v>
      </c>
      <c r="AC9">
        <f>IF($F9="s-curve",$D9+($E9-$D9)*$J$2/(1+EXP($J$3*(COUNT($I$7:AC$7)+$J$4))),TREND($D9:$E9,$D$7:$E$7,AC$7))</f>
        <v>0</v>
      </c>
      <c r="AD9">
        <f>IF($F9="s-curve",$D9+($E9-$D9)*$J$2/(1+EXP($J$3*(COUNT($I$7:AD$7)+$J$4))),TREND($D9:$E9,$D$7:$E$7,AD$7))</f>
        <v>0</v>
      </c>
      <c r="AE9">
        <f>IF($F9="s-curve",$D9+($E9-$D9)*$J$2/(1+EXP($J$3*(COUNT($I$7:AE$7)+$J$4))),TREND($D9:$E9,$D$7:$E$7,AE$7))</f>
        <v>0</v>
      </c>
      <c r="AF9">
        <f>IF($F9="s-curve",$D9+($E9-$D9)*$J$2/(1+EXP($J$3*(COUNT($I$7:AF$7)+$J$4))),TREND($D9:$E9,$D$7:$E$7,AF$7))</f>
        <v>0</v>
      </c>
      <c r="AG9">
        <f>IF($F9="s-curve",$D9+($E9-$D9)*$J$2/(1+EXP($J$3*(COUNT($I$7:AG$7)+$J$4))),TREND($D9:$E9,$D$7:$E$7,AG$7))</f>
        <v>0</v>
      </c>
      <c r="AH9">
        <f>IF($F9="s-curve",$D9+($E9-$D9)*$J$2/(1+EXP($J$3*(COUNT($I$7:AH$7)+$J$4))),TREND($D9:$E9,$D$7:$E$7,AH$7))</f>
        <v>0</v>
      </c>
      <c r="AI9">
        <f>IF($F9="s-curve",$D9+($E9-$D9)*$J$2/(1+EXP($J$3*(COUNT($I$7:AI$7)+$J$4))),TREND($D9:$E9,$D$7:$E$7,AI$7))</f>
        <v>0</v>
      </c>
      <c r="AJ9">
        <f>IF($F9="s-curve",$D9+($E9-$D9)*$J$2/(1+EXP($J$3*(COUNT($I$7:AJ$7)+$J$4))),TREND($D9:$E9,$D$7:$E$7,AJ$7))</f>
        <v>0</v>
      </c>
      <c r="AK9">
        <f>IF($F9="s-curve",$D9+($E9-$D9)*$J$2/(1+EXP($J$3*(COUNT($I$7:AK$7)+$J$4))),TREND($D9:$E9,$D$7:$E$7,AK$7))</f>
        <v>0</v>
      </c>
      <c r="AL9">
        <f>IF($F9="s-curve",$D9+($E9-$D9)*$J$2/(1+EXP($J$3*(COUNT($I$7:AL$7)+$J$4))),TREND($D9:$E9,$D$7:$E$7,AL$7))</f>
        <v>0</v>
      </c>
      <c r="AM9">
        <f>IF($F9="s-curve",$D9+($E9-$D9)*$J$2/(1+EXP($J$3*(COUNT($I$7:AM$7)+$J$4))),TREND($D9:$E9,$D$7:$E$7,AM$7))</f>
        <v>0</v>
      </c>
      <c r="AN9">
        <f>IF($F9="s-curve",$D9+($E9-$D9)*$J$2/(1+EXP($J$3*(COUNT($I$7:AN$7)+$J$4))),TREND($D9:$E9,$D$7:$E$7,AN$7))</f>
        <v>0</v>
      </c>
      <c r="AO9">
        <f>IF($F9="s-curve",$D9+($E9-$D9)*$J$2/(1+EXP($J$3*(COUNT($I$7:AO$7)+$J$4))),TREND($D9:$E9,$D$7:$E$7,AO$7))</f>
        <v>0</v>
      </c>
      <c r="AP9">
        <f>IF($F9="s-curve",$D9+($E9-$D9)*$J$2/(1+EXP($J$3*(COUNT($I$7:AP$7)+$J$4))),TREND($D9:$E9,$D$7:$E$7,AP$7))</f>
        <v>0</v>
      </c>
      <c r="AQ9">
        <f>IF($F9="s-curve",$D9+($E9-$D9)*$J$2/(1+EXP($J$3*(COUNT($I$7:AQ$7)+$J$4))),TREND($D9:$E9,$D$7:$E$7,AQ$7))</f>
        <v>0</v>
      </c>
    </row>
    <row r="10" spans="1:43" ht="14.45" x14ac:dyDescent="0.35">
      <c r="C10" t="s">
        <v>3</v>
      </c>
      <c r="D10">
        <v>0</v>
      </c>
      <c r="E10">
        <v>0</v>
      </c>
      <c r="F10" s="23" t="str">
        <f t="shared" si="0"/>
        <v>n/a</v>
      </c>
      <c r="I10" s="19">
        <f t="shared" si="1"/>
        <v>0</v>
      </c>
      <c r="J10">
        <f>IF($F10="s-curve",$D10+($E10-$D10)*$J$2/(1+EXP($J$3*(COUNT($I$7:J$7)+$J$4))),TREND($D10:$E10,$D$7:$E$7,J$7))</f>
        <v>0</v>
      </c>
      <c r="K10">
        <f>IF($F10="s-curve",$D10+($E10-$D10)*$J$2/(1+EXP($J$3*(COUNT($I$7:K$7)+$J$4))),TREND($D10:$E10,$D$7:$E$7,K$7))</f>
        <v>0</v>
      </c>
      <c r="L10">
        <f>IF($F10="s-curve",$D10+($E10-$D10)*$J$2/(1+EXP($J$3*(COUNT($I$7:L$7)+$J$4))),TREND($D10:$E10,$D$7:$E$7,L$7))</f>
        <v>0</v>
      </c>
      <c r="M10">
        <f>IF($F10="s-curve",$D10+($E10-$D10)*$J$2/(1+EXP($J$3*(COUNT($I$7:M$7)+$J$4))),TREND($D10:$E10,$D$7:$E$7,M$7))</f>
        <v>0</v>
      </c>
      <c r="N10">
        <f>IF($F10="s-curve",$D10+($E10-$D10)*$J$2/(1+EXP($J$3*(COUNT($I$7:N$7)+$J$4))),TREND($D10:$E10,$D$7:$E$7,N$7))</f>
        <v>0</v>
      </c>
      <c r="O10">
        <f>IF($F10="s-curve",$D10+($E10-$D10)*$J$2/(1+EXP($J$3*(COUNT($I$7:O$7)+$J$4))),TREND($D10:$E10,$D$7:$E$7,O$7))</f>
        <v>0</v>
      </c>
      <c r="P10">
        <f>IF($F10="s-curve",$D10+($E10-$D10)*$J$2/(1+EXP($J$3*(COUNT($I$7:P$7)+$J$4))),TREND($D10:$E10,$D$7:$E$7,P$7))</f>
        <v>0</v>
      </c>
      <c r="Q10">
        <f>IF($F10="s-curve",$D10+($E10-$D10)*$J$2/(1+EXP($J$3*(COUNT($I$7:Q$7)+$J$4))),TREND($D10:$E10,$D$7:$E$7,Q$7))</f>
        <v>0</v>
      </c>
      <c r="R10">
        <f>IF($F10="s-curve",$D10+($E10-$D10)*$J$2/(1+EXP($J$3*(COUNT($I$7:R$7)+$J$4))),TREND($D10:$E10,$D$7:$E$7,R$7))</f>
        <v>0</v>
      </c>
      <c r="S10">
        <f>IF($F10="s-curve",$D10+($E10-$D10)*$J$2/(1+EXP($J$3*(COUNT($I$7:S$7)+$J$4))),TREND($D10:$E10,$D$7:$E$7,S$7))</f>
        <v>0</v>
      </c>
      <c r="T10">
        <f>IF($F10="s-curve",$D10+($E10-$D10)*$J$2/(1+EXP($J$3*(COUNT($I$7:T$7)+$J$4))),TREND($D10:$E10,$D$7:$E$7,T$7))</f>
        <v>0</v>
      </c>
      <c r="U10">
        <f>IF($F10="s-curve",$D10+($E10-$D10)*$J$2/(1+EXP($J$3*(COUNT($I$7:U$7)+$J$4))),TREND($D10:$E10,$D$7:$E$7,U$7))</f>
        <v>0</v>
      </c>
      <c r="V10">
        <f>IF($F10="s-curve",$D10+($E10-$D10)*$J$2/(1+EXP($J$3*(COUNT($I$7:V$7)+$J$4))),TREND($D10:$E10,$D$7:$E$7,V$7))</f>
        <v>0</v>
      </c>
      <c r="W10">
        <f>IF($F10="s-curve",$D10+($E10-$D10)*$J$2/(1+EXP($J$3*(COUNT($I$7:W$7)+$J$4))),TREND($D10:$E10,$D$7:$E$7,W$7))</f>
        <v>0</v>
      </c>
      <c r="X10">
        <f>IF($F10="s-curve",$D10+($E10-$D10)*$J$2/(1+EXP($J$3*(COUNT($I$7:X$7)+$J$4))),TREND($D10:$E10,$D$7:$E$7,X$7))</f>
        <v>0</v>
      </c>
      <c r="Y10">
        <f>IF($F10="s-curve",$D10+($E10-$D10)*$J$2/(1+EXP($J$3*(COUNT($I$7:Y$7)+$J$4))),TREND($D10:$E10,$D$7:$E$7,Y$7))</f>
        <v>0</v>
      </c>
      <c r="Z10">
        <f>IF($F10="s-curve",$D10+($E10-$D10)*$J$2/(1+EXP($J$3*(COUNT($I$7:Z$7)+$J$4))),TREND($D10:$E10,$D$7:$E$7,Z$7))</f>
        <v>0</v>
      </c>
      <c r="AA10">
        <f>IF($F10="s-curve",$D10+($E10-$D10)*$J$2/(1+EXP($J$3*(COUNT($I$7:AA$7)+$J$4))),TREND($D10:$E10,$D$7:$E$7,AA$7))</f>
        <v>0</v>
      </c>
      <c r="AB10">
        <f>IF($F10="s-curve",$D10+($E10-$D10)*$J$2/(1+EXP($J$3*(COUNT($I$7:AB$7)+$J$4))),TREND($D10:$E10,$D$7:$E$7,AB$7))</f>
        <v>0</v>
      </c>
      <c r="AC10">
        <f>IF($F10="s-curve",$D10+($E10-$D10)*$J$2/(1+EXP($J$3*(COUNT($I$7:AC$7)+$J$4))),TREND($D10:$E10,$D$7:$E$7,AC$7))</f>
        <v>0</v>
      </c>
      <c r="AD10">
        <f>IF($F10="s-curve",$D10+($E10-$D10)*$J$2/(1+EXP($J$3*(COUNT($I$7:AD$7)+$J$4))),TREND($D10:$E10,$D$7:$E$7,AD$7))</f>
        <v>0</v>
      </c>
      <c r="AE10">
        <f>IF($F10="s-curve",$D10+($E10-$D10)*$J$2/(1+EXP($J$3*(COUNT($I$7:AE$7)+$J$4))),TREND($D10:$E10,$D$7:$E$7,AE$7))</f>
        <v>0</v>
      </c>
      <c r="AF10">
        <f>IF($F10="s-curve",$D10+($E10-$D10)*$J$2/(1+EXP($J$3*(COUNT($I$7:AF$7)+$J$4))),TREND($D10:$E10,$D$7:$E$7,AF$7))</f>
        <v>0</v>
      </c>
      <c r="AG10">
        <f>IF($F10="s-curve",$D10+($E10-$D10)*$J$2/(1+EXP($J$3*(COUNT($I$7:AG$7)+$J$4))),TREND($D10:$E10,$D$7:$E$7,AG$7))</f>
        <v>0</v>
      </c>
      <c r="AH10">
        <f>IF($F10="s-curve",$D10+($E10-$D10)*$J$2/(1+EXP($J$3*(COUNT($I$7:AH$7)+$J$4))),TREND($D10:$E10,$D$7:$E$7,AH$7))</f>
        <v>0</v>
      </c>
      <c r="AI10">
        <f>IF($F10="s-curve",$D10+($E10-$D10)*$J$2/(1+EXP($J$3*(COUNT($I$7:AI$7)+$J$4))),TREND($D10:$E10,$D$7:$E$7,AI$7))</f>
        <v>0</v>
      </c>
      <c r="AJ10">
        <f>IF($F10="s-curve",$D10+($E10-$D10)*$J$2/(1+EXP($J$3*(COUNT($I$7:AJ$7)+$J$4))),TREND($D10:$E10,$D$7:$E$7,AJ$7))</f>
        <v>0</v>
      </c>
      <c r="AK10">
        <f>IF($F10="s-curve",$D10+($E10-$D10)*$J$2/(1+EXP($J$3*(COUNT($I$7:AK$7)+$J$4))),TREND($D10:$E10,$D$7:$E$7,AK$7))</f>
        <v>0</v>
      </c>
      <c r="AL10">
        <f>IF($F10="s-curve",$D10+($E10-$D10)*$J$2/(1+EXP($J$3*(COUNT($I$7:AL$7)+$J$4))),TREND($D10:$E10,$D$7:$E$7,AL$7))</f>
        <v>0</v>
      </c>
      <c r="AM10">
        <f>IF($F10="s-curve",$D10+($E10-$D10)*$J$2/(1+EXP($J$3*(COUNT($I$7:AM$7)+$J$4))),TREND($D10:$E10,$D$7:$E$7,AM$7))</f>
        <v>0</v>
      </c>
      <c r="AN10">
        <f>IF($F10="s-curve",$D10+($E10-$D10)*$J$2/(1+EXP($J$3*(COUNT($I$7:AN$7)+$J$4))),TREND($D10:$E10,$D$7:$E$7,AN$7))</f>
        <v>0</v>
      </c>
      <c r="AO10">
        <f>IF($F10="s-curve",$D10+($E10-$D10)*$J$2/(1+EXP($J$3*(COUNT($I$7:AO$7)+$J$4))),TREND($D10:$E10,$D$7:$E$7,AO$7))</f>
        <v>0</v>
      </c>
      <c r="AP10">
        <f>IF($F10="s-curve",$D10+($E10-$D10)*$J$2/(1+EXP($J$3*(COUNT($I$7:AP$7)+$J$4))),TREND($D10:$E10,$D$7:$E$7,AP$7))</f>
        <v>0</v>
      </c>
      <c r="AQ10">
        <f>IF($F10="s-curve",$D10+($E10-$D10)*$J$2/(1+EXP($J$3*(COUNT($I$7:AQ$7)+$J$4))),TREND($D10:$E10,$D$7:$E$7,AQ$7))</f>
        <v>0</v>
      </c>
    </row>
    <row r="11" spans="1:43" ht="14.45" x14ac:dyDescent="0.35">
      <c r="C11" t="s">
        <v>4</v>
      </c>
      <c r="D11">
        <v>0</v>
      </c>
      <c r="E11">
        <v>0</v>
      </c>
      <c r="F11" s="23" t="str">
        <f t="shared" si="0"/>
        <v>n/a</v>
      </c>
      <c r="I11" s="19">
        <f t="shared" si="1"/>
        <v>0</v>
      </c>
      <c r="J11">
        <f>IF($F11="s-curve",$D11+($E11-$D11)*$J$2/(1+EXP($J$3*(COUNT($I$7:J$7)+$J$4))),TREND($D11:$E11,$D$7:$E$7,J$7))</f>
        <v>0</v>
      </c>
      <c r="K11">
        <f>IF($F11="s-curve",$D11+($E11-$D11)*$J$2/(1+EXP($J$3*(COUNT($I$7:K$7)+$J$4))),TREND($D11:$E11,$D$7:$E$7,K$7))</f>
        <v>0</v>
      </c>
      <c r="L11">
        <f>IF($F11="s-curve",$D11+($E11-$D11)*$J$2/(1+EXP($J$3*(COUNT($I$7:L$7)+$J$4))),TREND($D11:$E11,$D$7:$E$7,L$7))</f>
        <v>0</v>
      </c>
      <c r="M11">
        <f>IF($F11="s-curve",$D11+($E11-$D11)*$J$2/(1+EXP($J$3*(COUNT($I$7:M$7)+$J$4))),TREND($D11:$E11,$D$7:$E$7,M$7))</f>
        <v>0</v>
      </c>
      <c r="N11">
        <f>IF($F11="s-curve",$D11+($E11-$D11)*$J$2/(1+EXP($J$3*(COUNT($I$7:N$7)+$J$4))),TREND($D11:$E11,$D$7:$E$7,N$7))</f>
        <v>0</v>
      </c>
      <c r="O11">
        <f>IF($F11="s-curve",$D11+($E11-$D11)*$J$2/(1+EXP($J$3*(COUNT($I$7:O$7)+$J$4))),TREND($D11:$E11,$D$7:$E$7,O$7))</f>
        <v>0</v>
      </c>
      <c r="P11">
        <f>IF($F11="s-curve",$D11+($E11-$D11)*$J$2/(1+EXP($J$3*(COUNT($I$7:P$7)+$J$4))),TREND($D11:$E11,$D$7:$E$7,P$7))</f>
        <v>0</v>
      </c>
      <c r="Q11">
        <f>IF($F11="s-curve",$D11+($E11-$D11)*$J$2/(1+EXP($J$3*(COUNT($I$7:Q$7)+$J$4))),TREND($D11:$E11,$D$7:$E$7,Q$7))</f>
        <v>0</v>
      </c>
      <c r="R11">
        <f>IF($F11="s-curve",$D11+($E11-$D11)*$J$2/(1+EXP($J$3*(COUNT($I$7:R$7)+$J$4))),TREND($D11:$E11,$D$7:$E$7,R$7))</f>
        <v>0</v>
      </c>
      <c r="S11">
        <f>IF($F11="s-curve",$D11+($E11-$D11)*$J$2/(1+EXP($J$3*(COUNT($I$7:S$7)+$J$4))),TREND($D11:$E11,$D$7:$E$7,S$7))</f>
        <v>0</v>
      </c>
      <c r="T11">
        <f>IF($F11="s-curve",$D11+($E11-$D11)*$J$2/(1+EXP($J$3*(COUNT($I$7:T$7)+$J$4))),TREND($D11:$E11,$D$7:$E$7,T$7))</f>
        <v>0</v>
      </c>
      <c r="U11">
        <f>IF($F11="s-curve",$D11+($E11-$D11)*$J$2/(1+EXP($J$3*(COUNT($I$7:U$7)+$J$4))),TREND($D11:$E11,$D$7:$E$7,U$7))</f>
        <v>0</v>
      </c>
      <c r="V11">
        <f>IF($F11="s-curve",$D11+($E11-$D11)*$J$2/(1+EXP($J$3*(COUNT($I$7:V$7)+$J$4))),TREND($D11:$E11,$D$7:$E$7,V$7))</f>
        <v>0</v>
      </c>
      <c r="W11">
        <f>IF($F11="s-curve",$D11+($E11-$D11)*$J$2/(1+EXP($J$3*(COUNT($I$7:W$7)+$J$4))),TREND($D11:$E11,$D$7:$E$7,W$7))</f>
        <v>0</v>
      </c>
      <c r="X11">
        <f>IF($F11="s-curve",$D11+($E11-$D11)*$J$2/(1+EXP($J$3*(COUNT($I$7:X$7)+$J$4))),TREND($D11:$E11,$D$7:$E$7,X$7))</f>
        <v>0</v>
      </c>
      <c r="Y11">
        <f>IF($F11="s-curve",$D11+($E11-$D11)*$J$2/(1+EXP($J$3*(COUNT($I$7:Y$7)+$J$4))),TREND($D11:$E11,$D$7:$E$7,Y$7))</f>
        <v>0</v>
      </c>
      <c r="Z11">
        <f>IF($F11="s-curve",$D11+($E11-$D11)*$J$2/(1+EXP($J$3*(COUNT($I$7:Z$7)+$J$4))),TREND($D11:$E11,$D$7:$E$7,Z$7))</f>
        <v>0</v>
      </c>
      <c r="AA11">
        <f>IF($F11="s-curve",$D11+($E11-$D11)*$J$2/(1+EXP($J$3*(COUNT($I$7:AA$7)+$J$4))),TREND($D11:$E11,$D$7:$E$7,AA$7))</f>
        <v>0</v>
      </c>
      <c r="AB11">
        <f>IF($F11="s-curve",$D11+($E11-$D11)*$J$2/(1+EXP($J$3*(COUNT($I$7:AB$7)+$J$4))),TREND($D11:$E11,$D$7:$E$7,AB$7))</f>
        <v>0</v>
      </c>
      <c r="AC11">
        <f>IF($F11="s-curve",$D11+($E11-$D11)*$J$2/(1+EXP($J$3*(COUNT($I$7:AC$7)+$J$4))),TREND($D11:$E11,$D$7:$E$7,AC$7))</f>
        <v>0</v>
      </c>
      <c r="AD11">
        <f>IF($F11="s-curve",$D11+($E11-$D11)*$J$2/(1+EXP($J$3*(COUNT($I$7:AD$7)+$J$4))),TREND($D11:$E11,$D$7:$E$7,AD$7))</f>
        <v>0</v>
      </c>
      <c r="AE11">
        <f>IF($F11="s-curve",$D11+($E11-$D11)*$J$2/(1+EXP($J$3*(COUNT($I$7:AE$7)+$J$4))),TREND($D11:$E11,$D$7:$E$7,AE$7))</f>
        <v>0</v>
      </c>
      <c r="AF11">
        <f>IF($F11="s-curve",$D11+($E11-$D11)*$J$2/(1+EXP($J$3*(COUNT($I$7:AF$7)+$J$4))),TREND($D11:$E11,$D$7:$E$7,AF$7))</f>
        <v>0</v>
      </c>
      <c r="AG11">
        <f>IF($F11="s-curve",$D11+($E11-$D11)*$J$2/(1+EXP($J$3*(COUNT($I$7:AG$7)+$J$4))),TREND($D11:$E11,$D$7:$E$7,AG$7))</f>
        <v>0</v>
      </c>
      <c r="AH11">
        <f>IF($F11="s-curve",$D11+($E11-$D11)*$J$2/(1+EXP($J$3*(COUNT($I$7:AH$7)+$J$4))),TREND($D11:$E11,$D$7:$E$7,AH$7))</f>
        <v>0</v>
      </c>
      <c r="AI11">
        <f>IF($F11="s-curve",$D11+($E11-$D11)*$J$2/(1+EXP($J$3*(COUNT($I$7:AI$7)+$J$4))),TREND($D11:$E11,$D$7:$E$7,AI$7))</f>
        <v>0</v>
      </c>
      <c r="AJ11">
        <f>IF($F11="s-curve",$D11+($E11-$D11)*$J$2/(1+EXP($J$3*(COUNT($I$7:AJ$7)+$J$4))),TREND($D11:$E11,$D$7:$E$7,AJ$7))</f>
        <v>0</v>
      </c>
      <c r="AK11">
        <f>IF($F11="s-curve",$D11+($E11-$D11)*$J$2/(1+EXP($J$3*(COUNT($I$7:AK$7)+$J$4))),TREND($D11:$E11,$D$7:$E$7,AK$7))</f>
        <v>0</v>
      </c>
      <c r="AL11">
        <f>IF($F11="s-curve",$D11+($E11-$D11)*$J$2/(1+EXP($J$3*(COUNT($I$7:AL$7)+$J$4))),TREND($D11:$E11,$D$7:$E$7,AL$7))</f>
        <v>0</v>
      </c>
      <c r="AM11">
        <f>IF($F11="s-curve",$D11+($E11-$D11)*$J$2/(1+EXP($J$3*(COUNT($I$7:AM$7)+$J$4))),TREND($D11:$E11,$D$7:$E$7,AM$7))</f>
        <v>0</v>
      </c>
      <c r="AN11">
        <f>IF($F11="s-curve",$D11+($E11-$D11)*$J$2/(1+EXP($J$3*(COUNT($I$7:AN$7)+$J$4))),TREND($D11:$E11,$D$7:$E$7,AN$7))</f>
        <v>0</v>
      </c>
      <c r="AO11">
        <f>IF($F11="s-curve",$D11+($E11-$D11)*$J$2/(1+EXP($J$3*(COUNT($I$7:AO$7)+$J$4))),TREND($D11:$E11,$D$7:$E$7,AO$7))</f>
        <v>0</v>
      </c>
      <c r="AP11">
        <f>IF($F11="s-curve",$D11+($E11-$D11)*$J$2/(1+EXP($J$3*(COUNT($I$7:AP$7)+$J$4))),TREND($D11:$E11,$D$7:$E$7,AP$7))</f>
        <v>0</v>
      </c>
      <c r="AQ11">
        <f>IF($F11="s-curve",$D11+($E11-$D11)*$J$2/(1+EXP($J$3*(COUNT($I$7:AQ$7)+$J$4))),TREND($D11:$E11,$D$7:$E$7,AQ$7))</f>
        <v>0</v>
      </c>
    </row>
    <row r="12" spans="1:43" ht="14.45" x14ac:dyDescent="0.35">
      <c r="C12" t="s">
        <v>5</v>
      </c>
      <c r="D12">
        <v>0</v>
      </c>
      <c r="E12">
        <v>0</v>
      </c>
      <c r="F12" s="23" t="str">
        <f t="shared" si="0"/>
        <v>n/a</v>
      </c>
      <c r="I12" s="19">
        <f t="shared" si="1"/>
        <v>0</v>
      </c>
      <c r="J12">
        <f>IF($F12="s-curve",$D12+($E12-$D12)*$J$2/(1+EXP($J$3*(COUNT($I$7:J$7)+$J$4))),TREND($D12:$E12,$D$7:$E$7,J$7))</f>
        <v>0</v>
      </c>
      <c r="K12">
        <f>IF($F12="s-curve",$D12+($E12-$D12)*$J$2/(1+EXP($J$3*(COUNT($I$7:K$7)+$J$4))),TREND($D12:$E12,$D$7:$E$7,K$7))</f>
        <v>0</v>
      </c>
      <c r="L12">
        <f>IF($F12="s-curve",$D12+($E12-$D12)*$J$2/(1+EXP($J$3*(COUNT($I$7:L$7)+$J$4))),TREND($D12:$E12,$D$7:$E$7,L$7))</f>
        <v>0</v>
      </c>
      <c r="M12">
        <f>IF($F12="s-curve",$D12+($E12-$D12)*$J$2/(1+EXP($J$3*(COUNT($I$7:M$7)+$J$4))),TREND($D12:$E12,$D$7:$E$7,M$7))</f>
        <v>0</v>
      </c>
      <c r="N12">
        <f>IF($F12="s-curve",$D12+($E12-$D12)*$J$2/(1+EXP($J$3*(COUNT($I$7:N$7)+$J$4))),TREND($D12:$E12,$D$7:$E$7,N$7))</f>
        <v>0</v>
      </c>
      <c r="O12">
        <f>IF($F12="s-curve",$D12+($E12-$D12)*$J$2/(1+EXP($J$3*(COUNT($I$7:O$7)+$J$4))),TREND($D12:$E12,$D$7:$E$7,O$7))</f>
        <v>0</v>
      </c>
      <c r="P12">
        <f>IF($F12="s-curve",$D12+($E12-$D12)*$J$2/(1+EXP($J$3*(COUNT($I$7:P$7)+$J$4))),TREND($D12:$E12,$D$7:$E$7,P$7))</f>
        <v>0</v>
      </c>
      <c r="Q12">
        <f>IF($F12="s-curve",$D12+($E12-$D12)*$J$2/(1+EXP($J$3*(COUNT($I$7:Q$7)+$J$4))),TREND($D12:$E12,$D$7:$E$7,Q$7))</f>
        <v>0</v>
      </c>
      <c r="R12">
        <f>IF($F12="s-curve",$D12+($E12-$D12)*$J$2/(1+EXP($J$3*(COUNT($I$7:R$7)+$J$4))),TREND($D12:$E12,$D$7:$E$7,R$7))</f>
        <v>0</v>
      </c>
      <c r="S12">
        <f>IF($F12="s-curve",$D12+($E12-$D12)*$J$2/(1+EXP($J$3*(COUNT($I$7:S$7)+$J$4))),TREND($D12:$E12,$D$7:$E$7,S$7))</f>
        <v>0</v>
      </c>
      <c r="T12">
        <f>IF($F12="s-curve",$D12+($E12-$D12)*$J$2/(1+EXP($J$3*(COUNT($I$7:T$7)+$J$4))),TREND($D12:$E12,$D$7:$E$7,T$7))</f>
        <v>0</v>
      </c>
      <c r="U12">
        <f>IF($F12="s-curve",$D12+($E12-$D12)*$J$2/(1+EXP($J$3*(COUNT($I$7:U$7)+$J$4))),TREND($D12:$E12,$D$7:$E$7,U$7))</f>
        <v>0</v>
      </c>
      <c r="V12">
        <f>IF($F12="s-curve",$D12+($E12-$D12)*$J$2/(1+EXP($J$3*(COUNT($I$7:V$7)+$J$4))),TREND($D12:$E12,$D$7:$E$7,V$7))</f>
        <v>0</v>
      </c>
      <c r="W12">
        <f>IF($F12="s-curve",$D12+($E12-$D12)*$J$2/(1+EXP($J$3*(COUNT($I$7:W$7)+$J$4))),TREND($D12:$E12,$D$7:$E$7,W$7))</f>
        <v>0</v>
      </c>
      <c r="X12">
        <f>IF($F12="s-curve",$D12+($E12-$D12)*$J$2/(1+EXP($J$3*(COUNT($I$7:X$7)+$J$4))),TREND($D12:$E12,$D$7:$E$7,X$7))</f>
        <v>0</v>
      </c>
      <c r="Y12">
        <f>IF($F12="s-curve",$D12+($E12-$D12)*$J$2/(1+EXP($J$3*(COUNT($I$7:Y$7)+$J$4))),TREND($D12:$E12,$D$7:$E$7,Y$7))</f>
        <v>0</v>
      </c>
      <c r="Z12">
        <f>IF($F12="s-curve",$D12+($E12-$D12)*$J$2/(1+EXP($J$3*(COUNT($I$7:Z$7)+$J$4))),TREND($D12:$E12,$D$7:$E$7,Z$7))</f>
        <v>0</v>
      </c>
      <c r="AA12">
        <f>IF($F12="s-curve",$D12+($E12-$D12)*$J$2/(1+EXP($J$3*(COUNT($I$7:AA$7)+$J$4))),TREND($D12:$E12,$D$7:$E$7,AA$7))</f>
        <v>0</v>
      </c>
      <c r="AB12">
        <f>IF($F12="s-curve",$D12+($E12-$D12)*$J$2/(1+EXP($J$3*(COUNT($I$7:AB$7)+$J$4))),TREND($D12:$E12,$D$7:$E$7,AB$7))</f>
        <v>0</v>
      </c>
      <c r="AC12">
        <f>IF($F12="s-curve",$D12+($E12-$D12)*$J$2/(1+EXP($J$3*(COUNT($I$7:AC$7)+$J$4))),TREND($D12:$E12,$D$7:$E$7,AC$7))</f>
        <v>0</v>
      </c>
      <c r="AD12">
        <f>IF($F12="s-curve",$D12+($E12-$D12)*$J$2/(1+EXP($J$3*(COUNT($I$7:AD$7)+$J$4))),TREND($D12:$E12,$D$7:$E$7,AD$7))</f>
        <v>0</v>
      </c>
      <c r="AE12">
        <f>IF($F12="s-curve",$D12+($E12-$D12)*$J$2/(1+EXP($J$3*(COUNT($I$7:AE$7)+$J$4))),TREND($D12:$E12,$D$7:$E$7,AE$7))</f>
        <v>0</v>
      </c>
      <c r="AF12">
        <f>IF($F12="s-curve",$D12+($E12-$D12)*$J$2/(1+EXP($J$3*(COUNT($I$7:AF$7)+$J$4))),TREND($D12:$E12,$D$7:$E$7,AF$7))</f>
        <v>0</v>
      </c>
      <c r="AG12">
        <f>IF($F12="s-curve",$D12+($E12-$D12)*$J$2/(1+EXP($J$3*(COUNT($I$7:AG$7)+$J$4))),TREND($D12:$E12,$D$7:$E$7,AG$7))</f>
        <v>0</v>
      </c>
      <c r="AH12">
        <f>IF($F12="s-curve",$D12+($E12-$D12)*$J$2/(1+EXP($J$3*(COUNT($I$7:AH$7)+$J$4))),TREND($D12:$E12,$D$7:$E$7,AH$7))</f>
        <v>0</v>
      </c>
      <c r="AI12">
        <f>IF($F12="s-curve",$D12+($E12-$D12)*$J$2/(1+EXP($J$3*(COUNT($I$7:AI$7)+$J$4))),TREND($D12:$E12,$D$7:$E$7,AI$7))</f>
        <v>0</v>
      </c>
      <c r="AJ12">
        <f>IF($F12="s-curve",$D12+($E12-$D12)*$J$2/(1+EXP($J$3*(COUNT($I$7:AJ$7)+$J$4))),TREND($D12:$E12,$D$7:$E$7,AJ$7))</f>
        <v>0</v>
      </c>
      <c r="AK12">
        <f>IF($F12="s-curve",$D12+($E12-$D12)*$J$2/(1+EXP($J$3*(COUNT($I$7:AK$7)+$J$4))),TREND($D12:$E12,$D$7:$E$7,AK$7))</f>
        <v>0</v>
      </c>
      <c r="AL12">
        <f>IF($F12="s-curve",$D12+($E12-$D12)*$J$2/(1+EXP($J$3*(COUNT($I$7:AL$7)+$J$4))),TREND($D12:$E12,$D$7:$E$7,AL$7))</f>
        <v>0</v>
      </c>
      <c r="AM12">
        <f>IF($F12="s-curve",$D12+($E12-$D12)*$J$2/(1+EXP($J$3*(COUNT($I$7:AM$7)+$J$4))),TREND($D12:$E12,$D$7:$E$7,AM$7))</f>
        <v>0</v>
      </c>
      <c r="AN12">
        <f>IF($F12="s-curve",$D12+($E12-$D12)*$J$2/(1+EXP($J$3*(COUNT($I$7:AN$7)+$J$4))),TREND($D12:$E12,$D$7:$E$7,AN$7))</f>
        <v>0</v>
      </c>
      <c r="AO12">
        <f>IF($F12="s-curve",$D12+($E12-$D12)*$J$2/(1+EXP($J$3*(COUNT($I$7:AO$7)+$J$4))),TREND($D12:$E12,$D$7:$E$7,AO$7))</f>
        <v>0</v>
      </c>
      <c r="AP12">
        <f>IF($F12="s-curve",$D12+($E12-$D12)*$J$2/(1+EXP($J$3*(COUNT($I$7:AP$7)+$J$4))),TREND($D12:$E12,$D$7:$E$7,AP$7))</f>
        <v>0</v>
      </c>
      <c r="AQ12">
        <f>IF($F12="s-curve",$D12+($E12-$D12)*$J$2/(1+EXP($J$3*(COUNT($I$7:AQ$7)+$J$4))),TREND($D12:$E12,$D$7:$E$7,AQ$7))</f>
        <v>0</v>
      </c>
    </row>
    <row r="13" spans="1:43" thickBot="1" x14ac:dyDescent="0.4">
      <c r="A13" s="21"/>
      <c r="B13" s="13"/>
      <c r="C13" s="13" t="s">
        <v>6</v>
      </c>
      <c r="D13" s="13">
        <v>1</v>
      </c>
      <c r="E13" s="13">
        <v>1</v>
      </c>
      <c r="F13" s="24" t="str">
        <f t="shared" si="0"/>
        <v>n/a</v>
      </c>
      <c r="G13" s="45"/>
      <c r="I13" s="19">
        <f t="shared" si="1"/>
        <v>1</v>
      </c>
      <c r="J13">
        <f>IF($F13="s-curve",$D13+($E13-$D13)*$J$2/(1+EXP($J$3*(COUNT($I$7:J$7)+$J$4))),TREND($D13:$E13,$D$7:$E$7,J$7))</f>
        <v>1</v>
      </c>
      <c r="K13">
        <f>IF($F13="s-curve",$D13+($E13-$D13)*$J$2/(1+EXP($J$3*(COUNT($I$7:K$7)+$J$4))),TREND($D13:$E13,$D$7:$E$7,K$7))</f>
        <v>1</v>
      </c>
      <c r="L13">
        <f>IF($F13="s-curve",$D13+($E13-$D13)*$J$2/(1+EXP($J$3*(COUNT($I$7:L$7)+$J$4))),TREND($D13:$E13,$D$7:$E$7,L$7))</f>
        <v>1</v>
      </c>
      <c r="M13">
        <f>IF($F13="s-curve",$D13+($E13-$D13)*$J$2/(1+EXP($J$3*(COUNT($I$7:M$7)+$J$4))),TREND($D13:$E13,$D$7:$E$7,M$7))</f>
        <v>1</v>
      </c>
      <c r="N13">
        <f>IF($F13="s-curve",$D13+($E13-$D13)*$J$2/(1+EXP($J$3*(COUNT($I$7:N$7)+$J$4))),TREND($D13:$E13,$D$7:$E$7,N$7))</f>
        <v>1</v>
      </c>
      <c r="O13">
        <f>IF($F13="s-curve",$D13+($E13-$D13)*$J$2/(1+EXP($J$3*(COUNT($I$7:O$7)+$J$4))),TREND($D13:$E13,$D$7:$E$7,O$7))</f>
        <v>1</v>
      </c>
      <c r="P13">
        <f>IF($F13="s-curve",$D13+($E13-$D13)*$J$2/(1+EXP($J$3*(COUNT($I$7:P$7)+$J$4))),TREND($D13:$E13,$D$7:$E$7,P$7))</f>
        <v>1</v>
      </c>
      <c r="Q13">
        <f>IF($F13="s-curve",$D13+($E13-$D13)*$J$2/(1+EXP($J$3*(COUNT($I$7:Q$7)+$J$4))),TREND($D13:$E13,$D$7:$E$7,Q$7))</f>
        <v>1</v>
      </c>
      <c r="R13">
        <f>IF($F13="s-curve",$D13+($E13-$D13)*$J$2/(1+EXP($J$3*(COUNT($I$7:R$7)+$J$4))),TREND($D13:$E13,$D$7:$E$7,R$7))</f>
        <v>1</v>
      </c>
      <c r="S13">
        <f>IF($F13="s-curve",$D13+($E13-$D13)*$J$2/(1+EXP($J$3*(COUNT($I$7:S$7)+$J$4))),TREND($D13:$E13,$D$7:$E$7,S$7))</f>
        <v>1</v>
      </c>
      <c r="T13">
        <f>IF($F13="s-curve",$D13+($E13-$D13)*$J$2/(1+EXP($J$3*(COUNT($I$7:T$7)+$J$4))),TREND($D13:$E13,$D$7:$E$7,T$7))</f>
        <v>1</v>
      </c>
      <c r="U13">
        <f>IF($F13="s-curve",$D13+($E13-$D13)*$J$2/(1+EXP($J$3*(COUNT($I$7:U$7)+$J$4))),TREND($D13:$E13,$D$7:$E$7,U$7))</f>
        <v>1</v>
      </c>
      <c r="V13">
        <f>IF($F13="s-curve",$D13+($E13-$D13)*$J$2/(1+EXP($J$3*(COUNT($I$7:V$7)+$J$4))),TREND($D13:$E13,$D$7:$E$7,V$7))</f>
        <v>1</v>
      </c>
      <c r="W13">
        <f>IF($F13="s-curve",$D13+($E13-$D13)*$J$2/(1+EXP($J$3*(COUNT($I$7:W$7)+$J$4))),TREND($D13:$E13,$D$7:$E$7,W$7))</f>
        <v>1</v>
      </c>
      <c r="X13">
        <f>IF($F13="s-curve",$D13+($E13-$D13)*$J$2/(1+EXP($J$3*(COUNT($I$7:X$7)+$J$4))),TREND($D13:$E13,$D$7:$E$7,X$7))</f>
        <v>1</v>
      </c>
      <c r="Y13">
        <f>IF($F13="s-curve",$D13+($E13-$D13)*$J$2/(1+EXP($J$3*(COUNT($I$7:Y$7)+$J$4))),TREND($D13:$E13,$D$7:$E$7,Y$7))</f>
        <v>1</v>
      </c>
      <c r="Z13">
        <f>IF($F13="s-curve",$D13+($E13-$D13)*$J$2/(1+EXP($J$3*(COUNT($I$7:Z$7)+$J$4))),TREND($D13:$E13,$D$7:$E$7,Z$7))</f>
        <v>1</v>
      </c>
      <c r="AA13">
        <f>IF($F13="s-curve",$D13+($E13-$D13)*$J$2/(1+EXP($J$3*(COUNT($I$7:AA$7)+$J$4))),TREND($D13:$E13,$D$7:$E$7,AA$7))</f>
        <v>1</v>
      </c>
      <c r="AB13">
        <f>IF($F13="s-curve",$D13+($E13-$D13)*$J$2/(1+EXP($J$3*(COUNT($I$7:AB$7)+$J$4))),TREND($D13:$E13,$D$7:$E$7,AB$7))</f>
        <v>1</v>
      </c>
      <c r="AC13">
        <f>IF($F13="s-curve",$D13+($E13-$D13)*$J$2/(1+EXP($J$3*(COUNT($I$7:AC$7)+$J$4))),TREND($D13:$E13,$D$7:$E$7,AC$7))</f>
        <v>1</v>
      </c>
      <c r="AD13">
        <f>IF($F13="s-curve",$D13+($E13-$D13)*$J$2/(1+EXP($J$3*(COUNT($I$7:AD$7)+$J$4))),TREND($D13:$E13,$D$7:$E$7,AD$7))</f>
        <v>1</v>
      </c>
      <c r="AE13">
        <f>IF($F13="s-curve",$D13+($E13-$D13)*$J$2/(1+EXP($J$3*(COUNT($I$7:AE$7)+$J$4))),TREND($D13:$E13,$D$7:$E$7,AE$7))</f>
        <v>1</v>
      </c>
      <c r="AF13">
        <f>IF($F13="s-curve",$D13+($E13-$D13)*$J$2/(1+EXP($J$3*(COUNT($I$7:AF$7)+$J$4))),TREND($D13:$E13,$D$7:$E$7,AF$7))</f>
        <v>1</v>
      </c>
      <c r="AG13">
        <f>IF($F13="s-curve",$D13+($E13-$D13)*$J$2/(1+EXP($J$3*(COUNT($I$7:AG$7)+$J$4))),TREND($D13:$E13,$D$7:$E$7,AG$7))</f>
        <v>1</v>
      </c>
      <c r="AH13">
        <f>IF($F13="s-curve",$D13+($E13-$D13)*$J$2/(1+EXP($J$3*(COUNT($I$7:AH$7)+$J$4))),TREND($D13:$E13,$D$7:$E$7,AH$7))</f>
        <v>1</v>
      </c>
      <c r="AI13">
        <f>IF($F13="s-curve",$D13+($E13-$D13)*$J$2/(1+EXP($J$3*(COUNT($I$7:AI$7)+$J$4))),TREND($D13:$E13,$D$7:$E$7,AI$7))</f>
        <v>1</v>
      </c>
      <c r="AJ13">
        <f>IF($F13="s-curve",$D13+($E13-$D13)*$J$2/(1+EXP($J$3*(COUNT($I$7:AJ$7)+$J$4))),TREND($D13:$E13,$D$7:$E$7,AJ$7))</f>
        <v>1</v>
      </c>
      <c r="AK13">
        <f>IF($F13="s-curve",$D13+($E13-$D13)*$J$2/(1+EXP($J$3*(COUNT($I$7:AK$7)+$J$4))),TREND($D13:$E13,$D$7:$E$7,AK$7))</f>
        <v>1</v>
      </c>
      <c r="AL13">
        <f>IF($F13="s-curve",$D13+($E13-$D13)*$J$2/(1+EXP($J$3*(COUNT($I$7:AL$7)+$J$4))),TREND($D13:$E13,$D$7:$E$7,AL$7))</f>
        <v>1</v>
      </c>
      <c r="AM13">
        <f>IF($F13="s-curve",$D13+($E13-$D13)*$J$2/(1+EXP($J$3*(COUNT($I$7:AM$7)+$J$4))),TREND($D13:$E13,$D$7:$E$7,AM$7))</f>
        <v>1</v>
      </c>
      <c r="AN13">
        <f>IF($F13="s-curve",$D13+($E13-$D13)*$J$2/(1+EXP($J$3*(COUNT($I$7:AN$7)+$J$4))),TREND($D13:$E13,$D$7:$E$7,AN$7))</f>
        <v>1</v>
      </c>
      <c r="AO13">
        <f>IF($F13="s-curve",$D13+($E13-$D13)*$J$2/(1+EXP($J$3*(COUNT($I$7:AO$7)+$J$4))),TREND($D13:$E13,$D$7:$E$7,AO$7))</f>
        <v>1</v>
      </c>
      <c r="AP13">
        <f>IF($F13="s-curve",$D13+($E13-$D13)*$J$2/(1+EXP($J$3*(COUNT($I$7:AP$7)+$J$4))),TREND($D13:$E13,$D$7:$E$7,AP$7))</f>
        <v>1</v>
      </c>
      <c r="AQ13">
        <f>IF($F13="s-curve",$D13+($E13-$D13)*$J$2/(1+EXP($J$3*(COUNT($I$7:AQ$7)+$J$4))),TREND($D13:$E13,$D$7:$E$7,AQ$7))</f>
        <v>1</v>
      </c>
    </row>
    <row r="14" spans="1:43" ht="14.45" x14ac:dyDescent="0.35">
      <c r="A14" s="21" t="s">
        <v>10</v>
      </c>
      <c r="B14" t="s">
        <v>12</v>
      </c>
      <c r="C14" t="s">
        <v>1</v>
      </c>
      <c r="D14">
        <v>0</v>
      </c>
      <c r="E14">
        <v>0</v>
      </c>
      <c r="F14" s="23" t="str">
        <f t="shared" si="0"/>
        <v>n/a</v>
      </c>
      <c r="I14" s="19">
        <f t="shared" si="1"/>
        <v>0</v>
      </c>
      <c r="J14">
        <f>IF($F14="s-curve",$D14+($E14-$D14)*$J$2/(1+EXP($J$3*(COUNT($I$7:J$7)+$J$4))),TREND($D14:$E14,$D$7:$E$7,J$7))</f>
        <v>0</v>
      </c>
      <c r="K14">
        <f>IF($F14="s-curve",$D14+($E14-$D14)*$J$2/(1+EXP($J$3*(COUNT($I$7:K$7)+$J$4))),TREND($D14:$E14,$D$7:$E$7,K$7))</f>
        <v>0</v>
      </c>
      <c r="L14">
        <f>IF($F14="s-curve",$D14+($E14-$D14)*$J$2/(1+EXP($J$3*(COUNT($I$7:L$7)+$J$4))),TREND($D14:$E14,$D$7:$E$7,L$7))</f>
        <v>0</v>
      </c>
      <c r="M14">
        <f>IF($F14="s-curve",$D14+($E14-$D14)*$J$2/(1+EXP($J$3*(COUNT($I$7:M$7)+$J$4))),TREND($D14:$E14,$D$7:$E$7,M$7))</f>
        <v>0</v>
      </c>
      <c r="N14">
        <f>IF($F14="s-curve",$D14+($E14-$D14)*$J$2/(1+EXP($J$3*(COUNT($I$7:N$7)+$J$4))),TREND($D14:$E14,$D$7:$E$7,N$7))</f>
        <v>0</v>
      </c>
      <c r="O14">
        <f>IF($F14="s-curve",$D14+($E14-$D14)*$J$2/(1+EXP($J$3*(COUNT($I$7:O$7)+$J$4))),TREND($D14:$E14,$D$7:$E$7,O$7))</f>
        <v>0</v>
      </c>
      <c r="P14">
        <f>IF($F14="s-curve",$D14+($E14-$D14)*$J$2/(1+EXP($J$3*(COUNT($I$7:P$7)+$J$4))),TREND($D14:$E14,$D$7:$E$7,P$7))</f>
        <v>0</v>
      </c>
      <c r="Q14">
        <f>IF($F14="s-curve",$D14+($E14-$D14)*$J$2/(1+EXP($J$3*(COUNT($I$7:Q$7)+$J$4))),TREND($D14:$E14,$D$7:$E$7,Q$7))</f>
        <v>0</v>
      </c>
      <c r="R14">
        <f>IF($F14="s-curve",$D14+($E14-$D14)*$J$2/(1+EXP($J$3*(COUNT($I$7:R$7)+$J$4))),TREND($D14:$E14,$D$7:$E$7,R$7))</f>
        <v>0</v>
      </c>
      <c r="S14">
        <f>IF($F14="s-curve",$D14+($E14-$D14)*$J$2/(1+EXP($J$3*(COUNT($I$7:S$7)+$J$4))),TREND($D14:$E14,$D$7:$E$7,S$7))</f>
        <v>0</v>
      </c>
      <c r="T14">
        <f>IF($F14="s-curve",$D14+($E14-$D14)*$J$2/(1+EXP($J$3*(COUNT($I$7:T$7)+$J$4))),TREND($D14:$E14,$D$7:$E$7,T$7))</f>
        <v>0</v>
      </c>
      <c r="U14">
        <f>IF($F14="s-curve",$D14+($E14-$D14)*$J$2/(1+EXP($J$3*(COUNT($I$7:U$7)+$J$4))),TREND($D14:$E14,$D$7:$E$7,U$7))</f>
        <v>0</v>
      </c>
      <c r="V14">
        <f>IF($F14="s-curve",$D14+($E14-$D14)*$J$2/(1+EXP($J$3*(COUNT($I$7:V$7)+$J$4))),TREND($D14:$E14,$D$7:$E$7,V$7))</f>
        <v>0</v>
      </c>
      <c r="W14">
        <f>IF($F14="s-curve",$D14+($E14-$D14)*$J$2/(1+EXP($J$3*(COUNT($I$7:W$7)+$J$4))),TREND($D14:$E14,$D$7:$E$7,W$7))</f>
        <v>0</v>
      </c>
      <c r="X14">
        <f>IF($F14="s-curve",$D14+($E14-$D14)*$J$2/(1+EXP($J$3*(COUNT($I$7:X$7)+$J$4))),TREND($D14:$E14,$D$7:$E$7,X$7))</f>
        <v>0</v>
      </c>
      <c r="Y14">
        <f>IF($F14="s-curve",$D14+($E14-$D14)*$J$2/(1+EXP($J$3*(COUNT($I$7:Y$7)+$J$4))),TREND($D14:$E14,$D$7:$E$7,Y$7))</f>
        <v>0</v>
      </c>
      <c r="Z14">
        <f>IF($F14="s-curve",$D14+($E14-$D14)*$J$2/(1+EXP($J$3*(COUNT($I$7:Z$7)+$J$4))),TREND($D14:$E14,$D$7:$E$7,Z$7))</f>
        <v>0</v>
      </c>
      <c r="AA14">
        <f>IF($F14="s-curve",$D14+($E14-$D14)*$J$2/(1+EXP($J$3*(COUNT($I$7:AA$7)+$J$4))),TREND($D14:$E14,$D$7:$E$7,AA$7))</f>
        <v>0</v>
      </c>
      <c r="AB14">
        <f>IF($F14="s-curve",$D14+($E14-$D14)*$J$2/(1+EXP($J$3*(COUNT($I$7:AB$7)+$J$4))),TREND($D14:$E14,$D$7:$E$7,AB$7))</f>
        <v>0</v>
      </c>
      <c r="AC14">
        <f>IF($F14="s-curve",$D14+($E14-$D14)*$J$2/(1+EXP($J$3*(COUNT($I$7:AC$7)+$J$4))),TREND($D14:$E14,$D$7:$E$7,AC$7))</f>
        <v>0</v>
      </c>
      <c r="AD14">
        <f>IF($F14="s-curve",$D14+($E14-$D14)*$J$2/(1+EXP($J$3*(COUNT($I$7:AD$7)+$J$4))),TREND($D14:$E14,$D$7:$E$7,AD$7))</f>
        <v>0</v>
      </c>
      <c r="AE14">
        <f>IF($F14="s-curve",$D14+($E14-$D14)*$J$2/(1+EXP($J$3*(COUNT($I$7:AE$7)+$J$4))),TREND($D14:$E14,$D$7:$E$7,AE$7))</f>
        <v>0</v>
      </c>
      <c r="AF14">
        <f>IF($F14="s-curve",$D14+($E14-$D14)*$J$2/(1+EXP($J$3*(COUNT($I$7:AF$7)+$J$4))),TREND($D14:$E14,$D$7:$E$7,AF$7))</f>
        <v>0</v>
      </c>
      <c r="AG14">
        <f>IF($F14="s-curve",$D14+($E14-$D14)*$J$2/(1+EXP($J$3*(COUNT($I$7:AG$7)+$J$4))),TREND($D14:$E14,$D$7:$E$7,AG$7))</f>
        <v>0</v>
      </c>
      <c r="AH14">
        <f>IF($F14="s-curve",$D14+($E14-$D14)*$J$2/(1+EXP($J$3*(COUNT($I$7:AH$7)+$J$4))),TREND($D14:$E14,$D$7:$E$7,AH$7))</f>
        <v>0</v>
      </c>
      <c r="AI14">
        <f>IF($F14="s-curve",$D14+($E14-$D14)*$J$2/(1+EXP($J$3*(COUNT($I$7:AI$7)+$J$4))),TREND($D14:$E14,$D$7:$E$7,AI$7))</f>
        <v>0</v>
      </c>
      <c r="AJ14">
        <f>IF($F14="s-curve",$D14+($E14-$D14)*$J$2/(1+EXP($J$3*(COUNT($I$7:AJ$7)+$J$4))),TREND($D14:$E14,$D$7:$E$7,AJ$7))</f>
        <v>0</v>
      </c>
      <c r="AK14">
        <f>IF($F14="s-curve",$D14+($E14-$D14)*$J$2/(1+EXP($J$3*(COUNT($I$7:AK$7)+$J$4))),TREND($D14:$E14,$D$7:$E$7,AK$7))</f>
        <v>0</v>
      </c>
      <c r="AL14">
        <f>IF($F14="s-curve",$D14+($E14-$D14)*$J$2/(1+EXP($J$3*(COUNT($I$7:AL$7)+$J$4))),TREND($D14:$E14,$D$7:$E$7,AL$7))</f>
        <v>0</v>
      </c>
      <c r="AM14">
        <f>IF($F14="s-curve",$D14+($E14-$D14)*$J$2/(1+EXP($J$3*(COUNT($I$7:AM$7)+$J$4))),TREND($D14:$E14,$D$7:$E$7,AM$7))</f>
        <v>0</v>
      </c>
      <c r="AN14">
        <f>IF($F14="s-curve",$D14+($E14-$D14)*$J$2/(1+EXP($J$3*(COUNT($I$7:AN$7)+$J$4))),TREND($D14:$E14,$D$7:$E$7,AN$7))</f>
        <v>0</v>
      </c>
      <c r="AO14">
        <f>IF($F14="s-curve",$D14+($E14-$D14)*$J$2/(1+EXP($J$3*(COUNT($I$7:AO$7)+$J$4))),TREND($D14:$E14,$D$7:$E$7,AO$7))</f>
        <v>0</v>
      </c>
      <c r="AP14">
        <f>IF($F14="s-curve",$D14+($E14-$D14)*$J$2/(1+EXP($J$3*(COUNT($I$7:AP$7)+$J$4))),TREND($D14:$E14,$D$7:$E$7,AP$7))</f>
        <v>0</v>
      </c>
      <c r="AQ14">
        <f>IF($F14="s-curve",$D14+($E14-$D14)*$J$2/(1+EXP($J$3*(COUNT($I$7:AQ$7)+$J$4))),TREND($D14:$E14,$D$7:$E$7,AQ$7))</f>
        <v>0</v>
      </c>
    </row>
    <row r="15" spans="1:43" ht="14.45" x14ac:dyDescent="0.35">
      <c r="C15" t="s">
        <v>2</v>
      </c>
      <c r="D15">
        <v>0</v>
      </c>
      <c r="E15">
        <v>0</v>
      </c>
      <c r="F15" s="23" t="str">
        <f t="shared" si="0"/>
        <v>n/a</v>
      </c>
      <c r="I15" s="19">
        <f t="shared" si="1"/>
        <v>0</v>
      </c>
      <c r="J15">
        <f>IF($F15="s-curve",$D15+($E15-$D15)*$J$2/(1+EXP($J$3*(COUNT($I$7:J$7)+$J$4))),TREND($D15:$E15,$D$7:$E$7,J$7))</f>
        <v>0</v>
      </c>
      <c r="K15">
        <f>IF($F15="s-curve",$D15+($E15-$D15)*$J$2/(1+EXP($J$3*(COUNT($I$7:K$7)+$J$4))),TREND($D15:$E15,$D$7:$E$7,K$7))</f>
        <v>0</v>
      </c>
      <c r="L15">
        <f>IF($F15="s-curve",$D15+($E15-$D15)*$J$2/(1+EXP($J$3*(COUNT($I$7:L$7)+$J$4))),TREND($D15:$E15,$D$7:$E$7,L$7))</f>
        <v>0</v>
      </c>
      <c r="M15">
        <f>IF($F15="s-curve",$D15+($E15-$D15)*$J$2/(1+EXP($J$3*(COUNT($I$7:M$7)+$J$4))),TREND($D15:$E15,$D$7:$E$7,M$7))</f>
        <v>0</v>
      </c>
      <c r="N15">
        <f>IF($F15="s-curve",$D15+($E15-$D15)*$J$2/(1+EXP($J$3*(COUNT($I$7:N$7)+$J$4))),TREND($D15:$E15,$D$7:$E$7,N$7))</f>
        <v>0</v>
      </c>
      <c r="O15">
        <f>IF($F15="s-curve",$D15+($E15-$D15)*$J$2/(1+EXP($J$3*(COUNT($I$7:O$7)+$J$4))),TREND($D15:$E15,$D$7:$E$7,O$7))</f>
        <v>0</v>
      </c>
      <c r="P15">
        <f>IF($F15="s-curve",$D15+($E15-$D15)*$J$2/(1+EXP($J$3*(COUNT($I$7:P$7)+$J$4))),TREND($D15:$E15,$D$7:$E$7,P$7))</f>
        <v>0</v>
      </c>
      <c r="Q15">
        <f>IF($F15="s-curve",$D15+($E15-$D15)*$J$2/(1+EXP($J$3*(COUNT($I$7:Q$7)+$J$4))),TREND($D15:$E15,$D$7:$E$7,Q$7))</f>
        <v>0</v>
      </c>
      <c r="R15">
        <f>IF($F15="s-curve",$D15+($E15-$D15)*$J$2/(1+EXP($J$3*(COUNT($I$7:R$7)+$J$4))),TREND($D15:$E15,$D$7:$E$7,R$7))</f>
        <v>0</v>
      </c>
      <c r="S15">
        <f>IF($F15="s-curve",$D15+($E15-$D15)*$J$2/(1+EXP($J$3*(COUNT($I$7:S$7)+$J$4))),TREND($D15:$E15,$D$7:$E$7,S$7))</f>
        <v>0</v>
      </c>
      <c r="T15">
        <f>IF($F15="s-curve",$D15+($E15-$D15)*$J$2/(1+EXP($J$3*(COUNT($I$7:T$7)+$J$4))),TREND($D15:$E15,$D$7:$E$7,T$7))</f>
        <v>0</v>
      </c>
      <c r="U15">
        <f>IF($F15="s-curve",$D15+($E15-$D15)*$J$2/(1+EXP($J$3*(COUNT($I$7:U$7)+$J$4))),TREND($D15:$E15,$D$7:$E$7,U$7))</f>
        <v>0</v>
      </c>
      <c r="V15">
        <f>IF($F15="s-curve",$D15+($E15-$D15)*$J$2/(1+EXP($J$3*(COUNT($I$7:V$7)+$J$4))),TREND($D15:$E15,$D$7:$E$7,V$7))</f>
        <v>0</v>
      </c>
      <c r="W15">
        <f>IF($F15="s-curve",$D15+($E15-$D15)*$J$2/(1+EXP($J$3*(COUNT($I$7:W$7)+$J$4))),TREND($D15:$E15,$D$7:$E$7,W$7))</f>
        <v>0</v>
      </c>
      <c r="X15">
        <f>IF($F15="s-curve",$D15+($E15-$D15)*$J$2/(1+EXP($J$3*(COUNT($I$7:X$7)+$J$4))),TREND($D15:$E15,$D$7:$E$7,X$7))</f>
        <v>0</v>
      </c>
      <c r="Y15">
        <f>IF($F15="s-curve",$D15+($E15-$D15)*$J$2/(1+EXP($J$3*(COUNT($I$7:Y$7)+$J$4))),TREND($D15:$E15,$D$7:$E$7,Y$7))</f>
        <v>0</v>
      </c>
      <c r="Z15">
        <f>IF($F15="s-curve",$D15+($E15-$D15)*$J$2/(1+EXP($J$3*(COUNT($I$7:Z$7)+$J$4))),TREND($D15:$E15,$D$7:$E$7,Z$7))</f>
        <v>0</v>
      </c>
      <c r="AA15">
        <f>IF($F15="s-curve",$D15+($E15-$D15)*$J$2/(1+EXP($J$3*(COUNT($I$7:AA$7)+$J$4))),TREND($D15:$E15,$D$7:$E$7,AA$7))</f>
        <v>0</v>
      </c>
      <c r="AB15">
        <f>IF($F15="s-curve",$D15+($E15-$D15)*$J$2/(1+EXP($J$3*(COUNT($I$7:AB$7)+$J$4))),TREND($D15:$E15,$D$7:$E$7,AB$7))</f>
        <v>0</v>
      </c>
      <c r="AC15">
        <f>IF($F15="s-curve",$D15+($E15-$D15)*$J$2/(1+EXP($J$3*(COUNT($I$7:AC$7)+$J$4))),TREND($D15:$E15,$D$7:$E$7,AC$7))</f>
        <v>0</v>
      </c>
      <c r="AD15">
        <f>IF($F15="s-curve",$D15+($E15-$D15)*$J$2/(1+EXP($J$3*(COUNT($I$7:AD$7)+$J$4))),TREND($D15:$E15,$D$7:$E$7,AD$7))</f>
        <v>0</v>
      </c>
      <c r="AE15">
        <f>IF($F15="s-curve",$D15+($E15-$D15)*$J$2/(1+EXP($J$3*(COUNT($I$7:AE$7)+$J$4))),TREND($D15:$E15,$D$7:$E$7,AE$7))</f>
        <v>0</v>
      </c>
      <c r="AF15">
        <f>IF($F15="s-curve",$D15+($E15-$D15)*$J$2/(1+EXP($J$3*(COUNT($I$7:AF$7)+$J$4))),TREND($D15:$E15,$D$7:$E$7,AF$7))</f>
        <v>0</v>
      </c>
      <c r="AG15">
        <f>IF($F15="s-curve",$D15+($E15-$D15)*$J$2/(1+EXP($J$3*(COUNT($I$7:AG$7)+$J$4))),TREND($D15:$E15,$D$7:$E$7,AG$7))</f>
        <v>0</v>
      </c>
      <c r="AH15">
        <f>IF($F15="s-curve",$D15+($E15-$D15)*$J$2/(1+EXP($J$3*(COUNT($I$7:AH$7)+$J$4))),TREND($D15:$E15,$D$7:$E$7,AH$7))</f>
        <v>0</v>
      </c>
      <c r="AI15">
        <f>IF($F15="s-curve",$D15+($E15-$D15)*$J$2/(1+EXP($J$3*(COUNT($I$7:AI$7)+$J$4))),TREND($D15:$E15,$D$7:$E$7,AI$7))</f>
        <v>0</v>
      </c>
      <c r="AJ15">
        <f>IF($F15="s-curve",$D15+($E15-$D15)*$J$2/(1+EXP($J$3*(COUNT($I$7:AJ$7)+$J$4))),TREND($D15:$E15,$D$7:$E$7,AJ$7))</f>
        <v>0</v>
      </c>
      <c r="AK15">
        <f>IF($F15="s-curve",$D15+($E15-$D15)*$J$2/(1+EXP($J$3*(COUNT($I$7:AK$7)+$J$4))),TREND($D15:$E15,$D$7:$E$7,AK$7))</f>
        <v>0</v>
      </c>
      <c r="AL15">
        <f>IF($F15="s-curve",$D15+($E15-$D15)*$J$2/(1+EXP($J$3*(COUNT($I$7:AL$7)+$J$4))),TREND($D15:$E15,$D$7:$E$7,AL$7))</f>
        <v>0</v>
      </c>
      <c r="AM15">
        <f>IF($F15="s-curve",$D15+($E15-$D15)*$J$2/(1+EXP($J$3*(COUNT($I$7:AM$7)+$J$4))),TREND($D15:$E15,$D$7:$E$7,AM$7))</f>
        <v>0</v>
      </c>
      <c r="AN15">
        <f>IF($F15="s-curve",$D15+($E15-$D15)*$J$2/(1+EXP($J$3*(COUNT($I$7:AN$7)+$J$4))),TREND($D15:$E15,$D$7:$E$7,AN$7))</f>
        <v>0</v>
      </c>
      <c r="AO15">
        <f>IF($F15="s-curve",$D15+($E15-$D15)*$J$2/(1+EXP($J$3*(COUNT($I$7:AO$7)+$J$4))),TREND($D15:$E15,$D$7:$E$7,AO$7))</f>
        <v>0</v>
      </c>
      <c r="AP15">
        <f>IF($F15="s-curve",$D15+($E15-$D15)*$J$2/(1+EXP($J$3*(COUNT($I$7:AP$7)+$J$4))),TREND($D15:$E15,$D$7:$E$7,AP$7))</f>
        <v>0</v>
      </c>
      <c r="AQ15">
        <f>IF($F15="s-curve",$D15+($E15-$D15)*$J$2/(1+EXP($J$3*(COUNT($I$7:AQ$7)+$J$4))),TREND($D15:$E15,$D$7:$E$7,AQ$7))</f>
        <v>0</v>
      </c>
    </row>
    <row r="16" spans="1:43" ht="14.45" x14ac:dyDescent="0.35">
      <c r="C16" t="s">
        <v>3</v>
      </c>
      <c r="D16">
        <v>0</v>
      </c>
      <c r="E16">
        <v>0</v>
      </c>
      <c r="F16" s="23" t="str">
        <f t="shared" si="0"/>
        <v>n/a</v>
      </c>
      <c r="I16" s="19">
        <f t="shared" si="1"/>
        <v>0</v>
      </c>
      <c r="J16">
        <f>IF($F16="s-curve",$D16+($E16-$D16)*$J$2/(1+EXP($J$3*(COUNT($I$7:J$7)+$J$4))),TREND($D16:$E16,$D$7:$E$7,J$7))</f>
        <v>0</v>
      </c>
      <c r="K16">
        <f>IF($F16="s-curve",$D16+($E16-$D16)*$J$2/(1+EXP($J$3*(COUNT($I$7:K$7)+$J$4))),TREND($D16:$E16,$D$7:$E$7,K$7))</f>
        <v>0</v>
      </c>
      <c r="L16">
        <f>IF($F16="s-curve",$D16+($E16-$D16)*$J$2/(1+EXP($J$3*(COUNT($I$7:L$7)+$J$4))),TREND($D16:$E16,$D$7:$E$7,L$7))</f>
        <v>0</v>
      </c>
      <c r="M16">
        <f>IF($F16="s-curve",$D16+($E16-$D16)*$J$2/(1+EXP($J$3*(COUNT($I$7:M$7)+$J$4))),TREND($D16:$E16,$D$7:$E$7,M$7))</f>
        <v>0</v>
      </c>
      <c r="N16">
        <f>IF($F16="s-curve",$D16+($E16-$D16)*$J$2/(1+EXP($J$3*(COUNT($I$7:N$7)+$J$4))),TREND($D16:$E16,$D$7:$E$7,N$7))</f>
        <v>0</v>
      </c>
      <c r="O16">
        <f>IF($F16="s-curve",$D16+($E16-$D16)*$J$2/(1+EXP($J$3*(COUNT($I$7:O$7)+$J$4))),TREND($D16:$E16,$D$7:$E$7,O$7))</f>
        <v>0</v>
      </c>
      <c r="P16">
        <f>IF($F16="s-curve",$D16+($E16-$D16)*$J$2/(1+EXP($J$3*(COUNT($I$7:P$7)+$J$4))),TREND($D16:$E16,$D$7:$E$7,P$7))</f>
        <v>0</v>
      </c>
      <c r="Q16">
        <f>IF($F16="s-curve",$D16+($E16-$D16)*$J$2/(1+EXP($J$3*(COUNT($I$7:Q$7)+$J$4))),TREND($D16:$E16,$D$7:$E$7,Q$7))</f>
        <v>0</v>
      </c>
      <c r="R16">
        <f>IF($F16="s-curve",$D16+($E16-$D16)*$J$2/(1+EXP($J$3*(COUNT($I$7:R$7)+$J$4))),TREND($D16:$E16,$D$7:$E$7,R$7))</f>
        <v>0</v>
      </c>
      <c r="S16">
        <f>IF($F16="s-curve",$D16+($E16-$D16)*$J$2/(1+EXP($J$3*(COUNT($I$7:S$7)+$J$4))),TREND($D16:$E16,$D$7:$E$7,S$7))</f>
        <v>0</v>
      </c>
      <c r="T16">
        <f>IF($F16="s-curve",$D16+($E16-$D16)*$J$2/(1+EXP($J$3*(COUNT($I$7:T$7)+$J$4))),TREND($D16:$E16,$D$7:$E$7,T$7))</f>
        <v>0</v>
      </c>
      <c r="U16">
        <f>IF($F16="s-curve",$D16+($E16-$D16)*$J$2/(1+EXP($J$3*(COUNT($I$7:U$7)+$J$4))),TREND($D16:$E16,$D$7:$E$7,U$7))</f>
        <v>0</v>
      </c>
      <c r="V16">
        <f>IF($F16="s-curve",$D16+($E16-$D16)*$J$2/(1+EXP($J$3*(COUNT($I$7:V$7)+$J$4))),TREND($D16:$E16,$D$7:$E$7,V$7))</f>
        <v>0</v>
      </c>
      <c r="W16">
        <f>IF($F16="s-curve",$D16+($E16-$D16)*$J$2/(1+EXP($J$3*(COUNT($I$7:W$7)+$J$4))),TREND($D16:$E16,$D$7:$E$7,W$7))</f>
        <v>0</v>
      </c>
      <c r="X16">
        <f>IF($F16="s-curve",$D16+($E16-$D16)*$J$2/(1+EXP($J$3*(COUNT($I$7:X$7)+$J$4))),TREND($D16:$E16,$D$7:$E$7,X$7))</f>
        <v>0</v>
      </c>
      <c r="Y16">
        <f>IF($F16="s-curve",$D16+($E16-$D16)*$J$2/(1+EXP($J$3*(COUNT($I$7:Y$7)+$J$4))),TREND($D16:$E16,$D$7:$E$7,Y$7))</f>
        <v>0</v>
      </c>
      <c r="Z16">
        <f>IF($F16="s-curve",$D16+($E16-$D16)*$J$2/(1+EXP($J$3*(COUNT($I$7:Z$7)+$J$4))),TREND($D16:$E16,$D$7:$E$7,Z$7))</f>
        <v>0</v>
      </c>
      <c r="AA16">
        <f>IF($F16="s-curve",$D16+($E16-$D16)*$J$2/(1+EXP($J$3*(COUNT($I$7:AA$7)+$J$4))),TREND($D16:$E16,$D$7:$E$7,AA$7))</f>
        <v>0</v>
      </c>
      <c r="AB16">
        <f>IF($F16="s-curve",$D16+($E16-$D16)*$J$2/(1+EXP($J$3*(COUNT($I$7:AB$7)+$J$4))),TREND($D16:$E16,$D$7:$E$7,AB$7))</f>
        <v>0</v>
      </c>
      <c r="AC16">
        <f>IF($F16="s-curve",$D16+($E16-$D16)*$J$2/(1+EXP($J$3*(COUNT($I$7:AC$7)+$J$4))),TREND($D16:$E16,$D$7:$E$7,AC$7))</f>
        <v>0</v>
      </c>
      <c r="AD16">
        <f>IF($F16="s-curve",$D16+($E16-$D16)*$J$2/(1+EXP($J$3*(COUNT($I$7:AD$7)+$J$4))),TREND($D16:$E16,$D$7:$E$7,AD$7))</f>
        <v>0</v>
      </c>
      <c r="AE16">
        <f>IF($F16="s-curve",$D16+($E16-$D16)*$J$2/(1+EXP($J$3*(COUNT($I$7:AE$7)+$J$4))),TREND($D16:$E16,$D$7:$E$7,AE$7))</f>
        <v>0</v>
      </c>
      <c r="AF16">
        <f>IF($F16="s-curve",$D16+($E16-$D16)*$J$2/(1+EXP($J$3*(COUNT($I$7:AF$7)+$J$4))),TREND($D16:$E16,$D$7:$E$7,AF$7))</f>
        <v>0</v>
      </c>
      <c r="AG16">
        <f>IF($F16="s-curve",$D16+($E16-$D16)*$J$2/(1+EXP($J$3*(COUNT($I$7:AG$7)+$J$4))),TREND($D16:$E16,$D$7:$E$7,AG$7))</f>
        <v>0</v>
      </c>
      <c r="AH16">
        <f>IF($F16="s-curve",$D16+($E16-$D16)*$J$2/(1+EXP($J$3*(COUNT($I$7:AH$7)+$J$4))),TREND($D16:$E16,$D$7:$E$7,AH$7))</f>
        <v>0</v>
      </c>
      <c r="AI16">
        <f>IF($F16="s-curve",$D16+($E16-$D16)*$J$2/(1+EXP($J$3*(COUNT($I$7:AI$7)+$J$4))),TREND($D16:$E16,$D$7:$E$7,AI$7))</f>
        <v>0</v>
      </c>
      <c r="AJ16">
        <f>IF($F16="s-curve",$D16+($E16-$D16)*$J$2/(1+EXP($J$3*(COUNT($I$7:AJ$7)+$J$4))),TREND($D16:$E16,$D$7:$E$7,AJ$7))</f>
        <v>0</v>
      </c>
      <c r="AK16">
        <f>IF($F16="s-curve",$D16+($E16-$D16)*$J$2/(1+EXP($J$3*(COUNT($I$7:AK$7)+$J$4))),TREND($D16:$E16,$D$7:$E$7,AK$7))</f>
        <v>0</v>
      </c>
      <c r="AL16">
        <f>IF($F16="s-curve",$D16+($E16-$D16)*$J$2/(1+EXP($J$3*(COUNT($I$7:AL$7)+$J$4))),TREND($D16:$E16,$D$7:$E$7,AL$7))</f>
        <v>0</v>
      </c>
      <c r="AM16">
        <f>IF($F16="s-curve",$D16+($E16-$D16)*$J$2/(1+EXP($J$3*(COUNT($I$7:AM$7)+$J$4))),TREND($D16:$E16,$D$7:$E$7,AM$7))</f>
        <v>0</v>
      </c>
      <c r="AN16">
        <f>IF($F16="s-curve",$D16+($E16-$D16)*$J$2/(1+EXP($J$3*(COUNT($I$7:AN$7)+$J$4))),TREND($D16:$E16,$D$7:$E$7,AN$7))</f>
        <v>0</v>
      </c>
      <c r="AO16">
        <f>IF($F16="s-curve",$D16+($E16-$D16)*$J$2/(1+EXP($J$3*(COUNT($I$7:AO$7)+$J$4))),TREND($D16:$E16,$D$7:$E$7,AO$7))</f>
        <v>0</v>
      </c>
      <c r="AP16">
        <f>IF($F16="s-curve",$D16+($E16-$D16)*$J$2/(1+EXP($J$3*(COUNT($I$7:AP$7)+$J$4))),TREND($D16:$E16,$D$7:$E$7,AP$7))</f>
        <v>0</v>
      </c>
      <c r="AQ16">
        <f>IF($F16="s-curve",$D16+($E16-$D16)*$J$2/(1+EXP($J$3*(COUNT($I$7:AQ$7)+$J$4))),TREND($D16:$E16,$D$7:$E$7,AQ$7))</f>
        <v>0</v>
      </c>
    </row>
    <row r="17" spans="1:43" ht="14.45" x14ac:dyDescent="0.35">
      <c r="C17" t="s">
        <v>4</v>
      </c>
      <c r="D17">
        <v>0</v>
      </c>
      <c r="E17">
        <v>0</v>
      </c>
      <c r="F17" s="23" t="str">
        <f t="shared" si="0"/>
        <v>n/a</v>
      </c>
      <c r="I17" s="19">
        <f t="shared" si="1"/>
        <v>0</v>
      </c>
      <c r="J17">
        <f>IF($F17="s-curve",$D17+($E17-$D17)*$J$2/(1+EXP($J$3*(COUNT($I$7:J$7)+$J$4))),TREND($D17:$E17,$D$7:$E$7,J$7))</f>
        <v>0</v>
      </c>
      <c r="K17">
        <f>IF($F17="s-curve",$D17+($E17-$D17)*$J$2/(1+EXP($J$3*(COUNT($I$7:K$7)+$J$4))),TREND($D17:$E17,$D$7:$E$7,K$7))</f>
        <v>0</v>
      </c>
      <c r="L17">
        <f>IF($F17="s-curve",$D17+($E17-$D17)*$J$2/(1+EXP($J$3*(COUNT($I$7:L$7)+$J$4))),TREND($D17:$E17,$D$7:$E$7,L$7))</f>
        <v>0</v>
      </c>
      <c r="M17">
        <f>IF($F17="s-curve",$D17+($E17-$D17)*$J$2/(1+EXP($J$3*(COUNT($I$7:M$7)+$J$4))),TREND($D17:$E17,$D$7:$E$7,M$7))</f>
        <v>0</v>
      </c>
      <c r="N17">
        <f>IF($F17="s-curve",$D17+($E17-$D17)*$J$2/(1+EXP($J$3*(COUNT($I$7:N$7)+$J$4))),TREND($D17:$E17,$D$7:$E$7,N$7))</f>
        <v>0</v>
      </c>
      <c r="O17">
        <f>IF($F17="s-curve",$D17+($E17-$D17)*$J$2/(1+EXP($J$3*(COUNT($I$7:O$7)+$J$4))),TREND($D17:$E17,$D$7:$E$7,O$7))</f>
        <v>0</v>
      </c>
      <c r="P17">
        <f>IF($F17="s-curve",$D17+($E17-$D17)*$J$2/(1+EXP($J$3*(COUNT($I$7:P$7)+$J$4))),TREND($D17:$E17,$D$7:$E$7,P$7))</f>
        <v>0</v>
      </c>
      <c r="Q17">
        <f>IF($F17="s-curve",$D17+($E17-$D17)*$J$2/(1+EXP($J$3*(COUNT($I$7:Q$7)+$J$4))),TREND($D17:$E17,$D$7:$E$7,Q$7))</f>
        <v>0</v>
      </c>
      <c r="R17">
        <f>IF($F17="s-curve",$D17+($E17-$D17)*$J$2/(1+EXP($J$3*(COUNT($I$7:R$7)+$J$4))),TREND($D17:$E17,$D$7:$E$7,R$7))</f>
        <v>0</v>
      </c>
      <c r="S17">
        <f>IF($F17="s-curve",$D17+($E17-$D17)*$J$2/(1+EXP($J$3*(COUNT($I$7:S$7)+$J$4))),TREND($D17:$E17,$D$7:$E$7,S$7))</f>
        <v>0</v>
      </c>
      <c r="T17">
        <f>IF($F17="s-curve",$D17+($E17-$D17)*$J$2/(1+EXP($J$3*(COUNT($I$7:T$7)+$J$4))),TREND($D17:$E17,$D$7:$E$7,T$7))</f>
        <v>0</v>
      </c>
      <c r="U17">
        <f>IF($F17="s-curve",$D17+($E17-$D17)*$J$2/(1+EXP($J$3*(COUNT($I$7:U$7)+$J$4))),TREND($D17:$E17,$D$7:$E$7,U$7))</f>
        <v>0</v>
      </c>
      <c r="V17">
        <f>IF($F17="s-curve",$D17+($E17-$D17)*$J$2/(1+EXP($J$3*(COUNT($I$7:V$7)+$J$4))),TREND($D17:$E17,$D$7:$E$7,V$7))</f>
        <v>0</v>
      </c>
      <c r="W17">
        <f>IF($F17="s-curve",$D17+($E17-$D17)*$J$2/(1+EXP($J$3*(COUNT($I$7:W$7)+$J$4))),TREND($D17:$E17,$D$7:$E$7,W$7))</f>
        <v>0</v>
      </c>
      <c r="X17">
        <f>IF($F17="s-curve",$D17+($E17-$D17)*$J$2/(1+EXP($J$3*(COUNT($I$7:X$7)+$J$4))),TREND($D17:$E17,$D$7:$E$7,X$7))</f>
        <v>0</v>
      </c>
      <c r="Y17">
        <f>IF($F17="s-curve",$D17+($E17-$D17)*$J$2/(1+EXP($J$3*(COUNT($I$7:Y$7)+$J$4))),TREND($D17:$E17,$D$7:$E$7,Y$7))</f>
        <v>0</v>
      </c>
      <c r="Z17">
        <f>IF($F17="s-curve",$D17+($E17-$D17)*$J$2/(1+EXP($J$3*(COUNT($I$7:Z$7)+$J$4))),TREND($D17:$E17,$D$7:$E$7,Z$7))</f>
        <v>0</v>
      </c>
      <c r="AA17">
        <f>IF($F17="s-curve",$D17+($E17-$D17)*$J$2/(1+EXP($J$3*(COUNT($I$7:AA$7)+$J$4))),TREND($D17:$E17,$D$7:$E$7,AA$7))</f>
        <v>0</v>
      </c>
      <c r="AB17">
        <f>IF($F17="s-curve",$D17+($E17-$D17)*$J$2/(1+EXP($J$3*(COUNT($I$7:AB$7)+$J$4))),TREND($D17:$E17,$D$7:$E$7,AB$7))</f>
        <v>0</v>
      </c>
      <c r="AC17">
        <f>IF($F17="s-curve",$D17+($E17-$D17)*$J$2/(1+EXP($J$3*(COUNT($I$7:AC$7)+$J$4))),TREND($D17:$E17,$D$7:$E$7,AC$7))</f>
        <v>0</v>
      </c>
      <c r="AD17">
        <f>IF($F17="s-curve",$D17+($E17-$D17)*$J$2/(1+EXP($J$3*(COUNT($I$7:AD$7)+$J$4))),TREND($D17:$E17,$D$7:$E$7,AD$7))</f>
        <v>0</v>
      </c>
      <c r="AE17">
        <f>IF($F17="s-curve",$D17+($E17-$D17)*$J$2/(1+EXP($J$3*(COUNT($I$7:AE$7)+$J$4))),TREND($D17:$E17,$D$7:$E$7,AE$7))</f>
        <v>0</v>
      </c>
      <c r="AF17">
        <f>IF($F17="s-curve",$D17+($E17-$D17)*$J$2/(1+EXP($J$3*(COUNT($I$7:AF$7)+$J$4))),TREND($D17:$E17,$D$7:$E$7,AF$7))</f>
        <v>0</v>
      </c>
      <c r="AG17">
        <f>IF($F17="s-curve",$D17+($E17-$D17)*$J$2/(1+EXP($J$3*(COUNT($I$7:AG$7)+$J$4))),TREND($D17:$E17,$D$7:$E$7,AG$7))</f>
        <v>0</v>
      </c>
      <c r="AH17">
        <f>IF($F17="s-curve",$D17+($E17-$D17)*$J$2/(1+EXP($J$3*(COUNT($I$7:AH$7)+$J$4))),TREND($D17:$E17,$D$7:$E$7,AH$7))</f>
        <v>0</v>
      </c>
      <c r="AI17">
        <f>IF($F17="s-curve",$D17+($E17-$D17)*$J$2/(1+EXP($J$3*(COUNT($I$7:AI$7)+$J$4))),TREND($D17:$E17,$D$7:$E$7,AI$7))</f>
        <v>0</v>
      </c>
      <c r="AJ17">
        <f>IF($F17="s-curve",$D17+($E17-$D17)*$J$2/(1+EXP($J$3*(COUNT($I$7:AJ$7)+$J$4))),TREND($D17:$E17,$D$7:$E$7,AJ$7))</f>
        <v>0</v>
      </c>
      <c r="AK17">
        <f>IF($F17="s-curve",$D17+($E17-$D17)*$J$2/(1+EXP($J$3*(COUNT($I$7:AK$7)+$J$4))),TREND($D17:$E17,$D$7:$E$7,AK$7))</f>
        <v>0</v>
      </c>
      <c r="AL17">
        <f>IF($F17="s-curve",$D17+($E17-$D17)*$J$2/(1+EXP($J$3*(COUNT($I$7:AL$7)+$J$4))),TREND($D17:$E17,$D$7:$E$7,AL$7))</f>
        <v>0</v>
      </c>
      <c r="AM17">
        <f>IF($F17="s-curve",$D17+($E17-$D17)*$J$2/(1+EXP($J$3*(COUNT($I$7:AM$7)+$J$4))),TREND($D17:$E17,$D$7:$E$7,AM$7))</f>
        <v>0</v>
      </c>
      <c r="AN17">
        <f>IF($F17="s-curve",$D17+($E17-$D17)*$J$2/(1+EXP($J$3*(COUNT($I$7:AN$7)+$J$4))),TREND($D17:$E17,$D$7:$E$7,AN$7))</f>
        <v>0</v>
      </c>
      <c r="AO17">
        <f>IF($F17="s-curve",$D17+($E17-$D17)*$J$2/(1+EXP($J$3*(COUNT($I$7:AO$7)+$J$4))),TREND($D17:$E17,$D$7:$E$7,AO$7))</f>
        <v>0</v>
      </c>
      <c r="AP17">
        <f>IF($F17="s-curve",$D17+($E17-$D17)*$J$2/(1+EXP($J$3*(COUNT($I$7:AP$7)+$J$4))),TREND($D17:$E17,$D$7:$E$7,AP$7))</f>
        <v>0</v>
      </c>
      <c r="AQ17">
        <f>IF($F17="s-curve",$D17+($E17-$D17)*$J$2/(1+EXP($J$3*(COUNT($I$7:AQ$7)+$J$4))),TREND($D17:$E17,$D$7:$E$7,AQ$7))</f>
        <v>0</v>
      </c>
    </row>
    <row r="18" spans="1:43" ht="14.45" x14ac:dyDescent="0.35">
      <c r="C18" t="s">
        <v>5</v>
      </c>
      <c r="D18">
        <v>0</v>
      </c>
      <c r="E18">
        <v>0</v>
      </c>
      <c r="F18" s="23" t="str">
        <f t="shared" si="0"/>
        <v>n/a</v>
      </c>
      <c r="I18" s="19">
        <f t="shared" si="1"/>
        <v>0</v>
      </c>
      <c r="J18">
        <f>IF($F18="s-curve",$D18+($E18-$D18)*$J$2/(1+EXP($J$3*(COUNT($I$7:J$7)+$J$4))),TREND($D18:$E18,$D$7:$E$7,J$7))</f>
        <v>0</v>
      </c>
      <c r="K18">
        <f>IF($F18="s-curve",$D18+($E18-$D18)*$J$2/(1+EXP($J$3*(COUNT($I$7:K$7)+$J$4))),TREND($D18:$E18,$D$7:$E$7,K$7))</f>
        <v>0</v>
      </c>
      <c r="L18">
        <f>IF($F18="s-curve",$D18+($E18-$D18)*$J$2/(1+EXP($J$3*(COUNT($I$7:L$7)+$J$4))),TREND($D18:$E18,$D$7:$E$7,L$7))</f>
        <v>0</v>
      </c>
      <c r="M18">
        <f>IF($F18="s-curve",$D18+($E18-$D18)*$J$2/(1+EXP($J$3*(COUNT($I$7:M$7)+$J$4))),TREND($D18:$E18,$D$7:$E$7,M$7))</f>
        <v>0</v>
      </c>
      <c r="N18">
        <f>IF($F18="s-curve",$D18+($E18-$D18)*$J$2/(1+EXP($J$3*(COUNT($I$7:N$7)+$J$4))),TREND($D18:$E18,$D$7:$E$7,N$7))</f>
        <v>0</v>
      </c>
      <c r="O18">
        <f>IF($F18="s-curve",$D18+($E18-$D18)*$J$2/(1+EXP($J$3*(COUNT($I$7:O$7)+$J$4))),TREND($D18:$E18,$D$7:$E$7,O$7))</f>
        <v>0</v>
      </c>
      <c r="P18">
        <f>IF($F18="s-curve",$D18+($E18-$D18)*$J$2/(1+EXP($J$3*(COUNT($I$7:P$7)+$J$4))),TREND($D18:$E18,$D$7:$E$7,P$7))</f>
        <v>0</v>
      </c>
      <c r="Q18">
        <f>IF($F18="s-curve",$D18+($E18-$D18)*$J$2/(1+EXP($J$3*(COUNT($I$7:Q$7)+$J$4))),TREND($D18:$E18,$D$7:$E$7,Q$7))</f>
        <v>0</v>
      </c>
      <c r="R18">
        <f>IF($F18="s-curve",$D18+($E18-$D18)*$J$2/(1+EXP($J$3*(COUNT($I$7:R$7)+$J$4))),TREND($D18:$E18,$D$7:$E$7,R$7))</f>
        <v>0</v>
      </c>
      <c r="S18">
        <f>IF($F18="s-curve",$D18+($E18-$D18)*$J$2/(1+EXP($J$3*(COUNT($I$7:S$7)+$J$4))),TREND($D18:$E18,$D$7:$E$7,S$7))</f>
        <v>0</v>
      </c>
      <c r="T18">
        <f>IF($F18="s-curve",$D18+($E18-$D18)*$J$2/(1+EXP($J$3*(COUNT($I$7:T$7)+$J$4))),TREND($D18:$E18,$D$7:$E$7,T$7))</f>
        <v>0</v>
      </c>
      <c r="U18">
        <f>IF($F18="s-curve",$D18+($E18-$D18)*$J$2/(1+EXP($J$3*(COUNT($I$7:U$7)+$J$4))),TREND($D18:$E18,$D$7:$E$7,U$7))</f>
        <v>0</v>
      </c>
      <c r="V18">
        <f>IF($F18="s-curve",$D18+($E18-$D18)*$J$2/(1+EXP($J$3*(COUNT($I$7:V$7)+$J$4))),TREND($D18:$E18,$D$7:$E$7,V$7))</f>
        <v>0</v>
      </c>
      <c r="W18">
        <f>IF($F18="s-curve",$D18+($E18-$D18)*$J$2/(1+EXP($J$3*(COUNT($I$7:W$7)+$J$4))),TREND($D18:$E18,$D$7:$E$7,W$7))</f>
        <v>0</v>
      </c>
      <c r="X18">
        <f>IF($F18="s-curve",$D18+($E18-$D18)*$J$2/(1+EXP($J$3*(COUNT($I$7:X$7)+$J$4))),TREND($D18:$E18,$D$7:$E$7,X$7))</f>
        <v>0</v>
      </c>
      <c r="Y18">
        <f>IF($F18="s-curve",$D18+($E18-$D18)*$J$2/(1+EXP($J$3*(COUNT($I$7:Y$7)+$J$4))),TREND($D18:$E18,$D$7:$E$7,Y$7))</f>
        <v>0</v>
      </c>
      <c r="Z18">
        <f>IF($F18="s-curve",$D18+($E18-$D18)*$J$2/(1+EXP($J$3*(COUNT($I$7:Z$7)+$J$4))),TREND($D18:$E18,$D$7:$E$7,Z$7))</f>
        <v>0</v>
      </c>
      <c r="AA18">
        <f>IF($F18="s-curve",$D18+($E18-$D18)*$J$2/(1+EXP($J$3*(COUNT($I$7:AA$7)+$J$4))),TREND($D18:$E18,$D$7:$E$7,AA$7))</f>
        <v>0</v>
      </c>
      <c r="AB18">
        <f>IF($F18="s-curve",$D18+($E18-$D18)*$J$2/(1+EXP($J$3*(COUNT($I$7:AB$7)+$J$4))),TREND($D18:$E18,$D$7:$E$7,AB$7))</f>
        <v>0</v>
      </c>
      <c r="AC18">
        <f>IF($F18="s-curve",$D18+($E18-$D18)*$J$2/(1+EXP($J$3*(COUNT($I$7:AC$7)+$J$4))),TREND($D18:$E18,$D$7:$E$7,AC$7))</f>
        <v>0</v>
      </c>
      <c r="AD18">
        <f>IF($F18="s-curve",$D18+($E18-$D18)*$J$2/(1+EXP($J$3*(COUNT($I$7:AD$7)+$J$4))),TREND($D18:$E18,$D$7:$E$7,AD$7))</f>
        <v>0</v>
      </c>
      <c r="AE18">
        <f>IF($F18="s-curve",$D18+($E18-$D18)*$J$2/(1+EXP($J$3*(COUNT($I$7:AE$7)+$J$4))),TREND($D18:$E18,$D$7:$E$7,AE$7))</f>
        <v>0</v>
      </c>
      <c r="AF18">
        <f>IF($F18="s-curve",$D18+($E18-$D18)*$J$2/(1+EXP($J$3*(COUNT($I$7:AF$7)+$J$4))),TREND($D18:$E18,$D$7:$E$7,AF$7))</f>
        <v>0</v>
      </c>
      <c r="AG18">
        <f>IF($F18="s-curve",$D18+($E18-$D18)*$J$2/(1+EXP($J$3*(COUNT($I$7:AG$7)+$J$4))),TREND($D18:$E18,$D$7:$E$7,AG$7))</f>
        <v>0</v>
      </c>
      <c r="AH18">
        <f>IF($F18="s-curve",$D18+($E18-$D18)*$J$2/(1+EXP($J$3*(COUNT($I$7:AH$7)+$J$4))),TREND($D18:$E18,$D$7:$E$7,AH$7))</f>
        <v>0</v>
      </c>
      <c r="AI18">
        <f>IF($F18="s-curve",$D18+($E18-$D18)*$J$2/(1+EXP($J$3*(COUNT($I$7:AI$7)+$J$4))),TREND($D18:$E18,$D$7:$E$7,AI$7))</f>
        <v>0</v>
      </c>
      <c r="AJ18">
        <f>IF($F18="s-curve",$D18+($E18-$D18)*$J$2/(1+EXP($J$3*(COUNT($I$7:AJ$7)+$J$4))),TREND($D18:$E18,$D$7:$E$7,AJ$7))</f>
        <v>0</v>
      </c>
      <c r="AK18">
        <f>IF($F18="s-curve",$D18+($E18-$D18)*$J$2/(1+EXP($J$3*(COUNT($I$7:AK$7)+$J$4))),TREND($D18:$E18,$D$7:$E$7,AK$7))</f>
        <v>0</v>
      </c>
      <c r="AL18">
        <f>IF($F18="s-curve",$D18+($E18-$D18)*$J$2/(1+EXP($J$3*(COUNT($I$7:AL$7)+$J$4))),TREND($D18:$E18,$D$7:$E$7,AL$7))</f>
        <v>0</v>
      </c>
      <c r="AM18">
        <f>IF($F18="s-curve",$D18+($E18-$D18)*$J$2/(1+EXP($J$3*(COUNT($I$7:AM$7)+$J$4))),TREND($D18:$E18,$D$7:$E$7,AM$7))</f>
        <v>0</v>
      </c>
      <c r="AN18">
        <f>IF($F18="s-curve",$D18+($E18-$D18)*$J$2/(1+EXP($J$3*(COUNT($I$7:AN$7)+$J$4))),TREND($D18:$E18,$D$7:$E$7,AN$7))</f>
        <v>0</v>
      </c>
      <c r="AO18">
        <f>IF($F18="s-curve",$D18+($E18-$D18)*$J$2/(1+EXP($J$3*(COUNT($I$7:AO$7)+$J$4))),TREND($D18:$E18,$D$7:$E$7,AO$7))</f>
        <v>0</v>
      </c>
      <c r="AP18">
        <f>IF($F18="s-curve",$D18+($E18-$D18)*$J$2/(1+EXP($J$3*(COUNT($I$7:AP$7)+$J$4))),TREND($D18:$E18,$D$7:$E$7,AP$7))</f>
        <v>0</v>
      </c>
      <c r="AQ18">
        <f>IF($F18="s-curve",$D18+($E18-$D18)*$J$2/(1+EXP($J$3*(COUNT($I$7:AQ$7)+$J$4))),TREND($D18:$E18,$D$7:$E$7,AQ$7))</f>
        <v>0</v>
      </c>
    </row>
    <row r="19" spans="1:43" thickBot="1" x14ac:dyDescent="0.4">
      <c r="A19" s="13"/>
      <c r="B19" s="13"/>
      <c r="C19" s="13" t="s">
        <v>6</v>
      </c>
      <c r="D19" s="13">
        <v>1</v>
      </c>
      <c r="E19" s="13">
        <v>1</v>
      </c>
      <c r="F19" s="24" t="str">
        <f>IF(D19=E19,"n/a",IF(OR(C19="battery electric vehicle",C19="natural gas vehicle",C19="plugin hybrid vehicle"),"s-curve","linear"))</f>
        <v>n/a</v>
      </c>
      <c r="G19" s="45"/>
      <c r="I19" s="19">
        <f t="shared" si="1"/>
        <v>1</v>
      </c>
      <c r="J19">
        <f>IF($F19="s-curve",$D19+($E19-$D19)*$J$2/(1+EXP($J$3*(COUNT($I$7:J$7)+$J$4))),TREND($D19:$E19,$D$7:$E$7,J$7))</f>
        <v>1</v>
      </c>
      <c r="K19">
        <f>IF($F19="s-curve",$D19+($E19-$D19)*$J$2/(1+EXP($J$3*(COUNT($I$7:K$7)+$J$4))),TREND($D19:$E19,$D$7:$E$7,K$7))</f>
        <v>1</v>
      </c>
      <c r="L19">
        <f>IF($F19="s-curve",$D19+($E19-$D19)*$J$2/(1+EXP($J$3*(COUNT($I$7:L$7)+$J$4))),TREND($D19:$E19,$D$7:$E$7,L$7))</f>
        <v>1</v>
      </c>
      <c r="M19">
        <f>IF($F19="s-curve",$D19+($E19-$D19)*$J$2/(1+EXP($J$3*(COUNT($I$7:M$7)+$J$4))),TREND($D19:$E19,$D$7:$E$7,M$7))</f>
        <v>1</v>
      </c>
      <c r="N19">
        <f>IF($F19="s-curve",$D19+($E19-$D19)*$J$2/(1+EXP($J$3*(COUNT($I$7:N$7)+$J$4))),TREND($D19:$E19,$D$7:$E$7,N$7))</f>
        <v>1</v>
      </c>
      <c r="O19">
        <f>IF($F19="s-curve",$D19+($E19-$D19)*$J$2/(1+EXP($J$3*(COUNT($I$7:O$7)+$J$4))),TREND($D19:$E19,$D$7:$E$7,O$7))</f>
        <v>1</v>
      </c>
      <c r="P19">
        <f>IF($F19="s-curve",$D19+($E19-$D19)*$J$2/(1+EXP($J$3*(COUNT($I$7:P$7)+$J$4))),TREND($D19:$E19,$D$7:$E$7,P$7))</f>
        <v>1</v>
      </c>
      <c r="Q19">
        <f>IF($F19="s-curve",$D19+($E19-$D19)*$J$2/(1+EXP($J$3*(COUNT($I$7:Q$7)+$J$4))),TREND($D19:$E19,$D$7:$E$7,Q$7))</f>
        <v>1</v>
      </c>
      <c r="R19">
        <f>IF($F19="s-curve",$D19+($E19-$D19)*$J$2/(1+EXP($J$3*(COUNT($I$7:R$7)+$J$4))),TREND($D19:$E19,$D$7:$E$7,R$7))</f>
        <v>1</v>
      </c>
      <c r="S19">
        <f>IF($F19="s-curve",$D19+($E19-$D19)*$J$2/(1+EXP($J$3*(COUNT($I$7:S$7)+$J$4))),TREND($D19:$E19,$D$7:$E$7,S$7))</f>
        <v>1</v>
      </c>
      <c r="T19">
        <f>IF($F19="s-curve",$D19+($E19-$D19)*$J$2/(1+EXP($J$3*(COUNT($I$7:T$7)+$J$4))),TREND($D19:$E19,$D$7:$E$7,T$7))</f>
        <v>1</v>
      </c>
      <c r="U19">
        <f>IF($F19="s-curve",$D19+($E19-$D19)*$J$2/(1+EXP($J$3*(COUNT($I$7:U$7)+$J$4))),TREND($D19:$E19,$D$7:$E$7,U$7))</f>
        <v>1</v>
      </c>
      <c r="V19">
        <f>IF($F19="s-curve",$D19+($E19-$D19)*$J$2/(1+EXP($J$3*(COUNT($I$7:V$7)+$J$4))),TREND($D19:$E19,$D$7:$E$7,V$7))</f>
        <v>1</v>
      </c>
      <c r="W19">
        <f>IF($F19="s-curve",$D19+($E19-$D19)*$J$2/(1+EXP($J$3*(COUNT($I$7:W$7)+$J$4))),TREND($D19:$E19,$D$7:$E$7,W$7))</f>
        <v>1</v>
      </c>
      <c r="X19">
        <f>IF($F19="s-curve",$D19+($E19-$D19)*$J$2/(1+EXP($J$3*(COUNT($I$7:X$7)+$J$4))),TREND($D19:$E19,$D$7:$E$7,X$7))</f>
        <v>1</v>
      </c>
      <c r="Y19">
        <f>IF($F19="s-curve",$D19+($E19-$D19)*$J$2/(1+EXP($J$3*(COUNT($I$7:Y$7)+$J$4))),TREND($D19:$E19,$D$7:$E$7,Y$7))</f>
        <v>1</v>
      </c>
      <c r="Z19">
        <f>IF($F19="s-curve",$D19+($E19-$D19)*$J$2/(1+EXP($J$3*(COUNT($I$7:Z$7)+$J$4))),TREND($D19:$E19,$D$7:$E$7,Z$7))</f>
        <v>1</v>
      </c>
      <c r="AA19">
        <f>IF($F19="s-curve",$D19+($E19-$D19)*$J$2/(1+EXP($J$3*(COUNT($I$7:AA$7)+$J$4))),TREND($D19:$E19,$D$7:$E$7,AA$7))</f>
        <v>1</v>
      </c>
      <c r="AB19">
        <f>IF($F19="s-curve",$D19+($E19-$D19)*$J$2/(1+EXP($J$3*(COUNT($I$7:AB$7)+$J$4))),TREND($D19:$E19,$D$7:$E$7,AB$7))</f>
        <v>1</v>
      </c>
      <c r="AC19">
        <f>IF($F19="s-curve",$D19+($E19-$D19)*$J$2/(1+EXP($J$3*(COUNT($I$7:AC$7)+$J$4))),TREND($D19:$E19,$D$7:$E$7,AC$7))</f>
        <v>1</v>
      </c>
      <c r="AD19">
        <f>IF($F19="s-curve",$D19+($E19-$D19)*$J$2/(1+EXP($J$3*(COUNT($I$7:AD$7)+$J$4))),TREND($D19:$E19,$D$7:$E$7,AD$7))</f>
        <v>1</v>
      </c>
      <c r="AE19">
        <f>IF($F19="s-curve",$D19+($E19-$D19)*$J$2/(1+EXP($J$3*(COUNT($I$7:AE$7)+$J$4))),TREND($D19:$E19,$D$7:$E$7,AE$7))</f>
        <v>1</v>
      </c>
      <c r="AF19">
        <f>IF($F19="s-curve",$D19+($E19-$D19)*$J$2/(1+EXP($J$3*(COUNT($I$7:AF$7)+$J$4))),TREND($D19:$E19,$D$7:$E$7,AF$7))</f>
        <v>1</v>
      </c>
      <c r="AG19">
        <f>IF($F19="s-curve",$D19+($E19-$D19)*$J$2/(1+EXP($J$3*(COUNT($I$7:AG$7)+$J$4))),TREND($D19:$E19,$D$7:$E$7,AG$7))</f>
        <v>1</v>
      </c>
      <c r="AH19">
        <f>IF($F19="s-curve",$D19+($E19-$D19)*$J$2/(1+EXP($J$3*(COUNT($I$7:AH$7)+$J$4))),TREND($D19:$E19,$D$7:$E$7,AH$7))</f>
        <v>1</v>
      </c>
      <c r="AI19">
        <f>IF($F19="s-curve",$D19+($E19-$D19)*$J$2/(1+EXP($J$3*(COUNT($I$7:AI$7)+$J$4))),TREND($D19:$E19,$D$7:$E$7,AI$7))</f>
        <v>1</v>
      </c>
      <c r="AJ19">
        <f>IF($F19="s-curve",$D19+($E19-$D19)*$J$2/(1+EXP($J$3*(COUNT($I$7:AJ$7)+$J$4))),TREND($D19:$E19,$D$7:$E$7,AJ$7))</f>
        <v>1</v>
      </c>
      <c r="AK19">
        <f>IF($F19="s-curve",$D19+($E19-$D19)*$J$2/(1+EXP($J$3*(COUNT($I$7:AK$7)+$J$4))),TREND($D19:$E19,$D$7:$E$7,AK$7))</f>
        <v>1</v>
      </c>
      <c r="AL19">
        <f>IF($F19="s-curve",$D19+($E19-$D19)*$J$2/(1+EXP($J$3*(COUNT($I$7:AL$7)+$J$4))),TREND($D19:$E19,$D$7:$E$7,AL$7))</f>
        <v>1</v>
      </c>
      <c r="AM19">
        <f>IF($F19="s-curve",$D19+($E19-$D19)*$J$2/(1+EXP($J$3*(COUNT($I$7:AM$7)+$J$4))),TREND($D19:$E19,$D$7:$E$7,AM$7))</f>
        <v>1</v>
      </c>
      <c r="AN19">
        <f>IF($F19="s-curve",$D19+($E19-$D19)*$J$2/(1+EXP($J$3*(COUNT($I$7:AN$7)+$J$4))),TREND($D19:$E19,$D$7:$E$7,AN$7))</f>
        <v>1</v>
      </c>
      <c r="AO19">
        <f>IF($F19="s-curve",$D19+($E19-$D19)*$J$2/(1+EXP($J$3*(COUNT($I$7:AO$7)+$J$4))),TREND($D19:$E19,$D$7:$E$7,AO$7))</f>
        <v>1</v>
      </c>
      <c r="AP19">
        <f>IF($F19="s-curve",$D19+($E19-$D19)*$J$2/(1+EXP($J$3*(COUNT($I$7:AP$7)+$J$4))),TREND($D19:$E19,$D$7:$E$7,AP$7))</f>
        <v>1</v>
      </c>
      <c r="AQ19">
        <f>IF($F19="s-curve",$D19+($E19-$D19)*$J$2/(1+EXP($J$3*(COUNT($I$7:AQ$7)+$J$4))),TREND($D19:$E19,$D$7:$E$7,AQ$7))</f>
        <v>1</v>
      </c>
    </row>
    <row r="20" spans="1:43" ht="14.45" x14ac:dyDescent="0.35">
      <c r="A20" t="s">
        <v>11</v>
      </c>
      <c r="B20" t="s">
        <v>13</v>
      </c>
      <c r="C20" t="s">
        <v>1</v>
      </c>
      <c r="D20" s="11">
        <f>0</f>
        <v>0</v>
      </c>
      <c r="E20" s="20">
        <v>1</v>
      </c>
      <c r="F20" s="23" t="str">
        <f t="shared" si="0"/>
        <v>s-curve</v>
      </c>
      <c r="I20" s="19">
        <f t="shared" si="1"/>
        <v>0</v>
      </c>
      <c r="J20">
        <f>IF($F20="s-curve",$D20+($E20-$D20)*$J$2/(1+EXP($J$3*(COUNT($I$7:J$7)+$J$4))),TREND($D20:$E20,$D$7:$E$7,J$7))</f>
        <v>1.098694263059318E-2</v>
      </c>
      <c r="K20">
        <f>IF($F20="s-curve",$D20+($E20-$D20)*$J$2/(1+EXP($J$3*(COUNT($I$7:K$7)+$J$4))),TREND($D20:$E20,$D$7:$E$7,K$7))</f>
        <v>1.4774031693273055E-2</v>
      </c>
      <c r="L20">
        <f>IF($F20="s-curve",$D20+($E20-$D20)*$J$2/(1+EXP($J$3*(COUNT($I$7:L$7)+$J$4))),TREND($D20:$E20,$D$7:$E$7,L$7))</f>
        <v>1.984030573407751E-2</v>
      </c>
      <c r="M20">
        <f>IF($F20="s-curve",$D20+($E20-$D20)*$J$2/(1+EXP($J$3*(COUNT($I$7:M$7)+$J$4))),TREND($D20:$E20,$D$7:$E$7,M$7))</f>
        <v>2.6596993576865863E-2</v>
      </c>
      <c r="N20">
        <f>IF($F20="s-curve",$D20+($E20-$D20)*$J$2/(1+EXP($J$3*(COUNT($I$7:N$7)+$J$4))),TREND($D20:$E20,$D$7:$E$7,N$7))</f>
        <v>3.5571189272636181E-2</v>
      </c>
      <c r="O20">
        <f>IF($F20="s-curve",$D20+($E20-$D20)*$J$2/(1+EXP($J$3*(COUNT($I$7:O$7)+$J$4))),TREND($D20:$E20,$D$7:$E$7,O$7))</f>
        <v>4.7425873177566781E-2</v>
      </c>
      <c r="P20">
        <f>IF($F20="s-curve",$D20+($E20-$D20)*$J$2/(1+EXP($J$3*(COUNT($I$7:P$7)+$J$4))),TREND($D20:$E20,$D$7:$E$7,P$7))</f>
        <v>6.2973356056996513E-2</v>
      </c>
      <c r="Q20">
        <f>IF($F20="s-curve",$D20+($E20-$D20)*$J$2/(1+EXP($J$3*(COUNT($I$7:Q$7)+$J$4))),TREND($D20:$E20,$D$7:$E$7,Q$7))</f>
        <v>8.317269649392238E-2</v>
      </c>
      <c r="R20">
        <f>IF($F20="s-curve",$D20+($E20-$D20)*$J$2/(1+EXP($J$3*(COUNT($I$7:R$7)+$J$4))),TREND($D20:$E20,$D$7:$E$7,R$7))</f>
        <v>0.10909682119561293</v>
      </c>
      <c r="S20">
        <f>IF($F20="s-curve",$D20+($E20-$D20)*$J$2/(1+EXP($J$3*(COUNT($I$7:S$7)+$J$4))),TREND($D20:$E20,$D$7:$E$7,S$7))</f>
        <v>0.14185106490048782</v>
      </c>
      <c r="T20">
        <f>IF($F20="s-curve",$D20+($E20-$D20)*$J$2/(1+EXP($J$3*(COUNT($I$7:T$7)+$J$4))),TREND($D20:$E20,$D$7:$E$7,T$7))</f>
        <v>0.18242552380635635</v>
      </c>
      <c r="U20">
        <f>IF($F20="s-curve",$D20+($E20-$D20)*$J$2/(1+EXP($J$3*(COUNT($I$7:U$7)+$J$4))),TREND($D20:$E20,$D$7:$E$7,U$7))</f>
        <v>0.23147521650098238</v>
      </c>
      <c r="V20">
        <f>IF($F20="s-curve",$D20+($E20-$D20)*$J$2/(1+EXP($J$3*(COUNT($I$7:V$7)+$J$4))),TREND($D20:$E20,$D$7:$E$7,V$7))</f>
        <v>0.28905049737499605</v>
      </c>
      <c r="W20">
        <f>IF($F20="s-curve",$D20+($E20-$D20)*$J$2/(1+EXP($J$3*(COUNT($I$7:W$7)+$J$4))),TREND($D20:$E20,$D$7:$E$7,W$7))</f>
        <v>0.35434369377420455</v>
      </c>
      <c r="X20">
        <f>IF($F20="s-curve",$D20+($E20-$D20)*$J$2/(1+EXP($J$3*(COUNT($I$7:X$7)+$J$4))),TREND($D20:$E20,$D$7:$E$7,X$7))</f>
        <v>0.42555748318834102</v>
      </c>
      <c r="Y20">
        <f>IF($F20="s-curve",$D20+($E20-$D20)*$J$2/(1+EXP($J$3*(COUNT($I$7:Y$7)+$J$4))),TREND($D20:$E20,$D$7:$E$7,Y$7))</f>
        <v>0.5</v>
      </c>
      <c r="Z20">
        <f>IF($F20="s-curve",$D20+($E20-$D20)*$J$2/(1+EXP($J$3*(COUNT($I$7:Z$7)+$J$4))),TREND($D20:$E20,$D$7:$E$7,Z$7))</f>
        <v>0.57444251681165903</v>
      </c>
      <c r="AA20">
        <f>IF($F20="s-curve",$D20+($E20-$D20)*$J$2/(1+EXP($J$3*(COUNT($I$7:AA$7)+$J$4))),TREND($D20:$E20,$D$7:$E$7,AA$7))</f>
        <v>0.6456563062257954</v>
      </c>
      <c r="AB20">
        <f>IF($F20="s-curve",$D20+($E20-$D20)*$J$2/(1+EXP($J$3*(COUNT($I$7:AB$7)+$J$4))),TREND($D20:$E20,$D$7:$E$7,AB$7))</f>
        <v>0.71094950262500389</v>
      </c>
      <c r="AC20">
        <f>IF($F20="s-curve",$D20+($E20-$D20)*$J$2/(1+EXP($J$3*(COUNT($I$7:AC$7)+$J$4))),TREND($D20:$E20,$D$7:$E$7,AC$7))</f>
        <v>0.76852478349901754</v>
      </c>
      <c r="AD20">
        <f>IF($F20="s-curve",$D20+($E20-$D20)*$J$2/(1+EXP($J$3*(COUNT($I$7:AD$7)+$J$4))),TREND($D20:$E20,$D$7:$E$7,AD$7))</f>
        <v>0.81757447619364365</v>
      </c>
      <c r="AE20">
        <f>IF($F20="s-curve",$D20+($E20-$D20)*$J$2/(1+EXP($J$3*(COUNT($I$7:AE$7)+$J$4))),TREND($D20:$E20,$D$7:$E$7,AE$7))</f>
        <v>0.85814893509951229</v>
      </c>
      <c r="AF20">
        <f>IF($F20="s-curve",$D20+($E20-$D20)*$J$2/(1+EXP($J$3*(COUNT($I$7:AF$7)+$J$4))),TREND($D20:$E20,$D$7:$E$7,AF$7))</f>
        <v>0.89090317880438707</v>
      </c>
      <c r="AG20">
        <f>IF($F20="s-curve",$D20+($E20-$D20)*$J$2/(1+EXP($J$3*(COUNT($I$7:AG$7)+$J$4))),TREND($D20:$E20,$D$7:$E$7,AG$7))</f>
        <v>0.91682730350607766</v>
      </c>
      <c r="AH20">
        <f>IF($F20="s-curve",$D20+($E20-$D20)*$J$2/(1+EXP($J$3*(COUNT($I$7:AH$7)+$J$4))),TREND($D20:$E20,$D$7:$E$7,AH$7))</f>
        <v>0.9370266439430035</v>
      </c>
      <c r="AI20">
        <f>IF($F20="s-curve",$D20+($E20-$D20)*$J$2/(1+EXP($J$3*(COUNT($I$7:AI$7)+$J$4))),TREND($D20:$E20,$D$7:$E$7,AI$7))</f>
        <v>0.95257412682243336</v>
      </c>
      <c r="AJ20">
        <f>IF($F20="s-curve",$D20+($E20-$D20)*$J$2/(1+EXP($J$3*(COUNT($I$7:AJ$7)+$J$4))),TREND($D20:$E20,$D$7:$E$7,AJ$7))</f>
        <v>0.96442881072736386</v>
      </c>
      <c r="AK20">
        <f>IF($F20="s-curve",$D20+($E20-$D20)*$J$2/(1+EXP($J$3*(COUNT($I$7:AK$7)+$J$4))),TREND($D20:$E20,$D$7:$E$7,AK$7))</f>
        <v>0.97340300642313404</v>
      </c>
      <c r="AL20">
        <f>IF($F20="s-curve",$D20+($E20-$D20)*$J$2/(1+EXP($J$3*(COUNT($I$7:AL$7)+$J$4))),TREND($D20:$E20,$D$7:$E$7,AL$7))</f>
        <v>0.98015969426592253</v>
      </c>
      <c r="AM20">
        <f>IF($F20="s-curve",$D20+($E20-$D20)*$J$2/(1+EXP($J$3*(COUNT($I$7:AM$7)+$J$4))),TREND($D20:$E20,$D$7:$E$7,AM$7))</f>
        <v>0.98522596830672693</v>
      </c>
      <c r="AN20">
        <f>IF($F20="s-curve",$D20+($E20-$D20)*$J$2/(1+EXP($J$3*(COUNT($I$7:AN$7)+$J$4))),TREND($D20:$E20,$D$7:$E$7,AN$7))</f>
        <v>0.98901305736940681</v>
      </c>
      <c r="AO20">
        <f>IF($F20="s-curve",$D20+($E20-$D20)*$J$2/(1+EXP($J$3*(COUNT($I$7:AO$7)+$J$4))),TREND($D20:$E20,$D$7:$E$7,AO$7))</f>
        <v>0.99183742884684012</v>
      </c>
      <c r="AP20">
        <f>IF($F20="s-curve",$D20+($E20-$D20)*$J$2/(1+EXP($J$3*(COUNT($I$7:AP$7)+$J$4))),TREND($D20:$E20,$D$7:$E$7,AP$7))</f>
        <v>0.99394019850841575</v>
      </c>
      <c r="AQ20">
        <f>IF($F20="s-curve",$D20+($E20-$D20)*$J$2/(1+EXP($J$3*(COUNT($I$7:AQ$7)+$J$4))),TREND($D20:$E20,$D$7:$E$7,AQ$7))</f>
        <v>0.99550372683905886</v>
      </c>
    </row>
    <row r="21" spans="1:43" ht="14.45" x14ac:dyDescent="0.35">
      <c r="C21" t="s">
        <v>2</v>
      </c>
      <c r="D21" s="11">
        <v>0</v>
      </c>
      <c r="E21" s="17">
        <v>0</v>
      </c>
      <c r="F21" s="23">
        <v>0</v>
      </c>
      <c r="I21" s="19">
        <f t="shared" si="1"/>
        <v>0</v>
      </c>
      <c r="J21">
        <f>IF($F21="s-curve",$D21+($E21-$D21)*$J$2/(1+EXP($J$3*(COUNT($I$7:J$7)+$J$4))),TREND($D21:$E21,$D$7:$E$7,J$7))</f>
        <v>0</v>
      </c>
      <c r="K21">
        <f>IF($F21="s-curve",$D21+($E21-$D21)*$J$2/(1+EXP($J$3*(COUNT($I$7:K$7)+$J$4))),TREND($D21:$E21,$D$7:$E$7,K$7))</f>
        <v>0</v>
      </c>
      <c r="L21">
        <f>IF($F21="s-curve",$D21+($E21-$D21)*$J$2/(1+EXP($J$3*(COUNT($I$7:L$7)+$J$4))),TREND($D21:$E21,$D$7:$E$7,L$7))</f>
        <v>0</v>
      </c>
      <c r="M21">
        <f>IF($F21="s-curve",$D21+($E21-$D21)*$J$2/(1+EXP($J$3*(COUNT($I$7:M$7)+$J$4))),TREND($D21:$E21,$D$7:$E$7,M$7))</f>
        <v>0</v>
      </c>
      <c r="N21">
        <f>IF($F21="s-curve",$D21+($E21-$D21)*$J$2/(1+EXP($J$3*(COUNT($I$7:N$7)+$J$4))),TREND($D21:$E21,$D$7:$E$7,N$7))</f>
        <v>0</v>
      </c>
      <c r="O21">
        <f>IF($F21="s-curve",$D21+($E21-$D21)*$J$2/(1+EXP($J$3*(COUNT($I$7:O$7)+$J$4))),TREND($D21:$E21,$D$7:$E$7,O$7))</f>
        <v>0</v>
      </c>
      <c r="P21">
        <f>IF($F21="s-curve",$D21+($E21-$D21)*$J$2/(1+EXP($J$3*(COUNT($I$7:P$7)+$J$4))),TREND($D21:$E21,$D$7:$E$7,P$7))</f>
        <v>0</v>
      </c>
      <c r="Q21">
        <f>IF($F21="s-curve",$D21+($E21-$D21)*$J$2/(1+EXP($J$3*(COUNT($I$7:Q$7)+$J$4))),TREND($D21:$E21,$D$7:$E$7,Q$7))</f>
        <v>0</v>
      </c>
      <c r="R21">
        <f>IF($F21="s-curve",$D21+($E21-$D21)*$J$2/(1+EXP($J$3*(COUNT($I$7:R$7)+$J$4))),TREND($D21:$E21,$D$7:$E$7,R$7))</f>
        <v>0</v>
      </c>
      <c r="S21">
        <f>IF($F21="s-curve",$D21+($E21-$D21)*$J$2/(1+EXP($J$3*(COUNT($I$7:S$7)+$J$4))),TREND($D21:$E21,$D$7:$E$7,S$7))</f>
        <v>0</v>
      </c>
      <c r="T21">
        <f>IF($F21="s-curve",$D21+($E21-$D21)*$J$2/(1+EXP($J$3*(COUNT($I$7:T$7)+$J$4))),TREND($D21:$E21,$D$7:$E$7,T$7))</f>
        <v>0</v>
      </c>
      <c r="U21">
        <f>IF($F21="s-curve",$D21+($E21-$D21)*$J$2/(1+EXP($J$3*(COUNT($I$7:U$7)+$J$4))),TREND($D21:$E21,$D$7:$E$7,U$7))</f>
        <v>0</v>
      </c>
      <c r="V21">
        <f>IF($F21="s-curve",$D21+($E21-$D21)*$J$2/(1+EXP($J$3*(COUNT($I$7:V$7)+$J$4))),TREND($D21:$E21,$D$7:$E$7,V$7))</f>
        <v>0</v>
      </c>
      <c r="W21">
        <f>IF($F21="s-curve",$D21+($E21-$D21)*$J$2/(1+EXP($J$3*(COUNT($I$7:W$7)+$J$4))),TREND($D21:$E21,$D$7:$E$7,W$7))</f>
        <v>0</v>
      </c>
      <c r="X21">
        <f>IF($F21="s-curve",$D21+($E21-$D21)*$J$2/(1+EXP($J$3*(COUNT($I$7:X$7)+$J$4))),TREND($D21:$E21,$D$7:$E$7,X$7))</f>
        <v>0</v>
      </c>
      <c r="Y21">
        <f>IF($F21="s-curve",$D21+($E21-$D21)*$J$2/(1+EXP($J$3*(COUNT($I$7:Y$7)+$J$4))),TREND($D21:$E21,$D$7:$E$7,Y$7))</f>
        <v>0</v>
      </c>
      <c r="Z21">
        <f>IF($F21="s-curve",$D21+($E21-$D21)*$J$2/(1+EXP($J$3*(COUNT($I$7:Z$7)+$J$4))),TREND($D21:$E21,$D$7:$E$7,Z$7))</f>
        <v>0</v>
      </c>
      <c r="AA21">
        <f>IF($F21="s-curve",$D21+($E21-$D21)*$J$2/(1+EXP($J$3*(COUNT($I$7:AA$7)+$J$4))),TREND($D21:$E21,$D$7:$E$7,AA$7))</f>
        <v>0</v>
      </c>
      <c r="AB21">
        <f>IF($F21="s-curve",$D21+($E21-$D21)*$J$2/(1+EXP($J$3*(COUNT($I$7:AB$7)+$J$4))),TREND($D21:$E21,$D$7:$E$7,AB$7))</f>
        <v>0</v>
      </c>
      <c r="AC21">
        <f>IF($F21="s-curve",$D21+($E21-$D21)*$J$2/(1+EXP($J$3*(COUNT($I$7:AC$7)+$J$4))),TREND($D21:$E21,$D$7:$E$7,AC$7))</f>
        <v>0</v>
      </c>
      <c r="AD21">
        <f>IF($F21="s-curve",$D21+($E21-$D21)*$J$2/(1+EXP($J$3*(COUNT($I$7:AD$7)+$J$4))),TREND($D21:$E21,$D$7:$E$7,AD$7))</f>
        <v>0</v>
      </c>
      <c r="AE21">
        <f>IF($F21="s-curve",$D21+($E21-$D21)*$J$2/(1+EXP($J$3*(COUNT($I$7:AE$7)+$J$4))),TREND($D21:$E21,$D$7:$E$7,AE$7))</f>
        <v>0</v>
      </c>
      <c r="AF21">
        <f>IF($F21="s-curve",$D21+($E21-$D21)*$J$2/(1+EXP($J$3*(COUNT($I$7:AF$7)+$J$4))),TREND($D21:$E21,$D$7:$E$7,AF$7))</f>
        <v>0</v>
      </c>
      <c r="AG21">
        <f>IF($F21="s-curve",$D21+($E21-$D21)*$J$2/(1+EXP($J$3*(COUNT($I$7:AG$7)+$J$4))),TREND($D21:$E21,$D$7:$E$7,AG$7))</f>
        <v>0</v>
      </c>
      <c r="AH21">
        <f>IF($F21="s-curve",$D21+($E21-$D21)*$J$2/(1+EXP($J$3*(COUNT($I$7:AH$7)+$J$4))),TREND($D21:$E21,$D$7:$E$7,AH$7))</f>
        <v>0</v>
      </c>
      <c r="AI21">
        <f>IF($F21="s-curve",$D21+($E21-$D21)*$J$2/(1+EXP($J$3*(COUNT($I$7:AI$7)+$J$4))),TREND($D21:$E21,$D$7:$E$7,AI$7))</f>
        <v>0</v>
      </c>
      <c r="AJ21">
        <f>IF($F21="s-curve",$D21+($E21-$D21)*$J$2/(1+EXP($J$3*(COUNT($I$7:AJ$7)+$J$4))),TREND($D21:$E21,$D$7:$E$7,AJ$7))</f>
        <v>0</v>
      </c>
      <c r="AK21">
        <f>IF($F21="s-curve",$D21+($E21-$D21)*$J$2/(1+EXP($J$3*(COUNT($I$7:AK$7)+$J$4))),TREND($D21:$E21,$D$7:$E$7,AK$7))</f>
        <v>0</v>
      </c>
      <c r="AL21">
        <f>IF($F21="s-curve",$D21+($E21-$D21)*$J$2/(1+EXP($J$3*(COUNT($I$7:AL$7)+$J$4))),TREND($D21:$E21,$D$7:$E$7,AL$7))</f>
        <v>0</v>
      </c>
      <c r="AM21">
        <f>IF($F21="s-curve",$D21+($E21-$D21)*$J$2/(1+EXP($J$3*(COUNT($I$7:AM$7)+$J$4))),TREND($D21:$E21,$D$7:$E$7,AM$7))</f>
        <v>0</v>
      </c>
      <c r="AN21">
        <f>IF($F21="s-curve",$D21+($E21-$D21)*$J$2/(1+EXP($J$3*(COUNT($I$7:AN$7)+$J$4))),TREND($D21:$E21,$D$7:$E$7,AN$7))</f>
        <v>0</v>
      </c>
      <c r="AO21">
        <f>IF($F21="s-curve",$D21+($E21-$D21)*$J$2/(1+EXP($J$3*(COUNT($I$7:AO$7)+$J$4))),TREND($D21:$E21,$D$7:$E$7,AO$7))</f>
        <v>0</v>
      </c>
      <c r="AP21">
        <f>IF($F21="s-curve",$D21+($E21-$D21)*$J$2/(1+EXP($J$3*(COUNT($I$7:AP$7)+$J$4))),TREND($D21:$E21,$D$7:$E$7,AP$7))</f>
        <v>0</v>
      </c>
      <c r="AQ21">
        <f>IF($F21="s-curve",$D21+($E21-$D21)*$J$2/(1+EXP($J$3*(COUNT($I$7:AQ$7)+$J$4))),TREND($D21:$E21,$D$7:$E$7,AQ$7))</f>
        <v>0</v>
      </c>
    </row>
    <row r="22" spans="1:43" x14ac:dyDescent="0.25">
      <c r="C22" t="s">
        <v>3</v>
      </c>
      <c r="D22">
        <v>1</v>
      </c>
      <c r="E22" s="17">
        <v>1</v>
      </c>
      <c r="F22" s="23" t="str">
        <f t="shared" si="0"/>
        <v>n/a</v>
      </c>
      <c r="I22" s="19">
        <f t="shared" si="1"/>
        <v>1</v>
      </c>
      <c r="J22">
        <f>IF($F22="s-curve",$D22+($E22-$D22)*$J$2/(1+EXP($J$3*(COUNT($I$7:J$7)+$J$4))),TREND($D22:$E22,$D$7:$E$7,J$7))</f>
        <v>1</v>
      </c>
      <c r="K22">
        <f>IF($F22="s-curve",$D22+($E22-$D22)*$J$2/(1+EXP($J$3*(COUNT($I$7:K$7)+$J$4))),TREND($D22:$E22,$D$7:$E$7,K$7))</f>
        <v>1</v>
      </c>
      <c r="L22">
        <f>IF($F22="s-curve",$D22+($E22-$D22)*$J$2/(1+EXP($J$3*(COUNT($I$7:L$7)+$J$4))),TREND($D22:$E22,$D$7:$E$7,L$7))</f>
        <v>1</v>
      </c>
      <c r="M22">
        <f>IF($F22="s-curve",$D22+($E22-$D22)*$J$2/(1+EXP($J$3*(COUNT($I$7:M$7)+$J$4))),TREND($D22:$E22,$D$7:$E$7,M$7))</f>
        <v>1</v>
      </c>
      <c r="N22">
        <f>IF($F22="s-curve",$D22+($E22-$D22)*$J$2/(1+EXP($J$3*(COUNT($I$7:N$7)+$J$4))),TREND($D22:$E22,$D$7:$E$7,N$7))</f>
        <v>1</v>
      </c>
      <c r="O22">
        <f>IF($F22="s-curve",$D22+($E22-$D22)*$J$2/(1+EXP($J$3*(COUNT($I$7:O$7)+$J$4))),TREND($D22:$E22,$D$7:$E$7,O$7))</f>
        <v>1</v>
      </c>
      <c r="P22">
        <f>IF($F22="s-curve",$D22+($E22-$D22)*$J$2/(1+EXP($J$3*(COUNT($I$7:P$7)+$J$4))),TREND($D22:$E22,$D$7:$E$7,P$7))</f>
        <v>1</v>
      </c>
      <c r="Q22">
        <f>IF($F22="s-curve",$D22+($E22-$D22)*$J$2/(1+EXP($J$3*(COUNT($I$7:Q$7)+$J$4))),TREND($D22:$E22,$D$7:$E$7,Q$7))</f>
        <v>1</v>
      </c>
      <c r="R22">
        <f>IF($F22="s-curve",$D22+($E22-$D22)*$J$2/(1+EXP($J$3*(COUNT($I$7:R$7)+$J$4))),TREND($D22:$E22,$D$7:$E$7,R$7))</f>
        <v>1</v>
      </c>
      <c r="S22">
        <f>IF($F22="s-curve",$D22+($E22-$D22)*$J$2/(1+EXP($J$3*(COUNT($I$7:S$7)+$J$4))),TREND($D22:$E22,$D$7:$E$7,S$7))</f>
        <v>1</v>
      </c>
      <c r="T22">
        <f>IF($F22="s-curve",$D22+($E22-$D22)*$J$2/(1+EXP($J$3*(COUNT($I$7:T$7)+$J$4))),TREND($D22:$E22,$D$7:$E$7,T$7))</f>
        <v>1</v>
      </c>
      <c r="U22">
        <f>IF($F22="s-curve",$D22+($E22-$D22)*$J$2/(1+EXP($J$3*(COUNT($I$7:U$7)+$J$4))),TREND($D22:$E22,$D$7:$E$7,U$7))</f>
        <v>1</v>
      </c>
      <c r="V22">
        <f>IF($F22="s-curve",$D22+($E22-$D22)*$J$2/(1+EXP($J$3*(COUNT($I$7:V$7)+$J$4))),TREND($D22:$E22,$D$7:$E$7,V$7))</f>
        <v>1</v>
      </c>
      <c r="W22">
        <f>IF($F22="s-curve",$D22+($E22-$D22)*$J$2/(1+EXP($J$3*(COUNT($I$7:W$7)+$J$4))),TREND($D22:$E22,$D$7:$E$7,W$7))</f>
        <v>1</v>
      </c>
      <c r="X22">
        <f>IF($F22="s-curve",$D22+($E22-$D22)*$J$2/(1+EXP($J$3*(COUNT($I$7:X$7)+$J$4))),TREND($D22:$E22,$D$7:$E$7,X$7))</f>
        <v>1</v>
      </c>
      <c r="Y22">
        <f>IF($F22="s-curve",$D22+($E22-$D22)*$J$2/(1+EXP($J$3*(COUNT($I$7:Y$7)+$J$4))),TREND($D22:$E22,$D$7:$E$7,Y$7))</f>
        <v>1</v>
      </c>
      <c r="Z22">
        <f>IF($F22="s-curve",$D22+($E22-$D22)*$J$2/(1+EXP($J$3*(COUNT($I$7:Z$7)+$J$4))),TREND($D22:$E22,$D$7:$E$7,Z$7))</f>
        <v>1</v>
      </c>
      <c r="AA22">
        <f>IF($F22="s-curve",$D22+($E22-$D22)*$J$2/(1+EXP($J$3*(COUNT($I$7:AA$7)+$J$4))),TREND($D22:$E22,$D$7:$E$7,AA$7))</f>
        <v>1</v>
      </c>
      <c r="AB22">
        <f>IF($F22="s-curve",$D22+($E22-$D22)*$J$2/(1+EXP($J$3*(COUNT($I$7:AB$7)+$J$4))),TREND($D22:$E22,$D$7:$E$7,AB$7))</f>
        <v>1</v>
      </c>
      <c r="AC22">
        <f>IF($F22="s-curve",$D22+($E22-$D22)*$J$2/(1+EXP($J$3*(COUNT($I$7:AC$7)+$J$4))),TREND($D22:$E22,$D$7:$E$7,AC$7))</f>
        <v>1</v>
      </c>
      <c r="AD22">
        <f>IF($F22="s-curve",$D22+($E22-$D22)*$J$2/(1+EXP($J$3*(COUNT($I$7:AD$7)+$J$4))),TREND($D22:$E22,$D$7:$E$7,AD$7))</f>
        <v>1</v>
      </c>
      <c r="AE22">
        <f>IF($F22="s-curve",$D22+($E22-$D22)*$J$2/(1+EXP($J$3*(COUNT($I$7:AE$7)+$J$4))),TREND($D22:$E22,$D$7:$E$7,AE$7))</f>
        <v>1</v>
      </c>
      <c r="AF22">
        <f>IF($F22="s-curve",$D22+($E22-$D22)*$J$2/(1+EXP($J$3*(COUNT($I$7:AF$7)+$J$4))),TREND($D22:$E22,$D$7:$E$7,AF$7))</f>
        <v>1</v>
      </c>
      <c r="AG22">
        <f>IF($F22="s-curve",$D22+($E22-$D22)*$J$2/(1+EXP($J$3*(COUNT($I$7:AG$7)+$J$4))),TREND($D22:$E22,$D$7:$E$7,AG$7))</f>
        <v>1</v>
      </c>
      <c r="AH22">
        <f>IF($F22="s-curve",$D22+($E22-$D22)*$J$2/(1+EXP($J$3*(COUNT($I$7:AH$7)+$J$4))),TREND($D22:$E22,$D$7:$E$7,AH$7))</f>
        <v>1</v>
      </c>
      <c r="AI22">
        <f>IF($F22="s-curve",$D22+($E22-$D22)*$J$2/(1+EXP($J$3*(COUNT($I$7:AI$7)+$J$4))),TREND($D22:$E22,$D$7:$E$7,AI$7))</f>
        <v>1</v>
      </c>
      <c r="AJ22">
        <f>IF($F22="s-curve",$D22+($E22-$D22)*$J$2/(1+EXP($J$3*(COUNT($I$7:AJ$7)+$J$4))),TREND($D22:$E22,$D$7:$E$7,AJ$7))</f>
        <v>1</v>
      </c>
      <c r="AK22">
        <f>IF($F22="s-curve",$D22+($E22-$D22)*$J$2/(1+EXP($J$3*(COUNT($I$7:AK$7)+$J$4))),TREND($D22:$E22,$D$7:$E$7,AK$7))</f>
        <v>1</v>
      </c>
      <c r="AL22">
        <f>IF($F22="s-curve",$D22+($E22-$D22)*$J$2/(1+EXP($J$3*(COUNT($I$7:AL$7)+$J$4))),TREND($D22:$E22,$D$7:$E$7,AL$7))</f>
        <v>1</v>
      </c>
      <c r="AM22">
        <f>IF($F22="s-curve",$D22+($E22-$D22)*$J$2/(1+EXP($J$3*(COUNT($I$7:AM$7)+$J$4))),TREND($D22:$E22,$D$7:$E$7,AM$7))</f>
        <v>1</v>
      </c>
      <c r="AN22">
        <f>IF($F22="s-curve",$D22+($E22-$D22)*$J$2/(1+EXP($J$3*(COUNT($I$7:AN$7)+$J$4))),TREND($D22:$E22,$D$7:$E$7,AN$7))</f>
        <v>1</v>
      </c>
      <c r="AO22">
        <f>IF($F22="s-curve",$D22+($E22-$D22)*$J$2/(1+EXP($J$3*(COUNT($I$7:AO$7)+$J$4))),TREND($D22:$E22,$D$7:$E$7,AO$7))</f>
        <v>1</v>
      </c>
      <c r="AP22">
        <f>IF($F22="s-curve",$D22+($E22-$D22)*$J$2/(1+EXP($J$3*(COUNT($I$7:AP$7)+$J$4))),TREND($D22:$E22,$D$7:$E$7,AP$7))</f>
        <v>1</v>
      </c>
      <c r="AQ22">
        <f>IF($F22="s-curve",$D22+($E22-$D22)*$J$2/(1+EXP($J$3*(COUNT($I$7:AQ$7)+$J$4))),TREND($D22:$E22,$D$7:$E$7,AQ$7))</f>
        <v>1</v>
      </c>
    </row>
    <row r="23" spans="1:43" x14ac:dyDescent="0.25">
      <c r="C23" t="s">
        <v>4</v>
      </c>
      <c r="D23" s="11">
        <v>0</v>
      </c>
      <c r="E23" s="17">
        <v>0</v>
      </c>
      <c r="F23" s="23">
        <v>0</v>
      </c>
      <c r="I23" s="19">
        <f t="shared" si="1"/>
        <v>0</v>
      </c>
      <c r="J23">
        <f>IF($F23="s-curve",$D23+($E23-$D23)*$J$2/(1+EXP($J$3*(COUNT($I$7:J$7)+$J$4))),TREND($D23:$E23,$D$7:$E$7,J$7))</f>
        <v>0</v>
      </c>
      <c r="K23">
        <f>IF($F23="s-curve",$D23+($E23-$D23)*$J$2/(1+EXP($J$3*(COUNT($I$7:K$7)+$J$4))),TREND($D23:$E23,$D$7:$E$7,K$7))</f>
        <v>0</v>
      </c>
      <c r="L23">
        <f>IF($F23="s-curve",$D23+($E23-$D23)*$J$2/(1+EXP($J$3*(COUNT($I$7:L$7)+$J$4))),TREND($D23:$E23,$D$7:$E$7,L$7))</f>
        <v>0</v>
      </c>
      <c r="M23">
        <f>IF($F23="s-curve",$D23+($E23-$D23)*$J$2/(1+EXP($J$3*(COUNT($I$7:M$7)+$J$4))),TREND($D23:$E23,$D$7:$E$7,M$7))</f>
        <v>0</v>
      </c>
      <c r="N23">
        <f>IF($F23="s-curve",$D23+($E23-$D23)*$J$2/(1+EXP($J$3*(COUNT($I$7:N$7)+$J$4))),TREND($D23:$E23,$D$7:$E$7,N$7))</f>
        <v>0</v>
      </c>
      <c r="O23">
        <f>IF($F23="s-curve",$D23+($E23-$D23)*$J$2/(1+EXP($J$3*(COUNT($I$7:O$7)+$J$4))),TREND($D23:$E23,$D$7:$E$7,O$7))</f>
        <v>0</v>
      </c>
      <c r="P23">
        <f>IF($F23="s-curve",$D23+($E23-$D23)*$J$2/(1+EXP($J$3*(COUNT($I$7:P$7)+$J$4))),TREND($D23:$E23,$D$7:$E$7,P$7))</f>
        <v>0</v>
      </c>
      <c r="Q23">
        <f>IF($F23="s-curve",$D23+($E23-$D23)*$J$2/(1+EXP($J$3*(COUNT($I$7:Q$7)+$J$4))),TREND($D23:$E23,$D$7:$E$7,Q$7))</f>
        <v>0</v>
      </c>
      <c r="R23">
        <f>IF($F23="s-curve",$D23+($E23-$D23)*$J$2/(1+EXP($J$3*(COUNT($I$7:R$7)+$J$4))),TREND($D23:$E23,$D$7:$E$7,R$7))</f>
        <v>0</v>
      </c>
      <c r="S23">
        <f>IF($F23="s-curve",$D23+($E23-$D23)*$J$2/(1+EXP($J$3*(COUNT($I$7:S$7)+$J$4))),TREND($D23:$E23,$D$7:$E$7,S$7))</f>
        <v>0</v>
      </c>
      <c r="T23">
        <f>IF($F23="s-curve",$D23+($E23-$D23)*$J$2/(1+EXP($J$3*(COUNT($I$7:T$7)+$J$4))),TREND($D23:$E23,$D$7:$E$7,T$7))</f>
        <v>0</v>
      </c>
      <c r="U23">
        <f>IF($F23="s-curve",$D23+($E23-$D23)*$J$2/(1+EXP($J$3*(COUNT($I$7:U$7)+$J$4))),TREND($D23:$E23,$D$7:$E$7,U$7))</f>
        <v>0</v>
      </c>
      <c r="V23">
        <f>IF($F23="s-curve",$D23+($E23-$D23)*$J$2/(1+EXP($J$3*(COUNT($I$7:V$7)+$J$4))),TREND($D23:$E23,$D$7:$E$7,V$7))</f>
        <v>0</v>
      </c>
      <c r="W23">
        <f>IF($F23="s-curve",$D23+($E23-$D23)*$J$2/(1+EXP($J$3*(COUNT($I$7:W$7)+$J$4))),TREND($D23:$E23,$D$7:$E$7,W$7))</f>
        <v>0</v>
      </c>
      <c r="X23">
        <f>IF($F23="s-curve",$D23+($E23-$D23)*$J$2/(1+EXP($J$3*(COUNT($I$7:X$7)+$J$4))),TREND($D23:$E23,$D$7:$E$7,X$7))</f>
        <v>0</v>
      </c>
      <c r="Y23">
        <f>IF($F23="s-curve",$D23+($E23-$D23)*$J$2/(1+EXP($J$3*(COUNT($I$7:Y$7)+$J$4))),TREND($D23:$E23,$D$7:$E$7,Y$7))</f>
        <v>0</v>
      </c>
      <c r="Z23">
        <f>IF($F23="s-curve",$D23+($E23-$D23)*$J$2/(1+EXP($J$3*(COUNT($I$7:Z$7)+$J$4))),TREND($D23:$E23,$D$7:$E$7,Z$7))</f>
        <v>0</v>
      </c>
      <c r="AA23">
        <f>IF($F23="s-curve",$D23+($E23-$D23)*$J$2/(1+EXP($J$3*(COUNT($I$7:AA$7)+$J$4))),TREND($D23:$E23,$D$7:$E$7,AA$7))</f>
        <v>0</v>
      </c>
      <c r="AB23">
        <f>IF($F23="s-curve",$D23+($E23-$D23)*$J$2/(1+EXP($J$3*(COUNT($I$7:AB$7)+$J$4))),TREND($D23:$E23,$D$7:$E$7,AB$7))</f>
        <v>0</v>
      </c>
      <c r="AC23">
        <f>IF($F23="s-curve",$D23+($E23-$D23)*$J$2/(1+EXP($J$3*(COUNT($I$7:AC$7)+$J$4))),TREND($D23:$E23,$D$7:$E$7,AC$7))</f>
        <v>0</v>
      </c>
      <c r="AD23">
        <f>IF($F23="s-curve",$D23+($E23-$D23)*$J$2/(1+EXP($J$3*(COUNT($I$7:AD$7)+$J$4))),TREND($D23:$E23,$D$7:$E$7,AD$7))</f>
        <v>0</v>
      </c>
      <c r="AE23">
        <f>IF($F23="s-curve",$D23+($E23-$D23)*$J$2/(1+EXP($J$3*(COUNT($I$7:AE$7)+$J$4))),TREND($D23:$E23,$D$7:$E$7,AE$7))</f>
        <v>0</v>
      </c>
      <c r="AF23">
        <f>IF($F23="s-curve",$D23+($E23-$D23)*$J$2/(1+EXP($J$3*(COUNT($I$7:AF$7)+$J$4))),TREND($D23:$E23,$D$7:$E$7,AF$7))</f>
        <v>0</v>
      </c>
      <c r="AG23">
        <f>IF($F23="s-curve",$D23+($E23-$D23)*$J$2/(1+EXP($J$3*(COUNT($I$7:AG$7)+$J$4))),TREND($D23:$E23,$D$7:$E$7,AG$7))</f>
        <v>0</v>
      </c>
      <c r="AH23">
        <f>IF($F23="s-curve",$D23+($E23-$D23)*$J$2/(1+EXP($J$3*(COUNT($I$7:AH$7)+$J$4))),TREND($D23:$E23,$D$7:$E$7,AH$7))</f>
        <v>0</v>
      </c>
      <c r="AI23">
        <f>IF($F23="s-curve",$D23+($E23-$D23)*$J$2/(1+EXP($J$3*(COUNT($I$7:AI$7)+$J$4))),TREND($D23:$E23,$D$7:$E$7,AI$7))</f>
        <v>0</v>
      </c>
      <c r="AJ23">
        <f>IF($F23="s-curve",$D23+($E23-$D23)*$J$2/(1+EXP($J$3*(COUNT($I$7:AJ$7)+$J$4))),TREND($D23:$E23,$D$7:$E$7,AJ$7))</f>
        <v>0</v>
      </c>
      <c r="AK23">
        <f>IF($F23="s-curve",$D23+($E23-$D23)*$J$2/(1+EXP($J$3*(COUNT($I$7:AK$7)+$J$4))),TREND($D23:$E23,$D$7:$E$7,AK$7))</f>
        <v>0</v>
      </c>
      <c r="AL23">
        <f>IF($F23="s-curve",$D23+($E23-$D23)*$J$2/(1+EXP($J$3*(COUNT($I$7:AL$7)+$J$4))),TREND($D23:$E23,$D$7:$E$7,AL$7))</f>
        <v>0</v>
      </c>
      <c r="AM23">
        <f>IF($F23="s-curve",$D23+($E23-$D23)*$J$2/(1+EXP($J$3*(COUNT($I$7:AM$7)+$J$4))),TREND($D23:$E23,$D$7:$E$7,AM$7))</f>
        <v>0</v>
      </c>
      <c r="AN23">
        <f>IF($F23="s-curve",$D23+($E23-$D23)*$J$2/(1+EXP($J$3*(COUNT($I$7:AN$7)+$J$4))),TREND($D23:$E23,$D$7:$E$7,AN$7))</f>
        <v>0</v>
      </c>
      <c r="AO23">
        <f>IF($F23="s-curve",$D23+($E23-$D23)*$J$2/(1+EXP($J$3*(COUNT($I$7:AO$7)+$J$4))),TREND($D23:$E23,$D$7:$E$7,AO$7))</f>
        <v>0</v>
      </c>
      <c r="AP23">
        <f>IF($F23="s-curve",$D23+($E23-$D23)*$J$2/(1+EXP($J$3*(COUNT($I$7:AP$7)+$J$4))),TREND($D23:$E23,$D$7:$E$7,AP$7))</f>
        <v>0</v>
      </c>
      <c r="AQ23">
        <f>IF($F23="s-curve",$D23+($E23-$D23)*$J$2/(1+EXP($J$3*(COUNT($I$7:AQ$7)+$J$4))),TREND($D23:$E23,$D$7:$E$7,AQ$7))</f>
        <v>0</v>
      </c>
    </row>
    <row r="24" spans="1:43" x14ac:dyDescent="0.25">
      <c r="C24" t="s">
        <v>5</v>
      </c>
      <c r="D24" s="11">
        <v>0</v>
      </c>
      <c r="E24" s="17">
        <v>0</v>
      </c>
      <c r="F24" s="23">
        <v>0</v>
      </c>
      <c r="I24" s="19">
        <f t="shared" si="1"/>
        <v>0</v>
      </c>
      <c r="J24">
        <f>IF($F24="s-curve",$D24+($E24-$D24)*$J$2/(1+EXP($J$3*(COUNT($I$7:J$7)+$J$4))),TREND($D24:$E24,$D$7:$E$7,J$7))</f>
        <v>0</v>
      </c>
      <c r="K24">
        <f>IF($F24="s-curve",$D24+($E24-$D24)*$J$2/(1+EXP($J$3*(COUNT($I$7:K$7)+$J$4))),TREND($D24:$E24,$D$7:$E$7,K$7))</f>
        <v>0</v>
      </c>
      <c r="L24">
        <f>IF($F24="s-curve",$D24+($E24-$D24)*$J$2/(1+EXP($J$3*(COUNT($I$7:L$7)+$J$4))),TREND($D24:$E24,$D$7:$E$7,L$7))</f>
        <v>0</v>
      </c>
      <c r="M24">
        <f>IF($F24="s-curve",$D24+($E24-$D24)*$J$2/(1+EXP($J$3*(COUNT($I$7:M$7)+$J$4))),TREND($D24:$E24,$D$7:$E$7,M$7))</f>
        <v>0</v>
      </c>
      <c r="N24">
        <f>IF($F24="s-curve",$D24+($E24-$D24)*$J$2/(1+EXP($J$3*(COUNT($I$7:N$7)+$J$4))),TREND($D24:$E24,$D$7:$E$7,N$7))</f>
        <v>0</v>
      </c>
      <c r="O24">
        <f>IF($F24="s-curve",$D24+($E24-$D24)*$J$2/(1+EXP($J$3*(COUNT($I$7:O$7)+$J$4))),TREND($D24:$E24,$D$7:$E$7,O$7))</f>
        <v>0</v>
      </c>
      <c r="P24">
        <f>IF($F24="s-curve",$D24+($E24-$D24)*$J$2/(1+EXP($J$3*(COUNT($I$7:P$7)+$J$4))),TREND($D24:$E24,$D$7:$E$7,P$7))</f>
        <v>0</v>
      </c>
      <c r="Q24">
        <f>IF($F24="s-curve",$D24+($E24-$D24)*$J$2/(1+EXP($J$3*(COUNT($I$7:Q$7)+$J$4))),TREND($D24:$E24,$D$7:$E$7,Q$7))</f>
        <v>0</v>
      </c>
      <c r="R24">
        <f>IF($F24="s-curve",$D24+($E24-$D24)*$J$2/(1+EXP($J$3*(COUNT($I$7:R$7)+$J$4))),TREND($D24:$E24,$D$7:$E$7,R$7))</f>
        <v>0</v>
      </c>
      <c r="S24">
        <f>IF($F24="s-curve",$D24+($E24-$D24)*$J$2/(1+EXP($J$3*(COUNT($I$7:S$7)+$J$4))),TREND($D24:$E24,$D$7:$E$7,S$7))</f>
        <v>0</v>
      </c>
      <c r="T24">
        <f>IF($F24="s-curve",$D24+($E24-$D24)*$J$2/(1+EXP($J$3*(COUNT($I$7:T$7)+$J$4))),TREND($D24:$E24,$D$7:$E$7,T$7))</f>
        <v>0</v>
      </c>
      <c r="U24">
        <f>IF($F24="s-curve",$D24+($E24-$D24)*$J$2/(1+EXP($J$3*(COUNT($I$7:U$7)+$J$4))),TREND($D24:$E24,$D$7:$E$7,U$7))</f>
        <v>0</v>
      </c>
      <c r="V24">
        <f>IF($F24="s-curve",$D24+($E24-$D24)*$J$2/(1+EXP($J$3*(COUNT($I$7:V$7)+$J$4))),TREND($D24:$E24,$D$7:$E$7,V$7))</f>
        <v>0</v>
      </c>
      <c r="W24">
        <f>IF($F24="s-curve",$D24+($E24-$D24)*$J$2/(1+EXP($J$3*(COUNT($I$7:W$7)+$J$4))),TREND($D24:$E24,$D$7:$E$7,W$7))</f>
        <v>0</v>
      </c>
      <c r="X24">
        <f>IF($F24="s-curve",$D24+($E24-$D24)*$J$2/(1+EXP($J$3*(COUNT($I$7:X$7)+$J$4))),TREND($D24:$E24,$D$7:$E$7,X$7))</f>
        <v>0</v>
      </c>
      <c r="Y24">
        <f>IF($F24="s-curve",$D24+($E24-$D24)*$J$2/(1+EXP($J$3*(COUNT($I$7:Y$7)+$J$4))),TREND($D24:$E24,$D$7:$E$7,Y$7))</f>
        <v>0</v>
      </c>
      <c r="Z24">
        <f>IF($F24="s-curve",$D24+($E24-$D24)*$J$2/(1+EXP($J$3*(COUNT($I$7:Z$7)+$J$4))),TREND($D24:$E24,$D$7:$E$7,Z$7))</f>
        <v>0</v>
      </c>
      <c r="AA24">
        <f>IF($F24="s-curve",$D24+($E24-$D24)*$J$2/(1+EXP($J$3*(COUNT($I$7:AA$7)+$J$4))),TREND($D24:$E24,$D$7:$E$7,AA$7))</f>
        <v>0</v>
      </c>
      <c r="AB24">
        <f>IF($F24="s-curve",$D24+($E24-$D24)*$J$2/(1+EXP($J$3*(COUNT($I$7:AB$7)+$J$4))),TREND($D24:$E24,$D$7:$E$7,AB$7))</f>
        <v>0</v>
      </c>
      <c r="AC24">
        <f>IF($F24="s-curve",$D24+($E24-$D24)*$J$2/(1+EXP($J$3*(COUNT($I$7:AC$7)+$J$4))),TREND($D24:$E24,$D$7:$E$7,AC$7))</f>
        <v>0</v>
      </c>
      <c r="AD24">
        <f>IF($F24="s-curve",$D24+($E24-$D24)*$J$2/(1+EXP($J$3*(COUNT($I$7:AD$7)+$J$4))),TREND($D24:$E24,$D$7:$E$7,AD$7))</f>
        <v>0</v>
      </c>
      <c r="AE24">
        <f>IF($F24="s-curve",$D24+($E24-$D24)*$J$2/(1+EXP($J$3*(COUNT($I$7:AE$7)+$J$4))),TREND($D24:$E24,$D$7:$E$7,AE$7))</f>
        <v>0</v>
      </c>
      <c r="AF24">
        <f>IF($F24="s-curve",$D24+($E24-$D24)*$J$2/(1+EXP($J$3*(COUNT($I$7:AF$7)+$J$4))),TREND($D24:$E24,$D$7:$E$7,AF$7))</f>
        <v>0</v>
      </c>
      <c r="AG24">
        <f>IF($F24="s-curve",$D24+($E24-$D24)*$J$2/(1+EXP($J$3*(COUNT($I$7:AG$7)+$J$4))),TREND($D24:$E24,$D$7:$E$7,AG$7))</f>
        <v>0</v>
      </c>
      <c r="AH24">
        <f>IF($F24="s-curve",$D24+($E24-$D24)*$J$2/(1+EXP($J$3*(COUNT($I$7:AH$7)+$J$4))),TREND($D24:$E24,$D$7:$E$7,AH$7))</f>
        <v>0</v>
      </c>
      <c r="AI24">
        <f>IF($F24="s-curve",$D24+($E24-$D24)*$J$2/(1+EXP($J$3*(COUNT($I$7:AI$7)+$J$4))),TREND($D24:$E24,$D$7:$E$7,AI$7))</f>
        <v>0</v>
      </c>
      <c r="AJ24">
        <f>IF($F24="s-curve",$D24+($E24-$D24)*$J$2/(1+EXP($J$3*(COUNT($I$7:AJ$7)+$J$4))),TREND($D24:$E24,$D$7:$E$7,AJ$7))</f>
        <v>0</v>
      </c>
      <c r="AK24">
        <f>IF($F24="s-curve",$D24+($E24-$D24)*$J$2/(1+EXP($J$3*(COUNT($I$7:AK$7)+$J$4))),TREND($D24:$E24,$D$7:$E$7,AK$7))</f>
        <v>0</v>
      </c>
      <c r="AL24">
        <f>IF($F24="s-curve",$D24+($E24-$D24)*$J$2/(1+EXP($J$3*(COUNT($I$7:AL$7)+$J$4))),TREND($D24:$E24,$D$7:$E$7,AL$7))</f>
        <v>0</v>
      </c>
      <c r="AM24">
        <f>IF($F24="s-curve",$D24+($E24-$D24)*$J$2/(1+EXP($J$3*(COUNT($I$7:AM$7)+$J$4))),TREND($D24:$E24,$D$7:$E$7,AM$7))</f>
        <v>0</v>
      </c>
      <c r="AN24">
        <f>IF($F24="s-curve",$D24+($E24-$D24)*$J$2/(1+EXP($J$3*(COUNT($I$7:AN$7)+$J$4))),TREND($D24:$E24,$D$7:$E$7,AN$7))</f>
        <v>0</v>
      </c>
      <c r="AO24">
        <f>IF($F24="s-curve",$D24+($E24-$D24)*$J$2/(1+EXP($J$3*(COUNT($I$7:AO$7)+$J$4))),TREND($D24:$E24,$D$7:$E$7,AO$7))</f>
        <v>0</v>
      </c>
      <c r="AP24">
        <f>IF($F24="s-curve",$D24+($E24-$D24)*$J$2/(1+EXP($J$3*(COUNT($I$7:AP$7)+$J$4))),TREND($D24:$E24,$D$7:$E$7,AP$7))</f>
        <v>0</v>
      </c>
      <c r="AQ24">
        <f>IF($F24="s-curve",$D24+($E24-$D24)*$J$2/(1+EXP($J$3*(COUNT($I$7:AQ$7)+$J$4))),TREND($D24:$E24,$D$7:$E$7,AQ$7))</f>
        <v>0</v>
      </c>
    </row>
    <row r="25" spans="1:43" ht="15.75" thickBot="1" x14ac:dyDescent="0.3">
      <c r="A25" s="21"/>
      <c r="B25" s="13"/>
      <c r="C25" s="13" t="s">
        <v>6</v>
      </c>
      <c r="D25" s="13">
        <v>0</v>
      </c>
      <c r="E25" s="13">
        <v>0</v>
      </c>
      <c r="F25" s="24" t="str">
        <f t="shared" ref="F25:F31" si="2">IF(D25=E25,"n/a",IF(OR(C25="battery electric vehicle",C25="natural gas vehicle",C25="plugin hybrid vehicle"),"s-curve","linear"))</f>
        <v>n/a</v>
      </c>
      <c r="G25" s="45"/>
      <c r="I25" s="19">
        <f t="shared" si="1"/>
        <v>0</v>
      </c>
      <c r="J25">
        <f>IF($F25="s-curve",$D25+($E25-$D25)*$J$2/(1+EXP($J$3*(COUNT($I$7:J$7)+$J$4))),TREND($D25:$E25,$D$7:$E$7,J$7))</f>
        <v>0</v>
      </c>
      <c r="K25">
        <f>IF($F25="s-curve",$D25+($E25-$D25)*$J$2/(1+EXP($J$3*(COUNT($I$7:K$7)+$J$4))),TREND($D25:$E25,$D$7:$E$7,K$7))</f>
        <v>0</v>
      </c>
      <c r="L25">
        <f>IF($F25="s-curve",$D25+($E25-$D25)*$J$2/(1+EXP($J$3*(COUNT($I$7:L$7)+$J$4))),TREND($D25:$E25,$D$7:$E$7,L$7))</f>
        <v>0</v>
      </c>
      <c r="M25">
        <f>IF($F25="s-curve",$D25+($E25-$D25)*$J$2/(1+EXP($J$3*(COUNT($I$7:M$7)+$J$4))),TREND($D25:$E25,$D$7:$E$7,M$7))</f>
        <v>0</v>
      </c>
      <c r="N25">
        <f>IF($F25="s-curve",$D25+($E25-$D25)*$J$2/(1+EXP($J$3*(COUNT($I$7:N$7)+$J$4))),TREND($D25:$E25,$D$7:$E$7,N$7))</f>
        <v>0</v>
      </c>
      <c r="O25">
        <f>IF($F25="s-curve",$D25+($E25-$D25)*$J$2/(1+EXP($J$3*(COUNT($I$7:O$7)+$J$4))),TREND($D25:$E25,$D$7:$E$7,O$7))</f>
        <v>0</v>
      </c>
      <c r="P25">
        <f>IF($F25="s-curve",$D25+($E25-$D25)*$J$2/(1+EXP($J$3*(COUNT($I$7:P$7)+$J$4))),TREND($D25:$E25,$D$7:$E$7,P$7))</f>
        <v>0</v>
      </c>
      <c r="Q25">
        <f>IF($F25="s-curve",$D25+($E25-$D25)*$J$2/(1+EXP($J$3*(COUNT($I$7:Q$7)+$J$4))),TREND($D25:$E25,$D$7:$E$7,Q$7))</f>
        <v>0</v>
      </c>
      <c r="R25">
        <f>IF($F25="s-curve",$D25+($E25-$D25)*$J$2/(1+EXP($J$3*(COUNT($I$7:R$7)+$J$4))),TREND($D25:$E25,$D$7:$E$7,R$7))</f>
        <v>0</v>
      </c>
      <c r="S25">
        <f>IF($F25="s-curve",$D25+($E25-$D25)*$J$2/(1+EXP($J$3*(COUNT($I$7:S$7)+$J$4))),TREND($D25:$E25,$D$7:$E$7,S$7))</f>
        <v>0</v>
      </c>
      <c r="T25">
        <f>IF($F25="s-curve",$D25+($E25-$D25)*$J$2/(1+EXP($J$3*(COUNT($I$7:T$7)+$J$4))),TREND($D25:$E25,$D$7:$E$7,T$7))</f>
        <v>0</v>
      </c>
      <c r="U25">
        <f>IF($F25="s-curve",$D25+($E25-$D25)*$J$2/(1+EXP($J$3*(COUNT($I$7:U$7)+$J$4))),TREND($D25:$E25,$D$7:$E$7,U$7))</f>
        <v>0</v>
      </c>
      <c r="V25">
        <f>IF($F25="s-curve",$D25+($E25-$D25)*$J$2/(1+EXP($J$3*(COUNT($I$7:V$7)+$J$4))),TREND($D25:$E25,$D$7:$E$7,V$7))</f>
        <v>0</v>
      </c>
      <c r="W25">
        <f>IF($F25="s-curve",$D25+($E25-$D25)*$J$2/(1+EXP($J$3*(COUNT($I$7:W$7)+$J$4))),TREND($D25:$E25,$D$7:$E$7,W$7))</f>
        <v>0</v>
      </c>
      <c r="X25">
        <f>IF($F25="s-curve",$D25+($E25-$D25)*$J$2/(1+EXP($J$3*(COUNT($I$7:X$7)+$J$4))),TREND($D25:$E25,$D$7:$E$7,X$7))</f>
        <v>0</v>
      </c>
      <c r="Y25">
        <f>IF($F25="s-curve",$D25+($E25-$D25)*$J$2/(1+EXP($J$3*(COUNT($I$7:Y$7)+$J$4))),TREND($D25:$E25,$D$7:$E$7,Y$7))</f>
        <v>0</v>
      </c>
      <c r="Z25">
        <f>IF($F25="s-curve",$D25+($E25-$D25)*$J$2/(1+EXP($J$3*(COUNT($I$7:Z$7)+$J$4))),TREND($D25:$E25,$D$7:$E$7,Z$7))</f>
        <v>0</v>
      </c>
      <c r="AA25">
        <f>IF($F25="s-curve",$D25+($E25-$D25)*$J$2/(1+EXP($J$3*(COUNT($I$7:AA$7)+$J$4))),TREND($D25:$E25,$D$7:$E$7,AA$7))</f>
        <v>0</v>
      </c>
      <c r="AB25">
        <f>IF($F25="s-curve",$D25+($E25-$D25)*$J$2/(1+EXP($J$3*(COUNT($I$7:AB$7)+$J$4))),TREND($D25:$E25,$D$7:$E$7,AB$7))</f>
        <v>0</v>
      </c>
      <c r="AC25">
        <f>IF($F25="s-curve",$D25+($E25-$D25)*$J$2/(1+EXP($J$3*(COUNT($I$7:AC$7)+$J$4))),TREND($D25:$E25,$D$7:$E$7,AC$7))</f>
        <v>0</v>
      </c>
      <c r="AD25">
        <f>IF($F25="s-curve",$D25+($E25-$D25)*$J$2/(1+EXP($J$3*(COUNT($I$7:AD$7)+$J$4))),TREND($D25:$E25,$D$7:$E$7,AD$7))</f>
        <v>0</v>
      </c>
      <c r="AE25">
        <f>IF($F25="s-curve",$D25+($E25-$D25)*$J$2/(1+EXP($J$3*(COUNT($I$7:AE$7)+$J$4))),TREND($D25:$E25,$D$7:$E$7,AE$7))</f>
        <v>0</v>
      </c>
      <c r="AF25">
        <f>IF($F25="s-curve",$D25+($E25-$D25)*$J$2/(1+EXP($J$3*(COUNT($I$7:AF$7)+$J$4))),TREND($D25:$E25,$D$7:$E$7,AF$7))</f>
        <v>0</v>
      </c>
      <c r="AG25">
        <f>IF($F25="s-curve",$D25+($E25-$D25)*$J$2/(1+EXP($J$3*(COUNT($I$7:AG$7)+$J$4))),TREND($D25:$E25,$D$7:$E$7,AG$7))</f>
        <v>0</v>
      </c>
      <c r="AH25">
        <f>IF($F25="s-curve",$D25+($E25-$D25)*$J$2/(1+EXP($J$3*(COUNT($I$7:AH$7)+$J$4))),TREND($D25:$E25,$D$7:$E$7,AH$7))</f>
        <v>0</v>
      </c>
      <c r="AI25">
        <f>IF($F25="s-curve",$D25+($E25-$D25)*$J$2/(1+EXP($J$3*(COUNT($I$7:AI$7)+$J$4))),TREND($D25:$E25,$D$7:$E$7,AI$7))</f>
        <v>0</v>
      </c>
      <c r="AJ25">
        <f>IF($F25="s-curve",$D25+($E25-$D25)*$J$2/(1+EXP($J$3*(COUNT($I$7:AJ$7)+$J$4))),TREND($D25:$E25,$D$7:$E$7,AJ$7))</f>
        <v>0</v>
      </c>
      <c r="AK25">
        <f>IF($F25="s-curve",$D25+($E25-$D25)*$J$2/(1+EXP($J$3*(COUNT($I$7:AK$7)+$J$4))),TREND($D25:$E25,$D$7:$E$7,AK$7))</f>
        <v>0</v>
      </c>
      <c r="AL25">
        <f>IF($F25="s-curve",$D25+($E25-$D25)*$J$2/(1+EXP($J$3*(COUNT($I$7:AL$7)+$J$4))),TREND($D25:$E25,$D$7:$E$7,AL$7))</f>
        <v>0</v>
      </c>
      <c r="AM25">
        <f>IF($F25="s-curve",$D25+($E25-$D25)*$J$2/(1+EXP($J$3*(COUNT($I$7:AM$7)+$J$4))),TREND($D25:$E25,$D$7:$E$7,AM$7))</f>
        <v>0</v>
      </c>
      <c r="AN25">
        <f>IF($F25="s-curve",$D25+($E25-$D25)*$J$2/(1+EXP($J$3*(COUNT($I$7:AN$7)+$J$4))),TREND($D25:$E25,$D$7:$E$7,AN$7))</f>
        <v>0</v>
      </c>
      <c r="AO25">
        <f>IF($F25="s-curve",$D25+($E25-$D25)*$J$2/(1+EXP($J$3*(COUNT($I$7:AO$7)+$J$4))),TREND($D25:$E25,$D$7:$E$7,AO$7))</f>
        <v>0</v>
      </c>
      <c r="AP25">
        <f>IF($F25="s-curve",$D25+($E25-$D25)*$J$2/(1+EXP($J$3*(COUNT($I$7:AP$7)+$J$4))),TREND($D25:$E25,$D$7:$E$7,AP$7))</f>
        <v>0</v>
      </c>
      <c r="AQ25">
        <f>IF($F25="s-curve",$D25+($E25-$D25)*$J$2/(1+EXP($J$3*(COUNT($I$7:AQ$7)+$J$4))),TREND($D25:$E25,$D$7:$E$7,AQ$7))</f>
        <v>0</v>
      </c>
    </row>
    <row r="26" spans="1:43" x14ac:dyDescent="0.25">
      <c r="A26" s="21" t="s">
        <v>11</v>
      </c>
      <c r="B26" t="s">
        <v>12</v>
      </c>
      <c r="C26" t="s">
        <v>1</v>
      </c>
      <c r="D26">
        <v>0</v>
      </c>
      <c r="E26">
        <v>0</v>
      </c>
      <c r="F26" s="23" t="str">
        <f t="shared" si="2"/>
        <v>n/a</v>
      </c>
      <c r="I26" s="19">
        <f t="shared" si="1"/>
        <v>0</v>
      </c>
      <c r="J26">
        <f>IF($F26="s-curve",$D26+($E26-$D26)*$J$2/(1+EXP($J$3*(COUNT($I$7:J$7)+$J$4))),TREND($D26:$E26,$D$7:$E$7,J$7))</f>
        <v>0</v>
      </c>
      <c r="K26">
        <f>IF($F26="s-curve",$D26+($E26-$D26)*$J$2/(1+EXP($J$3*(COUNT($I$7:K$7)+$J$4))),TREND($D26:$E26,$D$7:$E$7,K$7))</f>
        <v>0</v>
      </c>
      <c r="L26">
        <f>IF($F26="s-curve",$D26+($E26-$D26)*$J$2/(1+EXP($J$3*(COUNT($I$7:L$7)+$J$4))),TREND($D26:$E26,$D$7:$E$7,L$7))</f>
        <v>0</v>
      </c>
      <c r="M26">
        <f>IF($F26="s-curve",$D26+($E26-$D26)*$J$2/(1+EXP($J$3*(COUNT($I$7:M$7)+$J$4))),TREND($D26:$E26,$D$7:$E$7,M$7))</f>
        <v>0</v>
      </c>
      <c r="N26">
        <f>IF($F26="s-curve",$D26+($E26-$D26)*$J$2/(1+EXP($J$3*(COUNT($I$7:N$7)+$J$4))),TREND($D26:$E26,$D$7:$E$7,N$7))</f>
        <v>0</v>
      </c>
      <c r="O26">
        <f>IF($F26="s-curve",$D26+($E26-$D26)*$J$2/(1+EXP($J$3*(COUNT($I$7:O$7)+$J$4))),TREND($D26:$E26,$D$7:$E$7,O$7))</f>
        <v>0</v>
      </c>
      <c r="P26">
        <f>IF($F26="s-curve",$D26+($E26-$D26)*$J$2/(1+EXP($J$3*(COUNT($I$7:P$7)+$J$4))),TREND($D26:$E26,$D$7:$E$7,P$7))</f>
        <v>0</v>
      </c>
      <c r="Q26">
        <f>IF($F26="s-curve",$D26+($E26-$D26)*$J$2/(1+EXP($J$3*(COUNT($I$7:Q$7)+$J$4))),TREND($D26:$E26,$D$7:$E$7,Q$7))</f>
        <v>0</v>
      </c>
      <c r="R26">
        <f>IF($F26="s-curve",$D26+($E26-$D26)*$J$2/(1+EXP($J$3*(COUNT($I$7:R$7)+$J$4))),TREND($D26:$E26,$D$7:$E$7,R$7))</f>
        <v>0</v>
      </c>
      <c r="S26">
        <f>IF($F26="s-curve",$D26+($E26-$D26)*$J$2/(1+EXP($J$3*(COUNT($I$7:S$7)+$J$4))),TREND($D26:$E26,$D$7:$E$7,S$7))</f>
        <v>0</v>
      </c>
      <c r="T26">
        <f>IF($F26="s-curve",$D26+($E26-$D26)*$J$2/(1+EXP($J$3*(COUNT($I$7:T$7)+$J$4))),TREND($D26:$E26,$D$7:$E$7,T$7))</f>
        <v>0</v>
      </c>
      <c r="U26">
        <f>IF($F26="s-curve",$D26+($E26-$D26)*$J$2/(1+EXP($J$3*(COUNT($I$7:U$7)+$J$4))),TREND($D26:$E26,$D$7:$E$7,U$7))</f>
        <v>0</v>
      </c>
      <c r="V26">
        <f>IF($F26="s-curve",$D26+($E26-$D26)*$J$2/(1+EXP($J$3*(COUNT($I$7:V$7)+$J$4))),TREND($D26:$E26,$D$7:$E$7,V$7))</f>
        <v>0</v>
      </c>
      <c r="W26">
        <f>IF($F26="s-curve",$D26+($E26-$D26)*$J$2/(1+EXP($J$3*(COUNT($I$7:W$7)+$J$4))),TREND($D26:$E26,$D$7:$E$7,W$7))</f>
        <v>0</v>
      </c>
      <c r="X26">
        <f>IF($F26="s-curve",$D26+($E26-$D26)*$J$2/(1+EXP($J$3*(COUNT($I$7:X$7)+$J$4))),TREND($D26:$E26,$D$7:$E$7,X$7))</f>
        <v>0</v>
      </c>
      <c r="Y26">
        <f>IF($F26="s-curve",$D26+($E26-$D26)*$J$2/(1+EXP($J$3*(COUNT($I$7:Y$7)+$J$4))),TREND($D26:$E26,$D$7:$E$7,Y$7))</f>
        <v>0</v>
      </c>
      <c r="Z26">
        <f>IF($F26="s-curve",$D26+($E26-$D26)*$J$2/(1+EXP($J$3*(COUNT($I$7:Z$7)+$J$4))),TREND($D26:$E26,$D$7:$E$7,Z$7))</f>
        <v>0</v>
      </c>
      <c r="AA26">
        <f>IF($F26="s-curve",$D26+($E26-$D26)*$J$2/(1+EXP($J$3*(COUNT($I$7:AA$7)+$J$4))),TREND($D26:$E26,$D$7:$E$7,AA$7))</f>
        <v>0</v>
      </c>
      <c r="AB26">
        <f>IF($F26="s-curve",$D26+($E26-$D26)*$J$2/(1+EXP($J$3*(COUNT($I$7:AB$7)+$J$4))),TREND($D26:$E26,$D$7:$E$7,AB$7))</f>
        <v>0</v>
      </c>
      <c r="AC26">
        <f>IF($F26="s-curve",$D26+($E26-$D26)*$J$2/(1+EXP($J$3*(COUNT($I$7:AC$7)+$J$4))),TREND($D26:$E26,$D$7:$E$7,AC$7))</f>
        <v>0</v>
      </c>
      <c r="AD26">
        <f>IF($F26="s-curve",$D26+($E26-$D26)*$J$2/(1+EXP($J$3*(COUNT($I$7:AD$7)+$J$4))),TREND($D26:$E26,$D$7:$E$7,AD$7))</f>
        <v>0</v>
      </c>
      <c r="AE26">
        <f>IF($F26="s-curve",$D26+($E26-$D26)*$J$2/(1+EXP($J$3*(COUNT($I$7:AE$7)+$J$4))),TREND($D26:$E26,$D$7:$E$7,AE$7))</f>
        <v>0</v>
      </c>
      <c r="AF26">
        <f>IF($F26="s-curve",$D26+($E26-$D26)*$J$2/(1+EXP($J$3*(COUNT($I$7:AF$7)+$J$4))),TREND($D26:$E26,$D$7:$E$7,AF$7))</f>
        <v>0</v>
      </c>
      <c r="AG26">
        <f>IF($F26="s-curve",$D26+($E26-$D26)*$J$2/(1+EXP($J$3*(COUNT($I$7:AG$7)+$J$4))),TREND($D26:$E26,$D$7:$E$7,AG$7))</f>
        <v>0</v>
      </c>
      <c r="AH26">
        <f>IF($F26="s-curve",$D26+($E26-$D26)*$J$2/(1+EXP($J$3*(COUNT($I$7:AH$7)+$J$4))),TREND($D26:$E26,$D$7:$E$7,AH$7))</f>
        <v>0</v>
      </c>
      <c r="AI26">
        <f>IF($F26="s-curve",$D26+($E26-$D26)*$J$2/(1+EXP($J$3*(COUNT($I$7:AI$7)+$J$4))),TREND($D26:$E26,$D$7:$E$7,AI$7))</f>
        <v>0</v>
      </c>
      <c r="AJ26">
        <f>IF($F26="s-curve",$D26+($E26-$D26)*$J$2/(1+EXP($J$3*(COUNT($I$7:AJ$7)+$J$4))),TREND($D26:$E26,$D$7:$E$7,AJ$7))</f>
        <v>0</v>
      </c>
      <c r="AK26">
        <f>IF($F26="s-curve",$D26+($E26-$D26)*$J$2/(1+EXP($J$3*(COUNT($I$7:AK$7)+$J$4))),TREND($D26:$E26,$D$7:$E$7,AK$7))</f>
        <v>0</v>
      </c>
      <c r="AL26">
        <f>IF($F26="s-curve",$D26+($E26-$D26)*$J$2/(1+EXP($J$3*(COUNT($I$7:AL$7)+$J$4))),TREND($D26:$E26,$D$7:$E$7,AL$7))</f>
        <v>0</v>
      </c>
      <c r="AM26">
        <f>IF($F26="s-curve",$D26+($E26-$D26)*$J$2/(1+EXP($J$3*(COUNT($I$7:AM$7)+$J$4))),TREND($D26:$E26,$D$7:$E$7,AM$7))</f>
        <v>0</v>
      </c>
      <c r="AN26">
        <f>IF($F26="s-curve",$D26+($E26-$D26)*$J$2/(1+EXP($J$3*(COUNT($I$7:AN$7)+$J$4))),TREND($D26:$E26,$D$7:$E$7,AN$7))</f>
        <v>0</v>
      </c>
      <c r="AO26">
        <f>IF($F26="s-curve",$D26+($E26-$D26)*$J$2/(1+EXP($J$3*(COUNT($I$7:AO$7)+$J$4))),TREND($D26:$E26,$D$7:$E$7,AO$7))</f>
        <v>0</v>
      </c>
      <c r="AP26">
        <f>IF($F26="s-curve",$D26+($E26-$D26)*$J$2/(1+EXP($J$3*(COUNT($I$7:AP$7)+$J$4))),TREND($D26:$E26,$D$7:$E$7,AP$7))</f>
        <v>0</v>
      </c>
      <c r="AQ26">
        <f>IF($F26="s-curve",$D26+($E26-$D26)*$J$2/(1+EXP($J$3*(COUNT($I$7:AQ$7)+$J$4))),TREND($D26:$E26,$D$7:$E$7,AQ$7))</f>
        <v>0</v>
      </c>
    </row>
    <row r="27" spans="1:43" x14ac:dyDescent="0.25">
      <c r="C27" t="s">
        <v>2</v>
      </c>
      <c r="D27">
        <v>0</v>
      </c>
      <c r="E27">
        <v>0</v>
      </c>
      <c r="F27" s="23" t="str">
        <f t="shared" si="2"/>
        <v>n/a</v>
      </c>
      <c r="I27" s="19">
        <f t="shared" si="1"/>
        <v>0</v>
      </c>
      <c r="J27">
        <f>IF($F27="s-curve",$D27+($E27-$D27)*$J$2/(1+EXP($J$3*(COUNT($I$7:J$7)+$J$4))),TREND($D27:$E27,$D$7:$E$7,J$7))</f>
        <v>0</v>
      </c>
      <c r="K27">
        <f>IF($F27="s-curve",$D27+($E27-$D27)*$J$2/(1+EXP($J$3*(COUNT($I$7:K$7)+$J$4))),TREND($D27:$E27,$D$7:$E$7,K$7))</f>
        <v>0</v>
      </c>
      <c r="L27">
        <f>IF($F27="s-curve",$D27+($E27-$D27)*$J$2/(1+EXP($J$3*(COUNT($I$7:L$7)+$J$4))),TREND($D27:$E27,$D$7:$E$7,L$7))</f>
        <v>0</v>
      </c>
      <c r="M27">
        <f>IF($F27="s-curve",$D27+($E27-$D27)*$J$2/(1+EXP($J$3*(COUNT($I$7:M$7)+$J$4))),TREND($D27:$E27,$D$7:$E$7,M$7))</f>
        <v>0</v>
      </c>
      <c r="N27">
        <f>IF($F27="s-curve",$D27+($E27-$D27)*$J$2/(1+EXP($J$3*(COUNT($I$7:N$7)+$J$4))),TREND($D27:$E27,$D$7:$E$7,N$7))</f>
        <v>0</v>
      </c>
      <c r="O27">
        <f>IF($F27="s-curve",$D27+($E27-$D27)*$J$2/(1+EXP($J$3*(COUNT($I$7:O$7)+$J$4))),TREND($D27:$E27,$D$7:$E$7,O$7))</f>
        <v>0</v>
      </c>
      <c r="P27">
        <f>IF($F27="s-curve",$D27+($E27-$D27)*$J$2/(1+EXP($J$3*(COUNT($I$7:P$7)+$J$4))),TREND($D27:$E27,$D$7:$E$7,P$7))</f>
        <v>0</v>
      </c>
      <c r="Q27">
        <f>IF($F27="s-curve",$D27+($E27-$D27)*$J$2/(1+EXP($J$3*(COUNT($I$7:Q$7)+$J$4))),TREND($D27:$E27,$D$7:$E$7,Q$7))</f>
        <v>0</v>
      </c>
      <c r="R27">
        <f>IF($F27="s-curve",$D27+($E27-$D27)*$J$2/(1+EXP($J$3*(COUNT($I$7:R$7)+$J$4))),TREND($D27:$E27,$D$7:$E$7,R$7))</f>
        <v>0</v>
      </c>
      <c r="S27">
        <f>IF($F27="s-curve",$D27+($E27-$D27)*$J$2/(1+EXP($J$3*(COUNT($I$7:S$7)+$J$4))),TREND($D27:$E27,$D$7:$E$7,S$7))</f>
        <v>0</v>
      </c>
      <c r="T27">
        <f>IF($F27="s-curve",$D27+($E27-$D27)*$J$2/(1+EXP($J$3*(COUNT($I$7:T$7)+$J$4))),TREND($D27:$E27,$D$7:$E$7,T$7))</f>
        <v>0</v>
      </c>
      <c r="U27">
        <f>IF($F27="s-curve",$D27+($E27-$D27)*$J$2/(1+EXP($J$3*(COUNT($I$7:U$7)+$J$4))),TREND($D27:$E27,$D$7:$E$7,U$7))</f>
        <v>0</v>
      </c>
      <c r="V27">
        <f>IF($F27="s-curve",$D27+($E27-$D27)*$J$2/(1+EXP($J$3*(COUNT($I$7:V$7)+$J$4))),TREND($D27:$E27,$D$7:$E$7,V$7))</f>
        <v>0</v>
      </c>
      <c r="W27">
        <f>IF($F27="s-curve",$D27+($E27-$D27)*$J$2/(1+EXP($J$3*(COUNT($I$7:W$7)+$J$4))),TREND($D27:$E27,$D$7:$E$7,W$7))</f>
        <v>0</v>
      </c>
      <c r="X27">
        <f>IF($F27="s-curve",$D27+($E27-$D27)*$J$2/(1+EXP($J$3*(COUNT($I$7:X$7)+$J$4))),TREND($D27:$E27,$D$7:$E$7,X$7))</f>
        <v>0</v>
      </c>
      <c r="Y27">
        <f>IF($F27="s-curve",$D27+($E27-$D27)*$J$2/(1+EXP($J$3*(COUNT($I$7:Y$7)+$J$4))),TREND($D27:$E27,$D$7:$E$7,Y$7))</f>
        <v>0</v>
      </c>
      <c r="Z27">
        <f>IF($F27="s-curve",$D27+($E27-$D27)*$J$2/(1+EXP($J$3*(COUNT($I$7:Z$7)+$J$4))),TREND($D27:$E27,$D$7:$E$7,Z$7))</f>
        <v>0</v>
      </c>
      <c r="AA27">
        <f>IF($F27="s-curve",$D27+($E27-$D27)*$J$2/(1+EXP($J$3*(COUNT($I$7:AA$7)+$J$4))),TREND($D27:$E27,$D$7:$E$7,AA$7))</f>
        <v>0</v>
      </c>
      <c r="AB27">
        <f>IF($F27="s-curve",$D27+($E27-$D27)*$J$2/(1+EXP($J$3*(COUNT($I$7:AB$7)+$J$4))),TREND($D27:$E27,$D$7:$E$7,AB$7))</f>
        <v>0</v>
      </c>
      <c r="AC27">
        <f>IF($F27="s-curve",$D27+($E27-$D27)*$J$2/(1+EXP($J$3*(COUNT($I$7:AC$7)+$J$4))),TREND($D27:$E27,$D$7:$E$7,AC$7))</f>
        <v>0</v>
      </c>
      <c r="AD27">
        <f>IF($F27="s-curve",$D27+($E27-$D27)*$J$2/(1+EXP($J$3*(COUNT($I$7:AD$7)+$J$4))),TREND($D27:$E27,$D$7:$E$7,AD$7))</f>
        <v>0</v>
      </c>
      <c r="AE27">
        <f>IF($F27="s-curve",$D27+($E27-$D27)*$J$2/(1+EXP($J$3*(COUNT($I$7:AE$7)+$J$4))),TREND($D27:$E27,$D$7:$E$7,AE$7))</f>
        <v>0</v>
      </c>
      <c r="AF27">
        <f>IF($F27="s-curve",$D27+($E27-$D27)*$J$2/(1+EXP($J$3*(COUNT($I$7:AF$7)+$J$4))),TREND($D27:$E27,$D$7:$E$7,AF$7))</f>
        <v>0</v>
      </c>
      <c r="AG27">
        <f>IF($F27="s-curve",$D27+($E27-$D27)*$J$2/(1+EXP($J$3*(COUNT($I$7:AG$7)+$J$4))),TREND($D27:$E27,$D$7:$E$7,AG$7))</f>
        <v>0</v>
      </c>
      <c r="AH27">
        <f>IF($F27="s-curve",$D27+($E27-$D27)*$J$2/(1+EXP($J$3*(COUNT($I$7:AH$7)+$J$4))),TREND($D27:$E27,$D$7:$E$7,AH$7))</f>
        <v>0</v>
      </c>
      <c r="AI27">
        <f>IF($F27="s-curve",$D27+($E27-$D27)*$J$2/(1+EXP($J$3*(COUNT($I$7:AI$7)+$J$4))),TREND($D27:$E27,$D$7:$E$7,AI$7))</f>
        <v>0</v>
      </c>
      <c r="AJ27">
        <f>IF($F27="s-curve",$D27+($E27-$D27)*$J$2/(1+EXP($J$3*(COUNT($I$7:AJ$7)+$J$4))),TREND($D27:$E27,$D$7:$E$7,AJ$7))</f>
        <v>0</v>
      </c>
      <c r="AK27">
        <f>IF($F27="s-curve",$D27+($E27-$D27)*$J$2/(1+EXP($J$3*(COUNT($I$7:AK$7)+$J$4))),TREND($D27:$E27,$D$7:$E$7,AK$7))</f>
        <v>0</v>
      </c>
      <c r="AL27">
        <f>IF($F27="s-curve",$D27+($E27-$D27)*$J$2/(1+EXP($J$3*(COUNT($I$7:AL$7)+$J$4))),TREND($D27:$E27,$D$7:$E$7,AL$7))</f>
        <v>0</v>
      </c>
      <c r="AM27">
        <f>IF($F27="s-curve",$D27+($E27-$D27)*$J$2/(1+EXP($J$3*(COUNT($I$7:AM$7)+$J$4))),TREND($D27:$E27,$D$7:$E$7,AM$7))</f>
        <v>0</v>
      </c>
      <c r="AN27">
        <f>IF($F27="s-curve",$D27+($E27-$D27)*$J$2/(1+EXP($J$3*(COUNT($I$7:AN$7)+$J$4))),TREND($D27:$E27,$D$7:$E$7,AN$7))</f>
        <v>0</v>
      </c>
      <c r="AO27">
        <f>IF($F27="s-curve",$D27+($E27-$D27)*$J$2/(1+EXP($J$3*(COUNT($I$7:AO$7)+$J$4))),TREND($D27:$E27,$D$7:$E$7,AO$7))</f>
        <v>0</v>
      </c>
      <c r="AP27">
        <f>IF($F27="s-curve",$D27+($E27-$D27)*$J$2/(1+EXP($J$3*(COUNT($I$7:AP$7)+$J$4))),TREND($D27:$E27,$D$7:$E$7,AP$7))</f>
        <v>0</v>
      </c>
      <c r="AQ27">
        <f>IF($F27="s-curve",$D27+($E27-$D27)*$J$2/(1+EXP($J$3*(COUNT($I$7:AQ$7)+$J$4))),TREND($D27:$E27,$D$7:$E$7,AQ$7))</f>
        <v>0</v>
      </c>
    </row>
    <row r="28" spans="1:43" x14ac:dyDescent="0.25">
      <c r="C28" t="s">
        <v>3</v>
      </c>
      <c r="D28">
        <v>0</v>
      </c>
      <c r="E28">
        <v>0</v>
      </c>
      <c r="F28" s="23" t="str">
        <f t="shared" si="2"/>
        <v>n/a</v>
      </c>
      <c r="I28" s="19">
        <f>D28</f>
        <v>0</v>
      </c>
      <c r="J28">
        <f>IF($F28="s-curve",$D28+($E28-$D28)*$J$2/(1+EXP($J$3*(COUNT($I$7:J$7)+$J$4))),TREND($D28:$E28,$D$7:$E$7,J$7))</f>
        <v>0</v>
      </c>
      <c r="K28">
        <f>IF($F28="s-curve",$D28+($E28-$D28)*$J$2/(1+EXP($J$3*(COUNT($I$7:K$7)+$J$4))),TREND($D28:$E28,$D$7:$E$7,K$7))</f>
        <v>0</v>
      </c>
      <c r="L28">
        <f>IF($F28="s-curve",$D28+($E28-$D28)*$J$2/(1+EXP($J$3*(COUNT($I$7:L$7)+$J$4))),TREND($D28:$E28,$D$7:$E$7,L$7))</f>
        <v>0</v>
      </c>
      <c r="M28">
        <f>IF($F28="s-curve",$D28+($E28-$D28)*$J$2/(1+EXP($J$3*(COUNT($I$7:M$7)+$J$4))),TREND($D28:$E28,$D$7:$E$7,M$7))</f>
        <v>0</v>
      </c>
      <c r="N28">
        <f>IF($F28="s-curve",$D28+($E28-$D28)*$J$2/(1+EXP($J$3*(COUNT($I$7:N$7)+$J$4))),TREND($D28:$E28,$D$7:$E$7,N$7))</f>
        <v>0</v>
      </c>
      <c r="O28">
        <f>IF($F28="s-curve",$D28+($E28-$D28)*$J$2/(1+EXP($J$3*(COUNT($I$7:O$7)+$J$4))),TREND($D28:$E28,$D$7:$E$7,O$7))</f>
        <v>0</v>
      </c>
      <c r="P28">
        <f>IF($F28="s-curve",$D28+($E28-$D28)*$J$2/(1+EXP($J$3*(COUNT($I$7:P$7)+$J$4))),TREND($D28:$E28,$D$7:$E$7,P$7))</f>
        <v>0</v>
      </c>
      <c r="Q28">
        <f>IF($F28="s-curve",$D28+($E28-$D28)*$J$2/(1+EXP($J$3*(COUNT($I$7:Q$7)+$J$4))),TREND($D28:$E28,$D$7:$E$7,Q$7))</f>
        <v>0</v>
      </c>
      <c r="R28">
        <f>IF($F28="s-curve",$D28+($E28-$D28)*$J$2/(1+EXP($J$3*(COUNT($I$7:R$7)+$J$4))),TREND($D28:$E28,$D$7:$E$7,R$7))</f>
        <v>0</v>
      </c>
      <c r="S28">
        <f>IF($F28="s-curve",$D28+($E28-$D28)*$J$2/(1+EXP($J$3*(COUNT($I$7:S$7)+$J$4))),TREND($D28:$E28,$D$7:$E$7,S$7))</f>
        <v>0</v>
      </c>
      <c r="T28">
        <f>IF($F28="s-curve",$D28+($E28-$D28)*$J$2/(1+EXP($J$3*(COUNT($I$7:T$7)+$J$4))),TREND($D28:$E28,$D$7:$E$7,T$7))</f>
        <v>0</v>
      </c>
      <c r="U28">
        <f>IF($F28="s-curve",$D28+($E28-$D28)*$J$2/(1+EXP($J$3*(COUNT($I$7:U$7)+$J$4))),TREND($D28:$E28,$D$7:$E$7,U$7))</f>
        <v>0</v>
      </c>
      <c r="V28">
        <f>IF($F28="s-curve",$D28+($E28-$D28)*$J$2/(1+EXP($J$3*(COUNT($I$7:V$7)+$J$4))),TREND($D28:$E28,$D$7:$E$7,V$7))</f>
        <v>0</v>
      </c>
      <c r="W28">
        <f>IF($F28="s-curve",$D28+($E28-$D28)*$J$2/(1+EXP($J$3*(COUNT($I$7:W$7)+$J$4))),TREND($D28:$E28,$D$7:$E$7,W$7))</f>
        <v>0</v>
      </c>
      <c r="X28">
        <f>IF($F28="s-curve",$D28+($E28-$D28)*$J$2/(1+EXP($J$3*(COUNT($I$7:X$7)+$J$4))),TREND($D28:$E28,$D$7:$E$7,X$7))</f>
        <v>0</v>
      </c>
      <c r="Y28">
        <f>IF($F28="s-curve",$D28+($E28-$D28)*$J$2/(1+EXP($J$3*(COUNT($I$7:Y$7)+$J$4))),TREND($D28:$E28,$D$7:$E$7,Y$7))</f>
        <v>0</v>
      </c>
      <c r="Z28">
        <f>IF($F28="s-curve",$D28+($E28-$D28)*$J$2/(1+EXP($J$3*(COUNT($I$7:Z$7)+$J$4))),TREND($D28:$E28,$D$7:$E$7,Z$7))</f>
        <v>0</v>
      </c>
      <c r="AA28">
        <f>IF($F28="s-curve",$D28+($E28-$D28)*$J$2/(1+EXP($J$3*(COUNT($I$7:AA$7)+$J$4))),TREND($D28:$E28,$D$7:$E$7,AA$7))</f>
        <v>0</v>
      </c>
      <c r="AB28">
        <f>IF($F28="s-curve",$D28+($E28-$D28)*$J$2/(1+EXP($J$3*(COUNT($I$7:AB$7)+$J$4))),TREND($D28:$E28,$D$7:$E$7,AB$7))</f>
        <v>0</v>
      </c>
      <c r="AC28">
        <f>IF($F28="s-curve",$D28+($E28-$D28)*$J$2/(1+EXP($J$3*(COUNT($I$7:AC$7)+$J$4))),TREND($D28:$E28,$D$7:$E$7,AC$7))</f>
        <v>0</v>
      </c>
      <c r="AD28">
        <f>IF($F28="s-curve",$D28+($E28-$D28)*$J$2/(1+EXP($J$3*(COUNT($I$7:AD$7)+$J$4))),TREND($D28:$E28,$D$7:$E$7,AD$7))</f>
        <v>0</v>
      </c>
      <c r="AE28">
        <f>IF($F28="s-curve",$D28+($E28-$D28)*$J$2/(1+EXP($J$3*(COUNT($I$7:AE$7)+$J$4))),TREND($D28:$E28,$D$7:$E$7,AE$7))</f>
        <v>0</v>
      </c>
      <c r="AF28">
        <f>IF($F28="s-curve",$D28+($E28-$D28)*$J$2/(1+EXP($J$3*(COUNT($I$7:AF$7)+$J$4))),TREND($D28:$E28,$D$7:$E$7,AF$7))</f>
        <v>0</v>
      </c>
      <c r="AG28">
        <f>IF($F28="s-curve",$D28+($E28-$D28)*$J$2/(1+EXP($J$3*(COUNT($I$7:AG$7)+$J$4))),TREND($D28:$E28,$D$7:$E$7,AG$7))</f>
        <v>0</v>
      </c>
      <c r="AH28">
        <f>IF($F28="s-curve",$D28+($E28-$D28)*$J$2/(1+EXP($J$3*(COUNT($I$7:AH$7)+$J$4))),TREND($D28:$E28,$D$7:$E$7,AH$7))</f>
        <v>0</v>
      </c>
      <c r="AI28">
        <f>IF($F28="s-curve",$D28+($E28-$D28)*$J$2/(1+EXP($J$3*(COUNT($I$7:AI$7)+$J$4))),TREND($D28:$E28,$D$7:$E$7,AI$7))</f>
        <v>0</v>
      </c>
      <c r="AJ28">
        <f>IF($F28="s-curve",$D28+($E28-$D28)*$J$2/(1+EXP($J$3*(COUNT($I$7:AJ$7)+$J$4))),TREND($D28:$E28,$D$7:$E$7,AJ$7))</f>
        <v>0</v>
      </c>
      <c r="AK28">
        <f>IF($F28="s-curve",$D28+($E28-$D28)*$J$2/(1+EXP($J$3*(COUNT($I$7:AK$7)+$J$4))),TREND($D28:$E28,$D$7:$E$7,AK$7))</f>
        <v>0</v>
      </c>
      <c r="AL28">
        <f>IF($F28="s-curve",$D28+($E28-$D28)*$J$2/(1+EXP($J$3*(COUNT($I$7:AL$7)+$J$4))),TREND($D28:$E28,$D$7:$E$7,AL$7))</f>
        <v>0</v>
      </c>
      <c r="AM28">
        <f>IF($F28="s-curve",$D28+($E28-$D28)*$J$2/(1+EXP($J$3*(COUNT($I$7:AM$7)+$J$4))),TREND($D28:$E28,$D$7:$E$7,AM$7))</f>
        <v>0</v>
      </c>
      <c r="AN28">
        <f>IF($F28="s-curve",$D28+($E28-$D28)*$J$2/(1+EXP($J$3*(COUNT($I$7:AN$7)+$J$4))),TREND($D28:$E28,$D$7:$E$7,AN$7))</f>
        <v>0</v>
      </c>
      <c r="AO28">
        <f>IF($F28="s-curve",$D28+($E28-$D28)*$J$2/(1+EXP($J$3*(COUNT($I$7:AO$7)+$J$4))),TREND($D28:$E28,$D$7:$E$7,AO$7))</f>
        <v>0</v>
      </c>
      <c r="AP28">
        <f>IF($F28="s-curve",$D28+($E28-$D28)*$J$2/(1+EXP($J$3*(COUNT($I$7:AP$7)+$J$4))),TREND($D28:$E28,$D$7:$E$7,AP$7))</f>
        <v>0</v>
      </c>
      <c r="AQ28">
        <f>IF($F28="s-curve",$D28+($E28-$D28)*$J$2/(1+EXP($J$3*(COUNT($I$7:AQ$7)+$J$4))),TREND($D28:$E28,$D$7:$E$7,AQ$7))</f>
        <v>0</v>
      </c>
    </row>
    <row r="29" spans="1:43" x14ac:dyDescent="0.25">
      <c r="C29" t="s">
        <v>4</v>
      </c>
      <c r="D29">
        <v>0</v>
      </c>
      <c r="E29">
        <v>0</v>
      </c>
      <c r="F29" s="23" t="str">
        <f t="shared" si="2"/>
        <v>n/a</v>
      </c>
      <c r="I29" s="19">
        <f>D29</f>
        <v>0</v>
      </c>
      <c r="J29">
        <f>IF($F29="s-curve",$D29+($E29-$D29)*$J$2/(1+EXP($J$3*(COUNT($I$7:J$7)+$J$4))),TREND($D29:$E29,$D$7:$E$7,J$7))</f>
        <v>0</v>
      </c>
      <c r="K29">
        <f>IF($F29="s-curve",$D29+($E29-$D29)*$J$2/(1+EXP($J$3*(COUNT($I$7:K$7)+$J$4))),TREND($D29:$E29,$D$7:$E$7,K$7))</f>
        <v>0</v>
      </c>
      <c r="L29">
        <f>IF($F29="s-curve",$D29+($E29-$D29)*$J$2/(1+EXP($J$3*(COUNT($I$7:L$7)+$J$4))),TREND($D29:$E29,$D$7:$E$7,L$7))</f>
        <v>0</v>
      </c>
      <c r="M29">
        <f>IF($F29="s-curve",$D29+($E29-$D29)*$J$2/(1+EXP($J$3*(COUNT($I$7:M$7)+$J$4))),TREND($D29:$E29,$D$7:$E$7,M$7))</f>
        <v>0</v>
      </c>
      <c r="N29">
        <f>IF($F29="s-curve",$D29+($E29-$D29)*$J$2/(1+EXP($J$3*(COUNT($I$7:N$7)+$J$4))),TREND($D29:$E29,$D$7:$E$7,N$7))</f>
        <v>0</v>
      </c>
      <c r="O29">
        <f>IF($F29="s-curve",$D29+($E29-$D29)*$J$2/(1+EXP($J$3*(COUNT($I$7:O$7)+$J$4))),TREND($D29:$E29,$D$7:$E$7,O$7))</f>
        <v>0</v>
      </c>
      <c r="P29">
        <f>IF($F29="s-curve",$D29+($E29-$D29)*$J$2/(1+EXP($J$3*(COUNT($I$7:P$7)+$J$4))),TREND($D29:$E29,$D$7:$E$7,P$7))</f>
        <v>0</v>
      </c>
      <c r="Q29">
        <f>IF($F29="s-curve",$D29+($E29-$D29)*$J$2/(1+EXP($J$3*(COUNT($I$7:Q$7)+$J$4))),TREND($D29:$E29,$D$7:$E$7,Q$7))</f>
        <v>0</v>
      </c>
      <c r="R29">
        <f>IF($F29="s-curve",$D29+($E29-$D29)*$J$2/(1+EXP($J$3*(COUNT($I$7:R$7)+$J$4))),TREND($D29:$E29,$D$7:$E$7,R$7))</f>
        <v>0</v>
      </c>
      <c r="S29">
        <f>IF($F29="s-curve",$D29+($E29-$D29)*$J$2/(1+EXP($J$3*(COUNT($I$7:S$7)+$J$4))),TREND($D29:$E29,$D$7:$E$7,S$7))</f>
        <v>0</v>
      </c>
      <c r="T29">
        <f>IF($F29="s-curve",$D29+($E29-$D29)*$J$2/(1+EXP($J$3*(COUNT($I$7:T$7)+$J$4))),TREND($D29:$E29,$D$7:$E$7,T$7))</f>
        <v>0</v>
      </c>
      <c r="U29">
        <f>IF($F29="s-curve",$D29+($E29-$D29)*$J$2/(1+EXP($J$3*(COUNT($I$7:U$7)+$J$4))),TREND($D29:$E29,$D$7:$E$7,U$7))</f>
        <v>0</v>
      </c>
      <c r="V29">
        <f>IF($F29="s-curve",$D29+($E29-$D29)*$J$2/(1+EXP($J$3*(COUNT($I$7:V$7)+$J$4))),TREND($D29:$E29,$D$7:$E$7,V$7))</f>
        <v>0</v>
      </c>
      <c r="W29">
        <f>IF($F29="s-curve",$D29+($E29-$D29)*$J$2/(1+EXP($J$3*(COUNT($I$7:W$7)+$J$4))),TREND($D29:$E29,$D$7:$E$7,W$7))</f>
        <v>0</v>
      </c>
      <c r="X29">
        <f>IF($F29="s-curve",$D29+($E29-$D29)*$J$2/(1+EXP($J$3*(COUNT($I$7:X$7)+$J$4))),TREND($D29:$E29,$D$7:$E$7,X$7))</f>
        <v>0</v>
      </c>
      <c r="Y29">
        <f>IF($F29="s-curve",$D29+($E29-$D29)*$J$2/(1+EXP($J$3*(COUNT($I$7:Y$7)+$J$4))),TREND($D29:$E29,$D$7:$E$7,Y$7))</f>
        <v>0</v>
      </c>
      <c r="Z29">
        <f>IF($F29="s-curve",$D29+($E29-$D29)*$J$2/(1+EXP($J$3*(COUNT($I$7:Z$7)+$J$4))),TREND($D29:$E29,$D$7:$E$7,Z$7))</f>
        <v>0</v>
      </c>
      <c r="AA29">
        <f>IF($F29="s-curve",$D29+($E29-$D29)*$J$2/(1+EXP($J$3*(COUNT($I$7:AA$7)+$J$4))),TREND($D29:$E29,$D$7:$E$7,AA$7))</f>
        <v>0</v>
      </c>
      <c r="AB29">
        <f>IF($F29="s-curve",$D29+($E29-$D29)*$J$2/(1+EXP($J$3*(COUNT($I$7:AB$7)+$J$4))),TREND($D29:$E29,$D$7:$E$7,AB$7))</f>
        <v>0</v>
      </c>
      <c r="AC29">
        <f>IF($F29="s-curve",$D29+($E29-$D29)*$J$2/(1+EXP($J$3*(COUNT($I$7:AC$7)+$J$4))),TREND($D29:$E29,$D$7:$E$7,AC$7))</f>
        <v>0</v>
      </c>
      <c r="AD29">
        <f>IF($F29="s-curve",$D29+($E29-$D29)*$J$2/(1+EXP($J$3*(COUNT($I$7:AD$7)+$J$4))),TREND($D29:$E29,$D$7:$E$7,AD$7))</f>
        <v>0</v>
      </c>
      <c r="AE29">
        <f>IF($F29="s-curve",$D29+($E29-$D29)*$J$2/(1+EXP($J$3*(COUNT($I$7:AE$7)+$J$4))),TREND($D29:$E29,$D$7:$E$7,AE$7))</f>
        <v>0</v>
      </c>
      <c r="AF29">
        <f>IF($F29="s-curve",$D29+($E29-$D29)*$J$2/(1+EXP($J$3*(COUNT($I$7:AF$7)+$J$4))),TREND($D29:$E29,$D$7:$E$7,AF$7))</f>
        <v>0</v>
      </c>
      <c r="AG29">
        <f>IF($F29="s-curve",$D29+($E29-$D29)*$J$2/(1+EXP($J$3*(COUNT($I$7:AG$7)+$J$4))),TREND($D29:$E29,$D$7:$E$7,AG$7))</f>
        <v>0</v>
      </c>
      <c r="AH29">
        <f>IF($F29="s-curve",$D29+($E29-$D29)*$J$2/(1+EXP($J$3*(COUNT($I$7:AH$7)+$J$4))),TREND($D29:$E29,$D$7:$E$7,AH$7))</f>
        <v>0</v>
      </c>
      <c r="AI29">
        <f>IF($F29="s-curve",$D29+($E29-$D29)*$J$2/(1+EXP($J$3*(COUNT($I$7:AI$7)+$J$4))),TREND($D29:$E29,$D$7:$E$7,AI$7))</f>
        <v>0</v>
      </c>
      <c r="AJ29">
        <f>IF($F29="s-curve",$D29+($E29-$D29)*$J$2/(1+EXP($J$3*(COUNT($I$7:AJ$7)+$J$4))),TREND($D29:$E29,$D$7:$E$7,AJ$7))</f>
        <v>0</v>
      </c>
      <c r="AK29">
        <f>IF($F29="s-curve",$D29+($E29-$D29)*$J$2/(1+EXP($J$3*(COUNT($I$7:AK$7)+$J$4))),TREND($D29:$E29,$D$7:$E$7,AK$7))</f>
        <v>0</v>
      </c>
      <c r="AL29">
        <f>IF($F29="s-curve",$D29+($E29-$D29)*$J$2/(1+EXP($J$3*(COUNT($I$7:AL$7)+$J$4))),TREND($D29:$E29,$D$7:$E$7,AL$7))</f>
        <v>0</v>
      </c>
      <c r="AM29">
        <f>IF($F29="s-curve",$D29+($E29-$D29)*$J$2/(1+EXP($J$3*(COUNT($I$7:AM$7)+$J$4))),TREND($D29:$E29,$D$7:$E$7,AM$7))</f>
        <v>0</v>
      </c>
      <c r="AN29">
        <f>IF($F29="s-curve",$D29+($E29-$D29)*$J$2/(1+EXP($J$3*(COUNT($I$7:AN$7)+$J$4))),TREND($D29:$E29,$D$7:$E$7,AN$7))</f>
        <v>0</v>
      </c>
      <c r="AO29">
        <f>IF($F29="s-curve",$D29+($E29-$D29)*$J$2/(1+EXP($J$3*(COUNT($I$7:AO$7)+$J$4))),TREND($D29:$E29,$D$7:$E$7,AO$7))</f>
        <v>0</v>
      </c>
      <c r="AP29">
        <f>IF($F29="s-curve",$D29+($E29-$D29)*$J$2/(1+EXP($J$3*(COUNT($I$7:AP$7)+$J$4))),TREND($D29:$E29,$D$7:$E$7,AP$7))</f>
        <v>0</v>
      </c>
      <c r="AQ29">
        <f>IF($F29="s-curve",$D29+($E29-$D29)*$J$2/(1+EXP($J$3*(COUNT($I$7:AQ$7)+$J$4))),TREND($D29:$E29,$D$7:$E$7,AQ$7))</f>
        <v>0</v>
      </c>
    </row>
    <row r="30" spans="1:43" x14ac:dyDescent="0.25">
      <c r="C30" t="s">
        <v>5</v>
      </c>
      <c r="D30">
        <v>0</v>
      </c>
      <c r="E30">
        <v>0</v>
      </c>
      <c r="F30" s="23" t="str">
        <f t="shared" si="2"/>
        <v>n/a</v>
      </c>
      <c r="I30" s="19">
        <f>D30</f>
        <v>0</v>
      </c>
      <c r="J30">
        <f>IF($F30="s-curve",$D30+($E30-$D30)*$J$2/(1+EXP($J$3*(COUNT($I$7:J$7)+$J$4))),TREND($D30:$E30,$D$7:$E$7,J$7))</f>
        <v>0</v>
      </c>
      <c r="K30">
        <f>IF($F30="s-curve",$D30+($E30-$D30)*$J$2/(1+EXP($J$3*(COUNT($I$7:K$7)+$J$4))),TREND($D30:$E30,$D$7:$E$7,K$7))</f>
        <v>0</v>
      </c>
      <c r="L30">
        <f>IF($F30="s-curve",$D30+($E30-$D30)*$J$2/(1+EXP($J$3*(COUNT($I$7:L$7)+$J$4))),TREND($D30:$E30,$D$7:$E$7,L$7))</f>
        <v>0</v>
      </c>
      <c r="M30">
        <f>IF($F30="s-curve",$D30+($E30-$D30)*$J$2/(1+EXP($J$3*(COUNT($I$7:M$7)+$J$4))),TREND($D30:$E30,$D$7:$E$7,M$7))</f>
        <v>0</v>
      </c>
      <c r="N30">
        <f>IF($F30="s-curve",$D30+($E30-$D30)*$J$2/(1+EXP($J$3*(COUNT($I$7:N$7)+$J$4))),TREND($D30:$E30,$D$7:$E$7,N$7))</f>
        <v>0</v>
      </c>
      <c r="O30">
        <f>IF($F30="s-curve",$D30+($E30-$D30)*$J$2/(1+EXP($J$3*(COUNT($I$7:O$7)+$J$4))),TREND($D30:$E30,$D$7:$E$7,O$7))</f>
        <v>0</v>
      </c>
      <c r="P30">
        <f>IF($F30="s-curve",$D30+($E30-$D30)*$J$2/(1+EXP($J$3*(COUNT($I$7:P$7)+$J$4))),TREND($D30:$E30,$D$7:$E$7,P$7))</f>
        <v>0</v>
      </c>
      <c r="Q30">
        <f>IF($F30="s-curve",$D30+($E30-$D30)*$J$2/(1+EXP($J$3*(COUNT($I$7:Q$7)+$J$4))),TREND($D30:$E30,$D$7:$E$7,Q$7))</f>
        <v>0</v>
      </c>
      <c r="R30">
        <f>IF($F30="s-curve",$D30+($E30-$D30)*$J$2/(1+EXP($J$3*(COUNT($I$7:R$7)+$J$4))),TREND($D30:$E30,$D$7:$E$7,R$7))</f>
        <v>0</v>
      </c>
      <c r="S30">
        <f>IF($F30="s-curve",$D30+($E30-$D30)*$J$2/(1+EXP($J$3*(COUNT($I$7:S$7)+$J$4))),TREND($D30:$E30,$D$7:$E$7,S$7))</f>
        <v>0</v>
      </c>
      <c r="T30">
        <f>IF($F30="s-curve",$D30+($E30-$D30)*$J$2/(1+EXP($J$3*(COUNT($I$7:T$7)+$J$4))),TREND($D30:$E30,$D$7:$E$7,T$7))</f>
        <v>0</v>
      </c>
      <c r="U30">
        <f>IF($F30="s-curve",$D30+($E30-$D30)*$J$2/(1+EXP($J$3*(COUNT($I$7:U$7)+$J$4))),TREND($D30:$E30,$D$7:$E$7,U$7))</f>
        <v>0</v>
      </c>
      <c r="V30">
        <f>IF($F30="s-curve",$D30+($E30-$D30)*$J$2/(1+EXP($J$3*(COUNT($I$7:V$7)+$J$4))),TREND($D30:$E30,$D$7:$E$7,V$7))</f>
        <v>0</v>
      </c>
      <c r="W30">
        <f>IF($F30="s-curve",$D30+($E30-$D30)*$J$2/(1+EXP($J$3*(COUNT($I$7:W$7)+$J$4))),TREND($D30:$E30,$D$7:$E$7,W$7))</f>
        <v>0</v>
      </c>
      <c r="X30">
        <f>IF($F30="s-curve",$D30+($E30-$D30)*$J$2/(1+EXP($J$3*(COUNT($I$7:X$7)+$J$4))),TREND($D30:$E30,$D$7:$E$7,X$7))</f>
        <v>0</v>
      </c>
      <c r="Y30">
        <f>IF($F30="s-curve",$D30+($E30-$D30)*$J$2/(1+EXP($J$3*(COUNT($I$7:Y$7)+$J$4))),TREND($D30:$E30,$D$7:$E$7,Y$7))</f>
        <v>0</v>
      </c>
      <c r="Z30">
        <f>IF($F30="s-curve",$D30+($E30-$D30)*$J$2/(1+EXP($J$3*(COUNT($I$7:Z$7)+$J$4))),TREND($D30:$E30,$D$7:$E$7,Z$7))</f>
        <v>0</v>
      </c>
      <c r="AA30">
        <f>IF($F30="s-curve",$D30+($E30-$D30)*$J$2/(1+EXP($J$3*(COUNT($I$7:AA$7)+$J$4))),TREND($D30:$E30,$D$7:$E$7,AA$7))</f>
        <v>0</v>
      </c>
      <c r="AB30">
        <f>IF($F30="s-curve",$D30+($E30-$D30)*$J$2/(1+EXP($J$3*(COUNT($I$7:AB$7)+$J$4))),TREND($D30:$E30,$D$7:$E$7,AB$7))</f>
        <v>0</v>
      </c>
      <c r="AC30">
        <f>IF($F30="s-curve",$D30+($E30-$D30)*$J$2/(1+EXP($J$3*(COUNT($I$7:AC$7)+$J$4))),TREND($D30:$E30,$D$7:$E$7,AC$7))</f>
        <v>0</v>
      </c>
      <c r="AD30">
        <f>IF($F30="s-curve",$D30+($E30-$D30)*$J$2/(1+EXP($J$3*(COUNT($I$7:AD$7)+$J$4))),TREND($D30:$E30,$D$7:$E$7,AD$7))</f>
        <v>0</v>
      </c>
      <c r="AE30">
        <f>IF($F30="s-curve",$D30+($E30-$D30)*$J$2/(1+EXP($J$3*(COUNT($I$7:AE$7)+$J$4))),TREND($D30:$E30,$D$7:$E$7,AE$7))</f>
        <v>0</v>
      </c>
      <c r="AF30">
        <f>IF($F30="s-curve",$D30+($E30-$D30)*$J$2/(1+EXP($J$3*(COUNT($I$7:AF$7)+$J$4))),TREND($D30:$E30,$D$7:$E$7,AF$7))</f>
        <v>0</v>
      </c>
      <c r="AG30">
        <f>IF($F30="s-curve",$D30+($E30-$D30)*$J$2/(1+EXP($J$3*(COUNT($I$7:AG$7)+$J$4))),TREND($D30:$E30,$D$7:$E$7,AG$7))</f>
        <v>0</v>
      </c>
      <c r="AH30">
        <f>IF($F30="s-curve",$D30+($E30-$D30)*$J$2/(1+EXP($J$3*(COUNT($I$7:AH$7)+$J$4))),TREND($D30:$E30,$D$7:$E$7,AH$7))</f>
        <v>0</v>
      </c>
      <c r="AI30">
        <f>IF($F30="s-curve",$D30+($E30-$D30)*$J$2/(1+EXP($J$3*(COUNT($I$7:AI$7)+$J$4))),TREND($D30:$E30,$D$7:$E$7,AI$7))</f>
        <v>0</v>
      </c>
      <c r="AJ30">
        <f>IF($F30="s-curve",$D30+($E30-$D30)*$J$2/(1+EXP($J$3*(COUNT($I$7:AJ$7)+$J$4))),TREND($D30:$E30,$D$7:$E$7,AJ$7))</f>
        <v>0</v>
      </c>
      <c r="AK30">
        <f>IF($F30="s-curve",$D30+($E30-$D30)*$J$2/(1+EXP($J$3*(COUNT($I$7:AK$7)+$J$4))),TREND($D30:$E30,$D$7:$E$7,AK$7))</f>
        <v>0</v>
      </c>
      <c r="AL30">
        <f>IF($F30="s-curve",$D30+($E30-$D30)*$J$2/(1+EXP($J$3*(COUNT($I$7:AL$7)+$J$4))),TREND($D30:$E30,$D$7:$E$7,AL$7))</f>
        <v>0</v>
      </c>
      <c r="AM30">
        <f>IF($F30="s-curve",$D30+($E30-$D30)*$J$2/(1+EXP($J$3*(COUNT($I$7:AM$7)+$J$4))),TREND($D30:$E30,$D$7:$E$7,AM$7))</f>
        <v>0</v>
      </c>
      <c r="AN30">
        <f>IF($F30="s-curve",$D30+($E30-$D30)*$J$2/(1+EXP($J$3*(COUNT($I$7:AN$7)+$J$4))),TREND($D30:$E30,$D$7:$E$7,AN$7))</f>
        <v>0</v>
      </c>
      <c r="AO30">
        <f>IF($F30="s-curve",$D30+($E30-$D30)*$J$2/(1+EXP($J$3*(COUNT($I$7:AO$7)+$J$4))),TREND($D30:$E30,$D$7:$E$7,AO$7))</f>
        <v>0</v>
      </c>
      <c r="AP30">
        <f>IF($F30="s-curve",$D30+($E30-$D30)*$J$2/(1+EXP($J$3*(COUNT($I$7:AP$7)+$J$4))),TREND($D30:$E30,$D$7:$E$7,AP$7))</f>
        <v>0</v>
      </c>
      <c r="AQ30">
        <f>IF($F30="s-curve",$D30+($E30-$D30)*$J$2/(1+EXP($J$3*(COUNT($I$7:AQ$7)+$J$4))),TREND($D30:$E30,$D$7:$E$7,AQ$7))</f>
        <v>0</v>
      </c>
    </row>
    <row r="31" spans="1:43" ht="15.75" thickBot="1" x14ac:dyDescent="0.3">
      <c r="A31" s="13"/>
      <c r="B31" s="13"/>
      <c r="C31" s="13" t="s">
        <v>6</v>
      </c>
      <c r="D31" s="13">
        <v>0</v>
      </c>
      <c r="E31" s="13">
        <v>0</v>
      </c>
      <c r="F31" s="24" t="str">
        <f t="shared" si="2"/>
        <v>n/a</v>
      </c>
      <c r="G31" s="45"/>
      <c r="I31" s="19">
        <f>D31</f>
        <v>0</v>
      </c>
      <c r="J31">
        <f>IF($F31="s-curve",$D31+($E31-$D31)*$J$2/(1+EXP($J$3*(COUNT($I$7:J$7)+$J$4))),TREND($D31:$E31,$D$7:$E$7,J$7))</f>
        <v>0</v>
      </c>
      <c r="K31">
        <f>IF($F31="s-curve",$D31+($E31-$D31)*$J$2/(1+EXP($J$3*(COUNT($I$7:K$7)+$J$4))),TREND($D31:$E31,$D$7:$E$7,K$7))</f>
        <v>0</v>
      </c>
      <c r="L31">
        <f>IF($F31="s-curve",$D31+($E31-$D31)*$J$2/(1+EXP($J$3*(COUNT($I$7:L$7)+$J$4))),TREND($D31:$E31,$D$7:$E$7,L$7))</f>
        <v>0</v>
      </c>
      <c r="M31">
        <f>IF($F31="s-curve",$D31+($E31-$D31)*$J$2/(1+EXP($J$3*(COUNT($I$7:M$7)+$J$4))),TREND($D31:$E31,$D$7:$E$7,M$7))</f>
        <v>0</v>
      </c>
      <c r="N31">
        <f>IF($F31="s-curve",$D31+($E31-$D31)*$J$2/(1+EXP($J$3*(COUNT($I$7:N$7)+$J$4))),TREND($D31:$E31,$D$7:$E$7,N$7))</f>
        <v>0</v>
      </c>
      <c r="O31">
        <f>IF($F31="s-curve",$D31+($E31-$D31)*$J$2/(1+EXP($J$3*(COUNT($I$7:O$7)+$J$4))),TREND($D31:$E31,$D$7:$E$7,O$7))</f>
        <v>0</v>
      </c>
      <c r="P31">
        <f>IF($F31="s-curve",$D31+($E31-$D31)*$J$2/(1+EXP($J$3*(COUNT($I$7:P$7)+$J$4))),TREND($D31:$E31,$D$7:$E$7,P$7))</f>
        <v>0</v>
      </c>
      <c r="Q31">
        <f>IF($F31="s-curve",$D31+($E31-$D31)*$J$2/(1+EXP($J$3*(COUNT($I$7:Q$7)+$J$4))),TREND($D31:$E31,$D$7:$E$7,Q$7))</f>
        <v>0</v>
      </c>
      <c r="R31">
        <f>IF($F31="s-curve",$D31+($E31-$D31)*$J$2/(1+EXP($J$3*(COUNT($I$7:R$7)+$J$4))),TREND($D31:$E31,$D$7:$E$7,R$7))</f>
        <v>0</v>
      </c>
      <c r="S31">
        <f>IF($F31="s-curve",$D31+($E31-$D31)*$J$2/(1+EXP($J$3*(COUNT($I$7:S$7)+$J$4))),TREND($D31:$E31,$D$7:$E$7,S$7))</f>
        <v>0</v>
      </c>
      <c r="T31">
        <f>IF($F31="s-curve",$D31+($E31-$D31)*$J$2/(1+EXP($J$3*(COUNT($I$7:T$7)+$J$4))),TREND($D31:$E31,$D$7:$E$7,T$7))</f>
        <v>0</v>
      </c>
      <c r="U31">
        <f>IF($F31="s-curve",$D31+($E31-$D31)*$J$2/(1+EXP($J$3*(COUNT($I$7:U$7)+$J$4))),TREND($D31:$E31,$D$7:$E$7,U$7))</f>
        <v>0</v>
      </c>
      <c r="V31">
        <f>IF($F31="s-curve",$D31+($E31-$D31)*$J$2/(1+EXP($J$3*(COUNT($I$7:V$7)+$J$4))),TREND($D31:$E31,$D$7:$E$7,V$7))</f>
        <v>0</v>
      </c>
      <c r="W31">
        <f>IF($F31="s-curve",$D31+($E31-$D31)*$J$2/(1+EXP($J$3*(COUNT($I$7:W$7)+$J$4))),TREND($D31:$E31,$D$7:$E$7,W$7))</f>
        <v>0</v>
      </c>
      <c r="X31">
        <f>IF($F31="s-curve",$D31+($E31-$D31)*$J$2/(1+EXP($J$3*(COUNT($I$7:X$7)+$J$4))),TREND($D31:$E31,$D$7:$E$7,X$7))</f>
        <v>0</v>
      </c>
      <c r="Y31">
        <f>IF($F31="s-curve",$D31+($E31-$D31)*$J$2/(1+EXP($J$3*(COUNT($I$7:Y$7)+$J$4))),TREND($D31:$E31,$D$7:$E$7,Y$7))</f>
        <v>0</v>
      </c>
      <c r="Z31">
        <f>IF($F31="s-curve",$D31+($E31-$D31)*$J$2/(1+EXP($J$3*(COUNT($I$7:Z$7)+$J$4))),TREND($D31:$E31,$D$7:$E$7,Z$7))</f>
        <v>0</v>
      </c>
      <c r="AA31">
        <f>IF($F31="s-curve",$D31+($E31-$D31)*$J$2/(1+EXP($J$3*(COUNT($I$7:AA$7)+$J$4))),TREND($D31:$E31,$D$7:$E$7,AA$7))</f>
        <v>0</v>
      </c>
      <c r="AB31">
        <f>IF($F31="s-curve",$D31+($E31-$D31)*$J$2/(1+EXP($J$3*(COUNT($I$7:AB$7)+$J$4))),TREND($D31:$E31,$D$7:$E$7,AB$7))</f>
        <v>0</v>
      </c>
      <c r="AC31">
        <f>IF($F31="s-curve",$D31+($E31-$D31)*$J$2/(1+EXP($J$3*(COUNT($I$7:AC$7)+$J$4))),TREND($D31:$E31,$D$7:$E$7,AC$7))</f>
        <v>0</v>
      </c>
      <c r="AD31">
        <f>IF($F31="s-curve",$D31+($E31-$D31)*$J$2/(1+EXP($J$3*(COUNT($I$7:AD$7)+$J$4))),TREND($D31:$E31,$D$7:$E$7,AD$7))</f>
        <v>0</v>
      </c>
      <c r="AE31">
        <f>IF($F31="s-curve",$D31+($E31-$D31)*$J$2/(1+EXP($J$3*(COUNT($I$7:AE$7)+$J$4))),TREND($D31:$E31,$D$7:$E$7,AE$7))</f>
        <v>0</v>
      </c>
      <c r="AF31">
        <f>IF($F31="s-curve",$D31+($E31-$D31)*$J$2/(1+EXP($J$3*(COUNT($I$7:AF$7)+$J$4))),TREND($D31:$E31,$D$7:$E$7,AF$7))</f>
        <v>0</v>
      </c>
      <c r="AG31">
        <f>IF($F31="s-curve",$D31+($E31-$D31)*$J$2/(1+EXP($J$3*(COUNT($I$7:AG$7)+$J$4))),TREND($D31:$E31,$D$7:$E$7,AG$7))</f>
        <v>0</v>
      </c>
      <c r="AH31">
        <f>IF($F31="s-curve",$D31+($E31-$D31)*$J$2/(1+EXP($J$3*(COUNT($I$7:AH$7)+$J$4))),TREND($D31:$E31,$D$7:$E$7,AH$7))</f>
        <v>0</v>
      </c>
      <c r="AI31">
        <f>IF($F31="s-curve",$D31+($E31-$D31)*$J$2/(1+EXP($J$3*(COUNT($I$7:AI$7)+$J$4))),TREND($D31:$E31,$D$7:$E$7,AI$7))</f>
        <v>0</v>
      </c>
      <c r="AJ31">
        <f>IF($F31="s-curve",$D31+($E31-$D31)*$J$2/(1+EXP($J$3*(COUNT($I$7:AJ$7)+$J$4))),TREND($D31:$E31,$D$7:$E$7,AJ$7))</f>
        <v>0</v>
      </c>
      <c r="AK31">
        <f>IF($F31="s-curve",$D31+($E31-$D31)*$J$2/(1+EXP($J$3*(COUNT($I$7:AK$7)+$J$4))),TREND($D31:$E31,$D$7:$E$7,AK$7))</f>
        <v>0</v>
      </c>
      <c r="AL31">
        <f>IF($F31="s-curve",$D31+($E31-$D31)*$J$2/(1+EXP($J$3*(COUNT($I$7:AL$7)+$J$4))),TREND($D31:$E31,$D$7:$E$7,AL$7))</f>
        <v>0</v>
      </c>
      <c r="AM31">
        <f>IF($F31="s-curve",$D31+($E31-$D31)*$J$2/(1+EXP($J$3*(COUNT($I$7:AM$7)+$J$4))),TREND($D31:$E31,$D$7:$E$7,AM$7))</f>
        <v>0</v>
      </c>
      <c r="AN31">
        <f>IF($F31="s-curve",$D31+($E31-$D31)*$J$2/(1+EXP($J$3*(COUNT($I$7:AN$7)+$J$4))),TREND($D31:$E31,$D$7:$E$7,AN$7))</f>
        <v>0</v>
      </c>
      <c r="AO31">
        <f>IF($F31="s-curve",$D31+($E31-$D31)*$J$2/(1+EXP($J$3*(COUNT($I$7:AO$7)+$J$4))),TREND($D31:$E31,$D$7:$E$7,AO$7))</f>
        <v>0</v>
      </c>
      <c r="AP31">
        <f>IF($F31="s-curve",$D31+($E31-$D31)*$J$2/(1+EXP($J$3*(COUNT($I$7:AP$7)+$J$4))),TREND($D31:$E31,$D$7:$E$7,AP$7))</f>
        <v>0</v>
      </c>
      <c r="AQ31">
        <f>IF($F31="s-curve",$D31+($E31-$D31)*$J$2/(1+EXP($J$3*(COUNT($I$7:AQ$7)+$J$4))),TREND($D31:$E31,$D$7:$E$7,AQ$7))</f>
        <v>0</v>
      </c>
    </row>
  </sheetData>
  <pageMargins left="0.7" right="0.7" top="0.75" bottom="0.75" header="0.3" footer="0.3"/>
  <ignoredErrors>
    <ignoredError sqref="I8:AP31"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selection activeCell="B7" sqref="B7:AJ7"/>
    </sheetView>
  </sheetViews>
  <sheetFormatPr defaultRowHeight="15" x14ac:dyDescent="0.25"/>
  <cols>
    <col min="1" max="1" width="24.42578125" customWidth="1"/>
    <col min="2" max="2" width="12" bestFit="1" customWidth="1"/>
  </cols>
  <sheetData>
    <row r="1" spans="1:37"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7" x14ac:dyDescent="0.25">
      <c r="A2" t="s">
        <v>1</v>
      </c>
      <c r="B2" s="36">
        <f>'E3 CA Pathways Data'!C36</f>
        <v>3.0488277303078595E-4</v>
      </c>
      <c r="C2" s="37">
        <f>'E3 CA Pathways Data'!D36</f>
        <v>5.8162782430960412E-4</v>
      </c>
      <c r="D2" s="38">
        <f>'E3 CA Pathways Data'!E36</f>
        <v>1.1129020069944376E-3</v>
      </c>
      <c r="E2" s="38">
        <f>'E3 CA Pathways Data'!F36</f>
        <v>2.1461689306474818E-3</v>
      </c>
      <c r="F2" s="38">
        <f>'E3 CA Pathways Data'!G36</f>
        <v>4.0288394037690653E-3</v>
      </c>
      <c r="G2" s="38">
        <f>'E3 CA Pathways Data'!H36</f>
        <v>7.4906770885331915E-3</v>
      </c>
      <c r="H2" s="38">
        <f>'E3 CA Pathways Data'!I36</f>
        <v>1.3517357406242032E-2</v>
      </c>
      <c r="I2" s="38">
        <f>'E3 CA Pathways Data'!J36</f>
        <v>2.2982545735802055E-2</v>
      </c>
      <c r="J2" s="38">
        <f>'E3 CA Pathways Data'!K36</f>
        <v>3.6100625430259006E-2</v>
      </c>
      <c r="K2" s="38">
        <f>'E3 CA Pathways Data'!L36</f>
        <v>5.1007504898493476E-2</v>
      </c>
      <c r="L2" s="38">
        <f>'E3 CA Pathways Data'!M36</f>
        <v>6.5037979629942608E-2</v>
      </c>
      <c r="M2" s="38">
        <f>'E3 CA Pathways Data'!N36</f>
        <v>7.4050885315216641E-2</v>
      </c>
      <c r="N2" s="38">
        <f>'E3 CA Pathways Data'!O36</f>
        <v>7.5902621523547001E-2</v>
      </c>
      <c r="O2" s="38">
        <f>'E3 CA Pathways Data'!P36</f>
        <v>7.9969093347147788E-2</v>
      </c>
      <c r="P2" s="38">
        <f>'E3 CA Pathways Data'!Q36</f>
        <v>8.5852277837120988E-2</v>
      </c>
      <c r="Q2" s="38">
        <f>'E3 CA Pathways Data'!R36</f>
        <v>0.11534283643938814</v>
      </c>
      <c r="R2" s="38">
        <f>'E3 CA Pathways Data'!S36</f>
        <v>0.12811123305619118</v>
      </c>
      <c r="S2" s="38">
        <f>'E3 CA Pathways Data'!T36</f>
        <v>0.14218904342467634</v>
      </c>
      <c r="T2" s="38">
        <f>'E3 CA Pathways Data'!U36</f>
        <v>0.15715570181946473</v>
      </c>
      <c r="U2" s="38">
        <f>'E3 CA Pathways Data'!V36</f>
        <v>0.1731213011822107</v>
      </c>
      <c r="V2" s="38">
        <f>'E3 CA Pathways Data'!W36</f>
        <v>0.18486860061492827</v>
      </c>
      <c r="W2" s="38">
        <f>'E3 CA Pathways Data'!X36</f>
        <v>0.19423054875748727</v>
      </c>
      <c r="X2" s="38">
        <f>'E3 CA Pathways Data'!Y36</f>
        <v>0.20084403712521437</v>
      </c>
      <c r="Y2" s="38">
        <f>'E3 CA Pathways Data'!Z36</f>
        <v>0.20479752177578159</v>
      </c>
      <c r="Z2" s="38">
        <f>'E3 CA Pathways Data'!AA36</f>
        <v>0.20639531008340065</v>
      </c>
      <c r="AA2" s="38">
        <f>'E3 CA Pathways Data'!AB36</f>
        <v>0.20728510856694907</v>
      </c>
      <c r="AB2" s="38">
        <f>'E3 CA Pathways Data'!AC36</f>
        <v>0.20588455805887448</v>
      </c>
      <c r="AC2" s="38">
        <f>'E3 CA Pathways Data'!AD36</f>
        <v>0.20385033158989424</v>
      </c>
      <c r="AD2" s="38">
        <f>'E3 CA Pathways Data'!AE36</f>
        <v>0.20227351020954942</v>
      </c>
      <c r="AE2" s="38">
        <f>'E3 CA Pathways Data'!AF36</f>
        <v>0.20166122148318133</v>
      </c>
      <c r="AF2" s="38">
        <f>'E3 CA Pathways Data'!AG36</f>
        <v>0.20261096540975015</v>
      </c>
      <c r="AG2" s="38">
        <f>'E3 CA Pathways Data'!AH36</f>
        <v>0.20489760435659818</v>
      </c>
      <c r="AH2" s="38">
        <f>'E3 CA Pathways Data'!AI36</f>
        <v>0.20845095527969446</v>
      </c>
      <c r="AI2" s="38">
        <f>'E3 CA Pathways Data'!AJ36</f>
        <v>0.21348747434665985</v>
      </c>
      <c r="AJ2" s="38">
        <f>'E3 CA Pathways Data'!AK36</f>
        <v>0.22004100001089974</v>
      </c>
    </row>
    <row r="3" spans="1:37" x14ac:dyDescent="0.25">
      <c r="A3" t="s">
        <v>2</v>
      </c>
      <c r="B3" s="36">
        <f>'E3 CA Pathways Data'!C41</f>
        <v>2.0454679930617316E-2</v>
      </c>
      <c r="C3" s="11">
        <f>'E3 CA Pathways Data'!D41</f>
        <v>3.0682019895925974E-2</v>
      </c>
      <c r="D3" s="11">
        <f>'E3 CA Pathways Data'!E41</f>
        <v>4.0909359861234632E-2</v>
      </c>
      <c r="E3" s="11">
        <f>'E3 CA Pathways Data'!F41</f>
        <v>5.1136699826543286E-2</v>
      </c>
      <c r="F3" s="11">
        <f>'E3 CA Pathways Data'!G41</f>
        <v>6.136403979185194E-2</v>
      </c>
      <c r="G3" s="11">
        <f>'E3 CA Pathways Data'!H41</f>
        <v>7.1591379757160595E-2</v>
      </c>
      <c r="H3" s="11">
        <f>'E3 CA Pathways Data'!I41</f>
        <v>8.1818719722469249E-2</v>
      </c>
      <c r="I3" s="11">
        <f>'E3 CA Pathways Data'!J41</f>
        <v>9.2046059687777917E-2</v>
      </c>
      <c r="J3" s="11">
        <f>'E3 CA Pathways Data'!K41</f>
        <v>9.9316961136162868E-2</v>
      </c>
      <c r="K3" s="11">
        <f>'E3 CA Pathways Data'!L41</f>
        <v>0.10658786258454782</v>
      </c>
      <c r="L3" s="11">
        <f>'E3 CA Pathways Data'!M41</f>
        <v>0.11385876403293277</v>
      </c>
      <c r="M3" s="11">
        <f>'E3 CA Pathways Data'!N41</f>
        <v>0.12112966548131772</v>
      </c>
      <c r="N3" s="11">
        <f>'E3 CA Pathways Data'!O41</f>
        <v>0.12840056692970267</v>
      </c>
      <c r="O3" s="11">
        <f>'E3 CA Pathways Data'!P41</f>
        <v>0.13567146837808761</v>
      </c>
      <c r="P3" s="11">
        <f>'E3 CA Pathways Data'!Q41</f>
        <v>0.14294236982647254</v>
      </c>
      <c r="Q3" s="11">
        <f>'E3 CA Pathways Data'!R41</f>
        <v>0.15021327127485748</v>
      </c>
      <c r="R3" s="11">
        <f>'E3 CA Pathways Data'!S41</f>
        <v>0.1568724028316314</v>
      </c>
      <c r="S3" s="11">
        <f>'E3 CA Pathways Data'!T41</f>
        <v>0.1654647889803382</v>
      </c>
      <c r="T3" s="11">
        <f>'E3 CA Pathways Data'!U41</f>
        <v>0.17628690938170496</v>
      </c>
      <c r="U3" s="11">
        <f>'E3 CA Pathways Data'!V41</f>
        <v>0.18977515020239255</v>
      </c>
      <c r="V3" s="11">
        <f>'E3 CA Pathways Data'!W41</f>
        <v>0.20077923469523767</v>
      </c>
      <c r="W3" s="11">
        <f>'E3 CA Pathways Data'!X41</f>
        <v>0.21078991749874734</v>
      </c>
      <c r="X3" s="11">
        <f>'E3 CA Pathways Data'!Y41</f>
        <v>0.21782999800921926</v>
      </c>
      <c r="Y3" s="11">
        <f>'E3 CA Pathways Data'!Z41</f>
        <v>0.2197411301099032</v>
      </c>
      <c r="Z3" s="11">
        <f>'E3 CA Pathways Data'!AA41</f>
        <v>0.21446598853620155</v>
      </c>
      <c r="AA3" s="11">
        <f>'E3 CA Pathways Data'!AB41</f>
        <v>0.20428677226849998</v>
      </c>
      <c r="AB3" s="11">
        <f>'E3 CA Pathways Data'!AC41</f>
        <v>0.1907350273566881</v>
      </c>
      <c r="AC3" s="11">
        <f>'E3 CA Pathways Data'!AD41</f>
        <v>0.17846452681488872</v>
      </c>
      <c r="AD3" s="11">
        <f>'E3 CA Pathways Data'!AE41</f>
        <v>0.16724610556927716</v>
      </c>
      <c r="AE3" s="11">
        <f>'E3 CA Pathways Data'!AF41</f>
        <v>0.15769087433526732</v>
      </c>
      <c r="AF3" s="11">
        <f>'E3 CA Pathways Data'!AG41</f>
        <v>0.1492799977908672</v>
      </c>
      <c r="AG3" s="11">
        <f>'E3 CA Pathways Data'!AH41</f>
        <v>0.14234259630774743</v>
      </c>
      <c r="AH3" s="11">
        <f>'E3 CA Pathways Data'!AI41</f>
        <v>0.13650469749833974</v>
      </c>
      <c r="AI3" s="11">
        <f>'E3 CA Pathways Data'!AJ41</f>
        <v>0.13228317676968104</v>
      </c>
      <c r="AJ3" s="11">
        <f>'E3 CA Pathways Data'!AK41</f>
        <v>0.12994815030783957</v>
      </c>
      <c r="AK3" s="11"/>
    </row>
    <row r="4" spans="1:37" x14ac:dyDescent="0.25">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row>
    <row r="5" spans="1:37" x14ac:dyDescent="0.25">
      <c r="A5" t="s">
        <v>4</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row>
    <row r="6" spans="1:37"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7"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topLeftCell="U1" workbookViewId="0">
      <selection activeCell="B5" sqref="B5:AJ7"/>
    </sheetView>
  </sheetViews>
  <sheetFormatPr defaultRowHeight="15" x14ac:dyDescent="0.25"/>
  <cols>
    <col min="1" max="1" width="24.4257812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'E3 CA Pathways Data'!C79</f>
        <v>7.7794901151029871E-3</v>
      </c>
      <c r="C2">
        <f>'E3 CA Pathways Data'!D79</f>
        <v>1.5511728699531088E-2</v>
      </c>
      <c r="D2">
        <f>'E3 CA Pathways Data'!E79</f>
        <v>2.324396728395919E-2</v>
      </c>
      <c r="E2">
        <f>'E3 CA Pathways Data'!F79</f>
        <v>3.0976205868387292E-2</v>
      </c>
      <c r="F2">
        <f>'E3 CA Pathways Data'!G79</f>
        <v>3.8708444452815391E-2</v>
      </c>
      <c r="G2">
        <f>'E3 CA Pathways Data'!H79</f>
        <v>4.644068303724349E-2</v>
      </c>
      <c r="H2">
        <f>'E3 CA Pathways Data'!I79</f>
        <v>5.4172921621671588E-2</v>
      </c>
      <c r="I2">
        <f>'E3 CA Pathways Data'!J79</f>
        <v>6.1905160206099687E-2</v>
      </c>
      <c r="J2">
        <f>'E3 CA Pathways Data'!K79</f>
        <v>6.9637398790527785E-2</v>
      </c>
      <c r="K2">
        <f>'E3 CA Pathways Data'!L79</f>
        <v>7.7369637374955891E-2</v>
      </c>
      <c r="L2">
        <f>'E3 CA Pathways Data'!M79</f>
        <v>8.5101875959383996E-2</v>
      </c>
      <c r="M2">
        <f>'E3 CA Pathways Data'!N79</f>
        <v>9.2834114543812102E-2</v>
      </c>
      <c r="N2">
        <f>'E3 CA Pathways Data'!O79</f>
        <v>0.10056635312824021</v>
      </c>
      <c r="O2">
        <f>'E3 CA Pathways Data'!P79</f>
        <v>0.10829859171266831</v>
      </c>
      <c r="P2">
        <f>'E3 CA Pathways Data'!Q79</f>
        <v>0.11603083029709642</v>
      </c>
      <c r="Q2">
        <f>'E3 CA Pathways Data'!R79</f>
        <v>0.12376306888152452</v>
      </c>
      <c r="R2">
        <f>'E3 CA Pathways Data'!S79</f>
        <v>0.13149530746595262</v>
      </c>
      <c r="S2">
        <f>'E3 CA Pathways Data'!T79</f>
        <v>0.13922754605038071</v>
      </c>
      <c r="T2">
        <f>'E3 CA Pathways Data'!U79</f>
        <v>0.1469597846348088</v>
      </c>
      <c r="U2">
        <f>'E3 CA Pathways Data'!V79</f>
        <v>0.16242426180366501</v>
      </c>
      <c r="V2">
        <f>'E3 CA Pathways Data'!W79</f>
        <v>0.16242426180366501</v>
      </c>
      <c r="W2">
        <f>'E3 CA Pathways Data'!X79</f>
        <v>0.16242426180366501</v>
      </c>
      <c r="X2">
        <f>'E3 CA Pathways Data'!Y79</f>
        <v>0.16242426180366501</v>
      </c>
      <c r="Y2">
        <f>'E3 CA Pathways Data'!Z79</f>
        <v>0.16242426180366501</v>
      </c>
      <c r="Z2">
        <f>'E3 CA Pathways Data'!AA79</f>
        <v>0.16242426180366501</v>
      </c>
      <c r="AA2">
        <f>'E3 CA Pathways Data'!AB79</f>
        <v>0.16242426180366501</v>
      </c>
      <c r="AB2">
        <f>'E3 CA Pathways Data'!AC79</f>
        <v>0.16242426180366501</v>
      </c>
      <c r="AC2">
        <f>'E3 CA Pathways Data'!AD79</f>
        <v>0.16242426180366501</v>
      </c>
      <c r="AD2">
        <f>'E3 CA Pathways Data'!AE79</f>
        <v>0.16242426180366501</v>
      </c>
      <c r="AE2">
        <f>'E3 CA Pathways Data'!AF79</f>
        <v>0.16242426180366501</v>
      </c>
      <c r="AF2">
        <f>'E3 CA Pathways Data'!AG79</f>
        <v>0.16242426180366501</v>
      </c>
      <c r="AG2">
        <f>'E3 CA Pathways Data'!AH79</f>
        <v>0.16242426180366501</v>
      </c>
      <c r="AH2">
        <f>'E3 CA Pathways Data'!AI79</f>
        <v>0.16242426180366501</v>
      </c>
      <c r="AI2">
        <f>'E3 CA Pathways Data'!AJ79</f>
        <v>0.16242426180366501</v>
      </c>
      <c r="AJ2">
        <f>'E3 CA Pathways Data'!AK79</f>
        <v>0.16242426180366501</v>
      </c>
    </row>
    <row r="3" spans="1:36" x14ac:dyDescent="0.25">
      <c r="A3" t="s">
        <v>2</v>
      </c>
      <c r="B3">
        <f>'E3 CA Pathways Data'!C78</f>
        <v>6.6106179030586104E-2</v>
      </c>
      <c r="C3">
        <f>'E3 CA Pathways Data'!D78</f>
        <v>6.6106179030586104E-2</v>
      </c>
      <c r="D3">
        <f>'E3 CA Pathways Data'!E78</f>
        <v>6.6106179030586104E-2</v>
      </c>
      <c r="E3">
        <f>'E3 CA Pathways Data'!F78</f>
        <v>6.6106179030586104E-2</v>
      </c>
      <c r="F3">
        <f>'E3 CA Pathways Data'!G78</f>
        <v>6.6106179030586104E-2</v>
      </c>
      <c r="G3">
        <f>'E3 CA Pathways Data'!H78</f>
        <v>6.6106179030586104E-2</v>
      </c>
      <c r="H3">
        <f>'E3 CA Pathways Data'!I78</f>
        <v>6.6106179030586104E-2</v>
      </c>
      <c r="I3">
        <f>'E3 CA Pathways Data'!J78</f>
        <v>3.0597495154738596E-2</v>
      </c>
      <c r="J3">
        <f>'E3 CA Pathways Data'!K78</f>
        <v>3.3292706666782877E-2</v>
      </c>
      <c r="K3">
        <f>'E3 CA Pathways Data'!L78</f>
        <v>3.1778609834003678E-2</v>
      </c>
      <c r="L3">
        <f>'E3 CA Pathways Data'!M78</f>
        <v>3.5095125593338924E-2</v>
      </c>
      <c r="M3">
        <f>'E3 CA Pathways Data'!N78</f>
        <v>3.4289979252336913E-2</v>
      </c>
      <c r="N3">
        <f>'E3 CA Pathways Data'!O78</f>
        <v>3.2687230880041662E-2</v>
      </c>
      <c r="O3">
        <f>'E3 CA Pathways Data'!P78</f>
        <v>3.413739797112534E-2</v>
      </c>
      <c r="P3">
        <f>'E3 CA Pathways Data'!Q78</f>
        <v>3.2215386458740919E-2</v>
      </c>
      <c r="Q3">
        <f>'E3 CA Pathways Data'!R78</f>
        <v>3.1550084084721638E-2</v>
      </c>
      <c r="R3">
        <f>'E3 CA Pathways Data'!S78</f>
        <v>3.3004536649579905E-2</v>
      </c>
      <c r="S3">
        <f>'E3 CA Pathways Data'!T78</f>
        <v>2.6371399019781163E-2</v>
      </c>
      <c r="T3">
        <f>'E3 CA Pathways Data'!U78</f>
        <v>2.2331990746229966E-2</v>
      </c>
      <c r="U3">
        <f>'E3 CA Pathways Data'!V78</f>
        <v>1.8332186058043411E-2</v>
      </c>
      <c r="V3">
        <f>'E3 CA Pathways Data'!W78</f>
        <v>1.1994559219787078E-2</v>
      </c>
      <c r="W3">
        <f>'E3 CA Pathways Data'!X78</f>
        <v>7.3639218219586312E-3</v>
      </c>
      <c r="X3">
        <f>'E3 CA Pathways Data'!Y78</f>
        <v>6.4539188458023868E-3</v>
      </c>
      <c r="Y3">
        <f>'E3 CA Pathways Data'!Z78</f>
        <v>5.4405231017068461E-3</v>
      </c>
      <c r="Z3">
        <f>'E3 CA Pathways Data'!AA78</f>
        <v>4.9441949011828218E-3</v>
      </c>
      <c r="AA3">
        <f>'E3 CA Pathways Data'!AB78</f>
        <v>4.5623399953271032E-3</v>
      </c>
      <c r="AB3">
        <f>'E3 CA Pathways Data'!AC78</f>
        <v>4.7104690661668525E-3</v>
      </c>
      <c r="AC3">
        <f>'E3 CA Pathways Data'!AD78</f>
        <v>4.4934300127936486E-3</v>
      </c>
      <c r="AD3">
        <f>'E3 CA Pathways Data'!AE78</f>
        <v>4.1541622073414759E-3</v>
      </c>
      <c r="AE3">
        <f>'E3 CA Pathways Data'!AF78</f>
        <v>3.670601037888634E-3</v>
      </c>
      <c r="AF3">
        <f>'E3 CA Pathways Data'!AG78</f>
        <v>3.4218902394356405E-3</v>
      </c>
      <c r="AG3">
        <f>'E3 CA Pathways Data'!AH78</f>
        <v>3.7483503071493148E-3</v>
      </c>
      <c r="AH3">
        <f>'E3 CA Pathways Data'!AI78</f>
        <v>2.8885542281151572E-3</v>
      </c>
      <c r="AI3">
        <f>'E3 CA Pathways Data'!AJ78</f>
        <v>3.0247598430601036E-3</v>
      </c>
      <c r="AJ3">
        <f>'E3 CA Pathways Data'!AK78</f>
        <v>3.0696114039434957E-3</v>
      </c>
    </row>
    <row r="4" spans="1:36" x14ac:dyDescent="0.25">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row>
    <row r="5" spans="1:36" x14ac:dyDescent="0.25">
      <c r="A5" t="s">
        <v>4</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row>
    <row r="6" spans="1:36"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K2" sqref="K2"/>
    </sheetView>
  </sheetViews>
  <sheetFormatPr defaultRowHeight="15" x14ac:dyDescent="0.25"/>
  <cols>
    <col min="1" max="1" width="24.4257812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s="305">
        <f>'E3 CA Pathways Data'!C19</f>
        <v>1.0305633546998377E-5</v>
      </c>
      <c r="C2" s="305">
        <f>'E3 CA Pathways Data'!D19</f>
        <v>5.4484463864333933E-4</v>
      </c>
      <c r="D2" s="305">
        <f>'E3 CA Pathways Data'!E19</f>
        <v>1.0812103524181949E-3</v>
      </c>
      <c r="E2" s="305">
        <f>'E3 CA Pathways Data'!F19</f>
        <v>1.6201702187689014E-3</v>
      </c>
      <c r="F2" s="305">
        <f>'E3 CA Pathways Data'!G19</f>
        <v>2.1628131716983768E-3</v>
      </c>
      <c r="G2" s="305">
        <f>'E3 CA Pathways Data'!H19</f>
        <v>2.3154428529577795E-3</v>
      </c>
      <c r="H2" s="305">
        <f>'E3 CA Pathways Data'!I19</f>
        <v>3.8036622666185928E-3</v>
      </c>
      <c r="I2" s="305">
        <f>'E3 CA Pathways Data'!J19</f>
        <v>5.3024576889237601E-3</v>
      </c>
      <c r="J2" s="305">
        <f>'E3 CA Pathways Data'!K19</f>
        <v>6.8161839796633834E-3</v>
      </c>
      <c r="K2" s="305">
        <f>'E3 CA Pathways Data'!L19</f>
        <v>8.3520646224713203E-3</v>
      </c>
      <c r="L2" s="305">
        <f>'E3 CA Pathways Data'!M19</f>
        <v>9.9196914329575375E-3</v>
      </c>
      <c r="M2" s="305">
        <f>'E3 CA Pathways Data'!N19</f>
        <v>1.1533804203624638E-2</v>
      </c>
      <c r="N2" s="305">
        <f>'E3 CA Pathways Data'!O19</f>
        <v>1.3212750100950328E-2</v>
      </c>
      <c r="O2" s="305">
        <f>'E3 CA Pathways Data'!P19</f>
        <v>1.4978709441439413E-2</v>
      </c>
      <c r="P2" s="305">
        <f>'E3 CA Pathways Data'!Q19</f>
        <v>1.686715653421992E-2</v>
      </c>
      <c r="Q2" s="305">
        <f>'E3 CA Pathways Data'!R19</f>
        <v>1.7452429630603141E-2</v>
      </c>
      <c r="R2" s="305">
        <f>'E3 CA Pathways Data'!S19</f>
        <v>1.8252091592464683E-2</v>
      </c>
      <c r="S2" s="305">
        <f>'E3 CA Pathways Data'!T19</f>
        <v>1.930962773115814E-2</v>
      </c>
      <c r="T2" s="305">
        <f>'E3 CA Pathways Data'!U19</f>
        <v>2.0645547484440602E-2</v>
      </c>
      <c r="U2" s="305">
        <f>'E3 CA Pathways Data'!V19</f>
        <v>2.227984988575802E-2</v>
      </c>
      <c r="V2" s="305">
        <f>'E3 CA Pathways Data'!W19</f>
        <v>2.4351382097598281E-2</v>
      </c>
      <c r="W2" s="305">
        <f>'E3 CA Pathways Data'!X19</f>
        <v>2.6780347678412825E-2</v>
      </c>
      <c r="X2" s="305">
        <f>'E3 CA Pathways Data'!Y19</f>
        <v>2.959279838406214E-2</v>
      </c>
      <c r="Y2" s="305">
        <f>'E3 CA Pathways Data'!Z19</f>
        <v>3.296016585537094E-2</v>
      </c>
      <c r="Z2" s="305">
        <f>'E3 CA Pathways Data'!AA19</f>
        <v>3.7044072556909544E-2</v>
      </c>
      <c r="AA2" s="305">
        <f>'E3 CA Pathways Data'!AB19</f>
        <v>4.2587001700939785E-2</v>
      </c>
      <c r="AB2" s="305">
        <f>'E3 CA Pathways Data'!AC19</f>
        <v>4.8824688905534944E-2</v>
      </c>
      <c r="AC2" s="305">
        <f>'E3 CA Pathways Data'!AD19</f>
        <v>5.5696411133113868E-2</v>
      </c>
      <c r="AD2" s="305">
        <f>'E3 CA Pathways Data'!AE19</f>
        <v>6.2507718136069854E-2</v>
      </c>
      <c r="AE2" s="305">
        <f>'E3 CA Pathways Data'!AF19</f>
        <v>6.8291604581333792E-2</v>
      </c>
      <c r="AF2" s="305">
        <f>'E3 CA Pathways Data'!AG19</f>
        <v>7.2692810910213151E-2</v>
      </c>
      <c r="AG2" s="305">
        <f>'E3 CA Pathways Data'!AH19</f>
        <v>7.5988175216137654E-2</v>
      </c>
      <c r="AH2" s="305">
        <f>'E3 CA Pathways Data'!AI19</f>
        <v>7.8326193623499962E-2</v>
      </c>
      <c r="AI2" s="305">
        <f>'E3 CA Pathways Data'!AJ19</f>
        <v>8.023941933703102E-2</v>
      </c>
      <c r="AJ2" s="305">
        <f>'E3 CA Pathways Data'!AK19</f>
        <v>8.1928860028081779E-2</v>
      </c>
    </row>
    <row r="3" spans="1:36" x14ac:dyDescent="0.25">
      <c r="A3" t="s">
        <v>2</v>
      </c>
      <c r="B3" s="305">
        <f>'E3 CA Pathways Data'!C16</f>
        <v>3.6024383914620761E-2</v>
      </c>
      <c r="C3" s="305">
        <f>'E3 CA Pathways Data'!D16</f>
        <v>3.6462653477629461E-2</v>
      </c>
      <c r="D3" s="305">
        <f>'E3 CA Pathways Data'!E16</f>
        <v>4.3144326363981203E-2</v>
      </c>
      <c r="E3" s="305">
        <f>'E3 CA Pathways Data'!F16</f>
        <v>6.6919624712458742E-2</v>
      </c>
      <c r="F3" s="305">
        <f>'E3 CA Pathways Data'!G16</f>
        <v>7.3589795461415516E-2</v>
      </c>
      <c r="G3" s="305">
        <f>'E3 CA Pathways Data'!H16</f>
        <v>7.3995889570572224E-2</v>
      </c>
      <c r="H3" s="305">
        <f>'E3 CA Pathways Data'!I16</f>
        <v>7.3941641933141927E-2</v>
      </c>
      <c r="I3" s="305">
        <f>'E3 CA Pathways Data'!J16</f>
        <v>7.3765466538021546E-2</v>
      </c>
      <c r="J3" s="305">
        <f>'E3 CA Pathways Data'!K16</f>
        <v>7.3390425673746817E-2</v>
      </c>
      <c r="K3" s="305">
        <f>'E3 CA Pathways Data'!L16</f>
        <v>7.2711754938639031E-2</v>
      </c>
      <c r="L3" s="305">
        <f>'E3 CA Pathways Data'!M16</f>
        <v>7.1783713410042888E-2</v>
      </c>
      <c r="M3" s="305">
        <f>'E3 CA Pathways Data'!N16</f>
        <v>7.0928410475214504E-2</v>
      </c>
      <c r="N3" s="305">
        <f>'E3 CA Pathways Data'!O16</f>
        <v>7.046952930598549E-2</v>
      </c>
      <c r="O3" s="305">
        <f>'E3 CA Pathways Data'!P16</f>
        <v>7.0480107190890234E-2</v>
      </c>
      <c r="P3" s="305">
        <f>'E3 CA Pathways Data'!Q16</f>
        <v>7.0984200063350766E-2</v>
      </c>
      <c r="Q3" s="305">
        <f>'E3 CA Pathways Data'!R16</f>
        <v>7.1919687389127879E-2</v>
      </c>
      <c r="R3" s="305">
        <f>'E3 CA Pathways Data'!S16</f>
        <v>7.3416383499723417E-2</v>
      </c>
      <c r="S3" s="305">
        <f>'E3 CA Pathways Data'!T16</f>
        <v>7.5395217089357827E-2</v>
      </c>
      <c r="T3" s="305">
        <f>'E3 CA Pathways Data'!U16</f>
        <v>7.7468259971809422E-2</v>
      </c>
      <c r="U3" s="305">
        <f>'E3 CA Pathways Data'!V16</f>
        <v>7.9363058535092623E-2</v>
      </c>
      <c r="V3" s="305">
        <f>'E3 CA Pathways Data'!W16</f>
        <v>8.230939704278907E-2</v>
      </c>
      <c r="W3" s="305">
        <f>'E3 CA Pathways Data'!X16</f>
        <v>8.5071711087054094E-2</v>
      </c>
      <c r="X3" s="305">
        <f>'E3 CA Pathways Data'!Y16</f>
        <v>8.7719453758433846E-2</v>
      </c>
      <c r="Y3" s="305">
        <f>'E3 CA Pathways Data'!Z16</f>
        <v>9.1121837636602185E-2</v>
      </c>
      <c r="Z3" s="305">
        <f>'E3 CA Pathways Data'!AA16</f>
        <v>9.5418879018096717E-2</v>
      </c>
      <c r="AA3" s="305">
        <f>'E3 CA Pathways Data'!AB16</f>
        <v>0.1037776713491271</v>
      </c>
      <c r="AB3" s="305">
        <f>'E3 CA Pathways Data'!AC16</f>
        <v>0.11158543168656221</v>
      </c>
      <c r="AC3" s="305">
        <f>'E3 CA Pathways Data'!AD16</f>
        <v>0.12034946018462923</v>
      </c>
      <c r="AD3" s="305">
        <f>'E3 CA Pathways Data'!AE16</f>
        <v>0.1293841217470057</v>
      </c>
      <c r="AE3" s="305">
        <f>'E3 CA Pathways Data'!AF16</f>
        <v>0.1368285722125355</v>
      </c>
      <c r="AF3" s="305">
        <f>'E3 CA Pathways Data'!AG16</f>
        <v>0.14210099530638262</v>
      </c>
      <c r="AG3" s="305">
        <f>'E3 CA Pathways Data'!AH16</f>
        <v>0.14582291244536905</v>
      </c>
      <c r="AH3" s="305">
        <f>'E3 CA Pathways Data'!AI16</f>
        <v>0.14804408325577878</v>
      </c>
      <c r="AI3" s="305">
        <f>'E3 CA Pathways Data'!AJ16</f>
        <v>0.14978561477255783</v>
      </c>
      <c r="AJ3" s="305">
        <f>'E3 CA Pathways Data'!AK16</f>
        <v>0.15130775614249228</v>
      </c>
    </row>
    <row r="4" spans="1:36" x14ac:dyDescent="0.2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4</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row>
    <row r="6" spans="1:36"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topLeftCell="I1" workbookViewId="0">
      <selection activeCell="B2" sqref="B2:AJ7"/>
    </sheetView>
  </sheetViews>
  <sheetFormatPr defaultRowHeight="15" x14ac:dyDescent="0.25"/>
  <cols>
    <col min="1" max="1" width="24.4257812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6</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2" sqref="B2:AJ7"/>
    </sheetView>
  </sheetViews>
  <sheetFormatPr defaultRowHeight="15" x14ac:dyDescent="0.25"/>
  <cols>
    <col min="1" max="1" width="24.4257812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6</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2" sqref="B2:AJ7"/>
    </sheetView>
  </sheetViews>
  <sheetFormatPr defaultRowHeight="15" x14ac:dyDescent="0.25"/>
  <cols>
    <col min="1" max="1" width="24.4257812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6</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2" sqref="B2:AJ7"/>
    </sheetView>
  </sheetViews>
  <sheetFormatPr defaultRowHeight="15" x14ac:dyDescent="0.25"/>
  <cols>
    <col min="1" max="1" width="24.4257812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6</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x14ac:dyDescent="0.25"/>
  <cols>
    <col min="1" max="1" width="24.4257812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Data!I8</f>
        <v>0</v>
      </c>
      <c r="C2">
        <f>Data!J8</f>
        <v>0</v>
      </c>
      <c r="D2">
        <f>Data!K8</f>
        <v>0</v>
      </c>
      <c r="E2">
        <f>Data!L8</f>
        <v>0</v>
      </c>
      <c r="F2">
        <f>Data!M8</f>
        <v>0</v>
      </c>
      <c r="G2">
        <f>Data!N8</f>
        <v>0</v>
      </c>
      <c r="H2">
        <f>Data!O8</f>
        <v>0</v>
      </c>
      <c r="I2">
        <f>Data!P8</f>
        <v>0</v>
      </c>
      <c r="J2">
        <f>Data!Q8</f>
        <v>0</v>
      </c>
      <c r="K2">
        <f>Data!R8</f>
        <v>0</v>
      </c>
      <c r="L2">
        <f>Data!S8</f>
        <v>0</v>
      </c>
      <c r="M2">
        <f>Data!T8</f>
        <v>0</v>
      </c>
      <c r="N2">
        <f>Data!U8</f>
        <v>0</v>
      </c>
      <c r="O2">
        <f>Data!V8</f>
        <v>0</v>
      </c>
      <c r="P2">
        <f>Data!W8</f>
        <v>0</v>
      </c>
      <c r="Q2">
        <f>Data!X8</f>
        <v>0</v>
      </c>
      <c r="R2">
        <f>Data!Y8</f>
        <v>0</v>
      </c>
      <c r="S2">
        <f>Data!Z8</f>
        <v>0</v>
      </c>
      <c r="T2">
        <f>Data!AA8</f>
        <v>0</v>
      </c>
      <c r="U2">
        <f>Data!AB8</f>
        <v>0</v>
      </c>
      <c r="V2">
        <f>Data!AC8</f>
        <v>0</v>
      </c>
      <c r="W2">
        <f>Data!AD8</f>
        <v>0</v>
      </c>
      <c r="X2">
        <f>Data!AE8</f>
        <v>0</v>
      </c>
      <c r="Y2">
        <f>Data!AF8</f>
        <v>0</v>
      </c>
      <c r="Z2">
        <f>Data!AG8</f>
        <v>0</v>
      </c>
      <c r="AA2">
        <f>Data!AH8</f>
        <v>0</v>
      </c>
      <c r="AB2">
        <f>Data!AI8</f>
        <v>0</v>
      </c>
      <c r="AC2">
        <f>Data!AJ8</f>
        <v>0</v>
      </c>
      <c r="AD2">
        <f>Data!AK8</f>
        <v>0</v>
      </c>
      <c r="AE2">
        <f>Data!AL8</f>
        <v>0</v>
      </c>
      <c r="AF2">
        <f>Data!AM8</f>
        <v>0</v>
      </c>
      <c r="AG2">
        <f>Data!AN8</f>
        <v>0</v>
      </c>
      <c r="AH2">
        <f>Data!AO8</f>
        <v>0</v>
      </c>
      <c r="AI2">
        <f>Data!AP8</f>
        <v>0</v>
      </c>
      <c r="AJ2">
        <f>Data!AQ8</f>
        <v>0</v>
      </c>
    </row>
    <row r="3" spans="1:36" x14ac:dyDescent="0.25">
      <c r="A3" t="s">
        <v>2</v>
      </c>
      <c r="B3">
        <f>Data!I9</f>
        <v>0</v>
      </c>
      <c r="C3">
        <f>Data!J9</f>
        <v>0</v>
      </c>
      <c r="D3">
        <f>Data!K9</f>
        <v>0</v>
      </c>
      <c r="E3">
        <f>Data!L9</f>
        <v>0</v>
      </c>
      <c r="F3">
        <f>Data!M9</f>
        <v>0</v>
      </c>
      <c r="G3">
        <f>Data!N9</f>
        <v>0</v>
      </c>
      <c r="H3">
        <f>Data!O9</f>
        <v>0</v>
      </c>
      <c r="I3">
        <f>Data!P9</f>
        <v>0</v>
      </c>
      <c r="J3">
        <f>Data!Q9</f>
        <v>0</v>
      </c>
      <c r="K3">
        <f>Data!R9</f>
        <v>0</v>
      </c>
      <c r="L3">
        <f>Data!S9</f>
        <v>0</v>
      </c>
      <c r="M3">
        <f>Data!T9</f>
        <v>0</v>
      </c>
      <c r="N3">
        <f>Data!U9</f>
        <v>0</v>
      </c>
      <c r="O3">
        <f>Data!V9</f>
        <v>0</v>
      </c>
      <c r="P3">
        <f>Data!W9</f>
        <v>0</v>
      </c>
      <c r="Q3">
        <f>Data!X9</f>
        <v>0</v>
      </c>
      <c r="R3">
        <f>Data!Y9</f>
        <v>0</v>
      </c>
      <c r="S3">
        <f>Data!Z9</f>
        <v>0</v>
      </c>
      <c r="T3">
        <f>Data!AA9</f>
        <v>0</v>
      </c>
      <c r="U3">
        <f>Data!AB9</f>
        <v>0</v>
      </c>
      <c r="V3">
        <f>Data!AC9</f>
        <v>0</v>
      </c>
      <c r="W3">
        <f>Data!AD9</f>
        <v>0</v>
      </c>
      <c r="X3">
        <f>Data!AE9</f>
        <v>0</v>
      </c>
      <c r="Y3">
        <f>Data!AF9</f>
        <v>0</v>
      </c>
      <c r="Z3">
        <f>Data!AG9</f>
        <v>0</v>
      </c>
      <c r="AA3">
        <f>Data!AH9</f>
        <v>0</v>
      </c>
      <c r="AB3">
        <f>Data!AI9</f>
        <v>0</v>
      </c>
      <c r="AC3">
        <f>Data!AJ9</f>
        <v>0</v>
      </c>
      <c r="AD3">
        <f>Data!AK9</f>
        <v>0</v>
      </c>
      <c r="AE3">
        <f>Data!AL9</f>
        <v>0</v>
      </c>
      <c r="AF3">
        <f>Data!AM9</f>
        <v>0</v>
      </c>
      <c r="AG3">
        <f>Data!AN9</f>
        <v>0</v>
      </c>
      <c r="AH3">
        <f>Data!AO9</f>
        <v>0</v>
      </c>
      <c r="AI3">
        <f>Data!AP9</f>
        <v>0</v>
      </c>
      <c r="AJ3">
        <f>Data!AQ9</f>
        <v>0</v>
      </c>
    </row>
    <row r="4" spans="1:36" x14ac:dyDescent="0.25">
      <c r="A4" t="s">
        <v>3</v>
      </c>
      <c r="B4">
        <f>Data!I10</f>
        <v>0</v>
      </c>
      <c r="C4">
        <f>Data!J10</f>
        <v>0</v>
      </c>
      <c r="D4">
        <f>Data!K10</f>
        <v>0</v>
      </c>
      <c r="E4">
        <f>Data!L10</f>
        <v>0</v>
      </c>
      <c r="F4">
        <f>Data!M10</f>
        <v>0</v>
      </c>
      <c r="G4">
        <f>Data!N10</f>
        <v>0</v>
      </c>
      <c r="H4">
        <f>Data!O10</f>
        <v>0</v>
      </c>
      <c r="I4">
        <f>Data!P10</f>
        <v>0</v>
      </c>
      <c r="J4">
        <f>Data!Q10</f>
        <v>0</v>
      </c>
      <c r="K4">
        <f>Data!R10</f>
        <v>0</v>
      </c>
      <c r="L4">
        <f>Data!S10</f>
        <v>0</v>
      </c>
      <c r="M4">
        <f>Data!T10</f>
        <v>0</v>
      </c>
      <c r="N4">
        <f>Data!U10</f>
        <v>0</v>
      </c>
      <c r="O4">
        <f>Data!V10</f>
        <v>0</v>
      </c>
      <c r="P4">
        <f>Data!W10</f>
        <v>0</v>
      </c>
      <c r="Q4">
        <f>Data!X10</f>
        <v>0</v>
      </c>
      <c r="R4">
        <f>Data!Y10</f>
        <v>0</v>
      </c>
      <c r="S4">
        <f>Data!Z10</f>
        <v>0</v>
      </c>
      <c r="T4">
        <f>Data!AA10</f>
        <v>0</v>
      </c>
      <c r="U4">
        <f>Data!AB10</f>
        <v>0</v>
      </c>
      <c r="V4">
        <f>Data!AC10</f>
        <v>0</v>
      </c>
      <c r="W4">
        <f>Data!AD10</f>
        <v>0</v>
      </c>
      <c r="X4">
        <f>Data!AE10</f>
        <v>0</v>
      </c>
      <c r="Y4">
        <f>Data!AF10</f>
        <v>0</v>
      </c>
      <c r="Z4">
        <f>Data!AG10</f>
        <v>0</v>
      </c>
      <c r="AA4">
        <f>Data!AH10</f>
        <v>0</v>
      </c>
      <c r="AB4">
        <f>Data!AI10</f>
        <v>0</v>
      </c>
      <c r="AC4">
        <f>Data!AJ10</f>
        <v>0</v>
      </c>
      <c r="AD4">
        <f>Data!AK10</f>
        <v>0</v>
      </c>
      <c r="AE4">
        <f>Data!AL10</f>
        <v>0</v>
      </c>
      <c r="AF4">
        <f>Data!AM10</f>
        <v>0</v>
      </c>
      <c r="AG4">
        <f>Data!AN10</f>
        <v>0</v>
      </c>
      <c r="AH4">
        <f>Data!AO10</f>
        <v>0</v>
      </c>
      <c r="AI4">
        <f>Data!AP10</f>
        <v>0</v>
      </c>
      <c r="AJ4">
        <f>Data!AQ10</f>
        <v>0</v>
      </c>
    </row>
    <row r="5" spans="1:36" x14ac:dyDescent="0.25">
      <c r="A5" t="s">
        <v>4</v>
      </c>
      <c r="B5">
        <f>Data!I11</f>
        <v>0</v>
      </c>
      <c r="C5">
        <f>Data!J11</f>
        <v>0</v>
      </c>
      <c r="D5">
        <f>Data!K11</f>
        <v>0</v>
      </c>
      <c r="E5">
        <f>Data!L11</f>
        <v>0</v>
      </c>
      <c r="F5">
        <f>Data!M11</f>
        <v>0</v>
      </c>
      <c r="G5">
        <f>Data!N11</f>
        <v>0</v>
      </c>
      <c r="H5">
        <f>Data!O11</f>
        <v>0</v>
      </c>
      <c r="I5">
        <f>Data!P11</f>
        <v>0</v>
      </c>
      <c r="J5">
        <f>Data!Q11</f>
        <v>0</v>
      </c>
      <c r="K5">
        <f>Data!R11</f>
        <v>0</v>
      </c>
      <c r="L5">
        <f>Data!S11</f>
        <v>0</v>
      </c>
      <c r="M5">
        <f>Data!T11</f>
        <v>0</v>
      </c>
      <c r="N5">
        <f>Data!U11</f>
        <v>0</v>
      </c>
      <c r="O5">
        <f>Data!V11</f>
        <v>0</v>
      </c>
      <c r="P5">
        <f>Data!W11</f>
        <v>0</v>
      </c>
      <c r="Q5">
        <f>Data!X11</f>
        <v>0</v>
      </c>
      <c r="R5">
        <f>Data!Y11</f>
        <v>0</v>
      </c>
      <c r="S5">
        <f>Data!Z11</f>
        <v>0</v>
      </c>
      <c r="T5">
        <f>Data!AA11</f>
        <v>0</v>
      </c>
      <c r="U5">
        <f>Data!AB11</f>
        <v>0</v>
      </c>
      <c r="V5">
        <f>Data!AC11</f>
        <v>0</v>
      </c>
      <c r="W5">
        <f>Data!AD11</f>
        <v>0</v>
      </c>
      <c r="X5">
        <f>Data!AE11</f>
        <v>0</v>
      </c>
      <c r="Y5">
        <f>Data!AF11</f>
        <v>0</v>
      </c>
      <c r="Z5">
        <f>Data!AG11</f>
        <v>0</v>
      </c>
      <c r="AA5">
        <f>Data!AH11</f>
        <v>0</v>
      </c>
      <c r="AB5">
        <f>Data!AI11</f>
        <v>0</v>
      </c>
      <c r="AC5">
        <f>Data!AJ11</f>
        <v>0</v>
      </c>
      <c r="AD5">
        <f>Data!AK11</f>
        <v>0</v>
      </c>
      <c r="AE5">
        <f>Data!AL11</f>
        <v>0</v>
      </c>
      <c r="AF5">
        <f>Data!AM11</f>
        <v>0</v>
      </c>
      <c r="AG5">
        <f>Data!AN11</f>
        <v>0</v>
      </c>
      <c r="AH5">
        <f>Data!AO11</f>
        <v>0</v>
      </c>
      <c r="AI5">
        <f>Data!AP11</f>
        <v>0</v>
      </c>
      <c r="AJ5">
        <f>Data!AQ11</f>
        <v>0</v>
      </c>
    </row>
    <row r="6" spans="1:36" x14ac:dyDescent="0.25">
      <c r="A6" t="s">
        <v>5</v>
      </c>
      <c r="B6">
        <f>Data!I12</f>
        <v>0</v>
      </c>
      <c r="C6">
        <f>Data!J12</f>
        <v>0</v>
      </c>
      <c r="D6">
        <f>Data!K12</f>
        <v>0</v>
      </c>
      <c r="E6">
        <f>Data!L12</f>
        <v>0</v>
      </c>
      <c r="F6">
        <f>Data!M12</f>
        <v>0</v>
      </c>
      <c r="G6">
        <f>Data!N12</f>
        <v>0</v>
      </c>
      <c r="H6">
        <f>Data!O12</f>
        <v>0</v>
      </c>
      <c r="I6">
        <f>Data!P12</f>
        <v>0</v>
      </c>
      <c r="J6">
        <f>Data!Q12</f>
        <v>0</v>
      </c>
      <c r="K6">
        <f>Data!R12</f>
        <v>0</v>
      </c>
      <c r="L6">
        <f>Data!S12</f>
        <v>0</v>
      </c>
      <c r="M6">
        <f>Data!T12</f>
        <v>0</v>
      </c>
      <c r="N6">
        <f>Data!U12</f>
        <v>0</v>
      </c>
      <c r="O6">
        <f>Data!V12</f>
        <v>0</v>
      </c>
      <c r="P6">
        <f>Data!W12</f>
        <v>0</v>
      </c>
      <c r="Q6">
        <f>Data!X12</f>
        <v>0</v>
      </c>
      <c r="R6">
        <f>Data!Y12</f>
        <v>0</v>
      </c>
      <c r="S6">
        <f>Data!Z12</f>
        <v>0</v>
      </c>
      <c r="T6">
        <f>Data!AA12</f>
        <v>0</v>
      </c>
      <c r="U6">
        <f>Data!AB12</f>
        <v>0</v>
      </c>
      <c r="V6">
        <f>Data!AC12</f>
        <v>0</v>
      </c>
      <c r="W6">
        <f>Data!AD12</f>
        <v>0</v>
      </c>
      <c r="X6">
        <f>Data!AE12</f>
        <v>0</v>
      </c>
      <c r="Y6">
        <f>Data!AF12</f>
        <v>0</v>
      </c>
      <c r="Z6">
        <f>Data!AG12</f>
        <v>0</v>
      </c>
      <c r="AA6">
        <f>Data!AH12</f>
        <v>0</v>
      </c>
      <c r="AB6">
        <f>Data!AI12</f>
        <v>0</v>
      </c>
      <c r="AC6">
        <f>Data!AJ12</f>
        <v>0</v>
      </c>
      <c r="AD6">
        <f>Data!AK12</f>
        <v>0</v>
      </c>
      <c r="AE6">
        <f>Data!AL12</f>
        <v>0</v>
      </c>
      <c r="AF6">
        <f>Data!AM12</f>
        <v>0</v>
      </c>
      <c r="AG6">
        <f>Data!AN12</f>
        <v>0</v>
      </c>
      <c r="AH6">
        <f>Data!AO12</f>
        <v>0</v>
      </c>
      <c r="AI6">
        <f>Data!AP12</f>
        <v>0</v>
      </c>
      <c r="AJ6">
        <f>Data!AQ12</f>
        <v>0</v>
      </c>
    </row>
    <row r="7" spans="1:36" x14ac:dyDescent="0.25">
      <c r="A7" t="s">
        <v>6</v>
      </c>
      <c r="B7">
        <f>Data!I13</f>
        <v>1</v>
      </c>
      <c r="C7">
        <f>Data!J13</f>
        <v>1</v>
      </c>
      <c r="D7">
        <f>Data!K13</f>
        <v>1</v>
      </c>
      <c r="E7">
        <f>Data!L13</f>
        <v>1</v>
      </c>
      <c r="F7">
        <f>Data!M13</f>
        <v>1</v>
      </c>
      <c r="G7">
        <f>Data!N13</f>
        <v>1</v>
      </c>
      <c r="H7">
        <f>Data!O13</f>
        <v>1</v>
      </c>
      <c r="I7">
        <f>Data!P13</f>
        <v>1</v>
      </c>
      <c r="J7">
        <f>Data!Q13</f>
        <v>1</v>
      </c>
      <c r="K7">
        <f>Data!R13</f>
        <v>1</v>
      </c>
      <c r="L7">
        <f>Data!S13</f>
        <v>1</v>
      </c>
      <c r="M7">
        <f>Data!T13</f>
        <v>1</v>
      </c>
      <c r="N7">
        <f>Data!U13</f>
        <v>1</v>
      </c>
      <c r="O7">
        <f>Data!V13</f>
        <v>1</v>
      </c>
      <c r="P7">
        <f>Data!W13</f>
        <v>1</v>
      </c>
      <c r="Q7">
        <f>Data!X13</f>
        <v>1</v>
      </c>
      <c r="R7">
        <f>Data!Y13</f>
        <v>1</v>
      </c>
      <c r="S7">
        <f>Data!Z13</f>
        <v>1</v>
      </c>
      <c r="T7">
        <f>Data!AA13</f>
        <v>1</v>
      </c>
      <c r="U7">
        <f>Data!AB13</f>
        <v>1</v>
      </c>
      <c r="V7">
        <f>Data!AC13</f>
        <v>1</v>
      </c>
      <c r="W7">
        <f>Data!AD13</f>
        <v>1</v>
      </c>
      <c r="X7">
        <f>Data!AE13</f>
        <v>1</v>
      </c>
      <c r="Y7">
        <f>Data!AF13</f>
        <v>1</v>
      </c>
      <c r="Z7">
        <f>Data!AG13</f>
        <v>1</v>
      </c>
      <c r="AA7">
        <f>Data!AH13</f>
        <v>1</v>
      </c>
      <c r="AB7">
        <f>Data!AI13</f>
        <v>1</v>
      </c>
      <c r="AC7">
        <f>Data!AJ13</f>
        <v>1</v>
      </c>
      <c r="AD7">
        <f>Data!AK13</f>
        <v>1</v>
      </c>
      <c r="AE7">
        <f>Data!AL13</f>
        <v>1</v>
      </c>
      <c r="AF7">
        <f>Data!AM13</f>
        <v>1</v>
      </c>
      <c r="AG7">
        <f>Data!AN13</f>
        <v>1</v>
      </c>
      <c r="AH7">
        <f>Data!AO13</f>
        <v>1</v>
      </c>
      <c r="AI7">
        <f>Data!AP13</f>
        <v>1</v>
      </c>
      <c r="AJ7">
        <f>Data!AQ13</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6" sqref="B6"/>
    </sheetView>
  </sheetViews>
  <sheetFormatPr defaultRowHeight="15" x14ac:dyDescent="0.25"/>
  <cols>
    <col min="1" max="1" width="24.4257812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'LDV psg calculations'!B57</f>
        <v>1.7000000000000001E-2</v>
      </c>
      <c r="C2">
        <f>'LDV psg calculations'!C57</f>
        <v>2.1999999999999999E-2</v>
      </c>
      <c r="D2" t="e">
        <f>'LDV psg calculations'!D58</f>
        <v>#REF!</v>
      </c>
      <c r="E2" t="e">
        <f>'LDV psg calculations'!E58</f>
        <v>#REF!</v>
      </c>
      <c r="F2" t="e">
        <f>'LDV psg calculations'!F58</f>
        <v>#REF!</v>
      </c>
      <c r="G2" t="e">
        <f>'LDV psg calculations'!G58</f>
        <v>#REF!</v>
      </c>
      <c r="H2" t="e">
        <f>'LDV psg calculations'!H58</f>
        <v>#REF!</v>
      </c>
      <c r="I2" t="e">
        <f>'LDV psg calculations'!I58</f>
        <v>#REF!</v>
      </c>
      <c r="J2" t="e">
        <f>'LDV psg calculations'!J58</f>
        <v>#REF!</v>
      </c>
      <c r="K2" t="e">
        <f>'LDV psg calculations'!K58</f>
        <v>#REF!</v>
      </c>
      <c r="L2" t="e">
        <f>'LDV psg calculations'!L58</f>
        <v>#REF!</v>
      </c>
      <c r="M2" t="e">
        <f>'LDV psg calculations'!M58</f>
        <v>#REF!</v>
      </c>
      <c r="N2" t="e">
        <f>'LDV psg calculations'!N58</f>
        <v>#REF!</v>
      </c>
      <c r="O2" t="e">
        <f>'LDV psg calculations'!O58</f>
        <v>#REF!</v>
      </c>
      <c r="P2" t="e">
        <f>'LDV psg calculations'!P58</f>
        <v>#REF!</v>
      </c>
      <c r="Q2" t="e">
        <f>'LDV psg calculations'!Q58</f>
        <v>#REF!</v>
      </c>
      <c r="R2" t="e">
        <f>'LDV psg calculations'!R58</f>
        <v>#REF!</v>
      </c>
      <c r="S2" t="e">
        <f>'LDV psg calculations'!S58</f>
        <v>#REF!</v>
      </c>
      <c r="T2" t="e">
        <f>'LDV psg calculations'!T58</f>
        <v>#REF!</v>
      </c>
      <c r="U2" t="e">
        <f>'LDV psg calculations'!U58</f>
        <v>#REF!</v>
      </c>
      <c r="V2" t="e">
        <f>'LDV psg calculations'!V58</f>
        <v>#REF!</v>
      </c>
      <c r="W2" t="e">
        <f>'LDV psg calculations'!W58</f>
        <v>#REF!</v>
      </c>
      <c r="X2" t="e">
        <f>'LDV psg calculations'!X58</f>
        <v>#REF!</v>
      </c>
      <c r="Y2" t="e">
        <f>'LDV psg calculations'!Y58</f>
        <v>#REF!</v>
      </c>
      <c r="Z2" t="e">
        <f>'LDV psg calculations'!Z58</f>
        <v>#REF!</v>
      </c>
      <c r="AA2" t="e">
        <f>'LDV psg calculations'!AA58</f>
        <v>#REF!</v>
      </c>
      <c r="AB2" t="e">
        <f>'LDV psg calculations'!AB58</f>
        <v>#REF!</v>
      </c>
      <c r="AC2" t="e">
        <f>'LDV psg calculations'!AC58</f>
        <v>#REF!</v>
      </c>
      <c r="AD2" t="e">
        <f>'LDV psg calculations'!AD58</f>
        <v>#REF!</v>
      </c>
      <c r="AE2">
        <f>1</f>
        <v>1</v>
      </c>
      <c r="AF2">
        <f>1</f>
        <v>1</v>
      </c>
      <c r="AG2">
        <f>1</f>
        <v>1</v>
      </c>
      <c r="AH2">
        <f>1</f>
        <v>1</v>
      </c>
      <c r="AI2">
        <f>1</f>
        <v>1</v>
      </c>
      <c r="AJ2">
        <f>1</f>
        <v>1</v>
      </c>
    </row>
    <row r="3" spans="1:36" x14ac:dyDescent="0.2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row>
    <row r="5" spans="1:36" x14ac:dyDescent="0.2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5</v>
      </c>
      <c r="B6">
        <f>'LDV psg calculations'!B57</f>
        <v>1.7000000000000001E-2</v>
      </c>
      <c r="C6">
        <f>'LDV psg calculations'!C57</f>
        <v>2.1999999999999999E-2</v>
      </c>
      <c r="D6" t="e">
        <f>'LDV psg calculations'!D57</f>
        <v>#REF!</v>
      </c>
      <c r="E6" t="e">
        <f>'LDV psg calculations'!E57</f>
        <v>#REF!</v>
      </c>
      <c r="F6" t="e">
        <f>'LDV psg calculations'!F57</f>
        <v>#REF!</v>
      </c>
      <c r="G6" t="e">
        <f>'LDV psg calculations'!G57</f>
        <v>#REF!</v>
      </c>
      <c r="H6" t="e">
        <f>'LDV psg calculations'!H57</f>
        <v>#REF!</v>
      </c>
      <c r="I6" t="e">
        <f>'LDV psg calculations'!I57</f>
        <v>#REF!</v>
      </c>
      <c r="J6" t="e">
        <f>'LDV psg calculations'!J57</f>
        <v>#REF!</v>
      </c>
      <c r="K6" t="e">
        <f>'LDV psg calculations'!K57</f>
        <v>#REF!</v>
      </c>
      <c r="L6" t="e">
        <f>'LDV psg calculations'!L57</f>
        <v>#REF!</v>
      </c>
      <c r="M6" t="e">
        <f>'LDV psg calculations'!M57</f>
        <v>#REF!</v>
      </c>
      <c r="N6" t="e">
        <f>'LDV psg calculations'!N57</f>
        <v>#REF!</v>
      </c>
      <c r="O6" t="e">
        <f>'LDV psg calculations'!O57</f>
        <v>#REF!</v>
      </c>
      <c r="P6" t="e">
        <f>'LDV psg calculations'!P57</f>
        <v>#REF!</v>
      </c>
      <c r="Q6" t="e">
        <f>P6</f>
        <v>#REF!</v>
      </c>
      <c r="R6" t="e">
        <f t="shared" ref="R6:AJ6" si="0">Q6</f>
        <v>#REF!</v>
      </c>
      <c r="S6" t="e">
        <f t="shared" si="0"/>
        <v>#REF!</v>
      </c>
      <c r="T6" t="e">
        <f t="shared" si="0"/>
        <v>#REF!</v>
      </c>
      <c r="U6" t="e">
        <f t="shared" si="0"/>
        <v>#REF!</v>
      </c>
      <c r="V6" t="e">
        <f t="shared" si="0"/>
        <v>#REF!</v>
      </c>
      <c r="W6" t="e">
        <f t="shared" si="0"/>
        <v>#REF!</v>
      </c>
      <c r="X6" t="e">
        <f t="shared" si="0"/>
        <v>#REF!</v>
      </c>
      <c r="Y6" t="e">
        <f t="shared" si="0"/>
        <v>#REF!</v>
      </c>
      <c r="Z6" t="e">
        <f t="shared" si="0"/>
        <v>#REF!</v>
      </c>
      <c r="AA6" t="e">
        <f t="shared" si="0"/>
        <v>#REF!</v>
      </c>
      <c r="AB6" t="e">
        <f t="shared" si="0"/>
        <v>#REF!</v>
      </c>
      <c r="AC6" t="e">
        <f t="shared" si="0"/>
        <v>#REF!</v>
      </c>
      <c r="AD6" t="e">
        <f t="shared" si="0"/>
        <v>#REF!</v>
      </c>
      <c r="AE6" t="e">
        <f t="shared" si="0"/>
        <v>#REF!</v>
      </c>
      <c r="AF6" t="e">
        <f t="shared" si="0"/>
        <v>#REF!</v>
      </c>
      <c r="AG6" t="e">
        <f t="shared" si="0"/>
        <v>#REF!</v>
      </c>
      <c r="AH6" t="e">
        <f t="shared" si="0"/>
        <v>#REF!</v>
      </c>
      <c r="AI6" t="e">
        <f t="shared" si="0"/>
        <v>#REF!</v>
      </c>
      <c r="AJ6" t="e">
        <f t="shared" si="0"/>
        <v>#REF!</v>
      </c>
    </row>
    <row r="7" spans="1:36"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x14ac:dyDescent="0.25"/>
  <cols>
    <col min="1" max="1" width="24.4257812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Data!I14</f>
        <v>0</v>
      </c>
      <c r="C2">
        <f>Data!J14</f>
        <v>0</v>
      </c>
      <c r="D2">
        <f>Data!K14</f>
        <v>0</v>
      </c>
      <c r="E2">
        <f>Data!L14</f>
        <v>0</v>
      </c>
      <c r="F2">
        <f>Data!M14</f>
        <v>0</v>
      </c>
      <c r="G2">
        <f>Data!N14</f>
        <v>0</v>
      </c>
      <c r="H2">
        <f>Data!O14</f>
        <v>0</v>
      </c>
      <c r="I2">
        <f>Data!P14</f>
        <v>0</v>
      </c>
      <c r="J2">
        <f>Data!Q14</f>
        <v>0</v>
      </c>
      <c r="K2">
        <f>Data!R14</f>
        <v>0</v>
      </c>
      <c r="L2">
        <f>Data!S14</f>
        <v>0</v>
      </c>
      <c r="M2">
        <f>Data!T14</f>
        <v>0</v>
      </c>
      <c r="N2">
        <f>Data!U14</f>
        <v>0</v>
      </c>
      <c r="O2">
        <f>Data!V14</f>
        <v>0</v>
      </c>
      <c r="P2">
        <f>Data!W14</f>
        <v>0</v>
      </c>
      <c r="Q2">
        <f>Data!X14</f>
        <v>0</v>
      </c>
      <c r="R2">
        <f>Data!Y14</f>
        <v>0</v>
      </c>
      <c r="S2">
        <f>Data!Z14</f>
        <v>0</v>
      </c>
      <c r="T2">
        <f>Data!AA14</f>
        <v>0</v>
      </c>
      <c r="U2">
        <f>Data!AB14</f>
        <v>0</v>
      </c>
      <c r="V2">
        <f>Data!AC14</f>
        <v>0</v>
      </c>
      <c r="W2">
        <f>Data!AD14</f>
        <v>0</v>
      </c>
      <c r="X2">
        <f>Data!AE14</f>
        <v>0</v>
      </c>
      <c r="Y2">
        <f>Data!AF14</f>
        <v>0</v>
      </c>
      <c r="Z2">
        <f>Data!AG14</f>
        <v>0</v>
      </c>
      <c r="AA2">
        <f>Data!AH14</f>
        <v>0</v>
      </c>
      <c r="AB2">
        <f>Data!AI14</f>
        <v>0</v>
      </c>
      <c r="AC2">
        <f>Data!AJ14</f>
        <v>0</v>
      </c>
      <c r="AD2">
        <f>Data!AK14</f>
        <v>0</v>
      </c>
      <c r="AE2">
        <f>Data!AL14</f>
        <v>0</v>
      </c>
      <c r="AF2">
        <f>Data!AM14</f>
        <v>0</v>
      </c>
      <c r="AG2">
        <f>Data!AN14</f>
        <v>0</v>
      </c>
      <c r="AH2">
        <f>Data!AO14</f>
        <v>0</v>
      </c>
      <c r="AI2">
        <f>Data!AP14</f>
        <v>0</v>
      </c>
      <c r="AJ2">
        <f>Data!AQ14</f>
        <v>0</v>
      </c>
    </row>
    <row r="3" spans="1:36" x14ac:dyDescent="0.25">
      <c r="A3" t="s">
        <v>2</v>
      </c>
      <c r="B3">
        <f>Data!I15</f>
        <v>0</v>
      </c>
      <c r="C3">
        <f>Data!J15</f>
        <v>0</v>
      </c>
      <c r="D3">
        <f>Data!K15</f>
        <v>0</v>
      </c>
      <c r="E3">
        <f>Data!L15</f>
        <v>0</v>
      </c>
      <c r="F3">
        <f>Data!M15</f>
        <v>0</v>
      </c>
      <c r="G3">
        <f>Data!N15</f>
        <v>0</v>
      </c>
      <c r="H3">
        <f>Data!O15</f>
        <v>0</v>
      </c>
      <c r="I3">
        <f>Data!P15</f>
        <v>0</v>
      </c>
      <c r="J3">
        <f>Data!Q15</f>
        <v>0</v>
      </c>
      <c r="K3">
        <f>Data!R15</f>
        <v>0</v>
      </c>
      <c r="L3">
        <f>Data!S15</f>
        <v>0</v>
      </c>
      <c r="M3">
        <f>Data!T15</f>
        <v>0</v>
      </c>
      <c r="N3">
        <f>Data!U15</f>
        <v>0</v>
      </c>
      <c r="O3">
        <f>Data!V15</f>
        <v>0</v>
      </c>
      <c r="P3">
        <f>Data!W15</f>
        <v>0</v>
      </c>
      <c r="Q3">
        <f>Data!X15</f>
        <v>0</v>
      </c>
      <c r="R3">
        <f>Data!Y15</f>
        <v>0</v>
      </c>
      <c r="S3">
        <f>Data!Z15</f>
        <v>0</v>
      </c>
      <c r="T3">
        <f>Data!AA15</f>
        <v>0</v>
      </c>
      <c r="U3">
        <f>Data!AB15</f>
        <v>0</v>
      </c>
      <c r="V3">
        <f>Data!AC15</f>
        <v>0</v>
      </c>
      <c r="W3">
        <f>Data!AD15</f>
        <v>0</v>
      </c>
      <c r="X3">
        <f>Data!AE15</f>
        <v>0</v>
      </c>
      <c r="Y3">
        <f>Data!AF15</f>
        <v>0</v>
      </c>
      <c r="Z3">
        <f>Data!AG15</f>
        <v>0</v>
      </c>
      <c r="AA3">
        <f>Data!AH15</f>
        <v>0</v>
      </c>
      <c r="AB3">
        <f>Data!AI15</f>
        <v>0</v>
      </c>
      <c r="AC3">
        <f>Data!AJ15</f>
        <v>0</v>
      </c>
      <c r="AD3">
        <f>Data!AK15</f>
        <v>0</v>
      </c>
      <c r="AE3">
        <f>Data!AL15</f>
        <v>0</v>
      </c>
      <c r="AF3">
        <f>Data!AM15</f>
        <v>0</v>
      </c>
      <c r="AG3">
        <f>Data!AN15</f>
        <v>0</v>
      </c>
      <c r="AH3">
        <f>Data!AO15</f>
        <v>0</v>
      </c>
      <c r="AI3">
        <f>Data!AP15</f>
        <v>0</v>
      </c>
      <c r="AJ3">
        <f>Data!AQ15</f>
        <v>0</v>
      </c>
    </row>
    <row r="4" spans="1:36" x14ac:dyDescent="0.25">
      <c r="A4" t="s">
        <v>3</v>
      </c>
      <c r="B4">
        <f>Data!I16</f>
        <v>0</v>
      </c>
      <c r="C4">
        <f>Data!J16</f>
        <v>0</v>
      </c>
      <c r="D4">
        <f>Data!K16</f>
        <v>0</v>
      </c>
      <c r="E4">
        <f>Data!L16</f>
        <v>0</v>
      </c>
      <c r="F4">
        <f>Data!M16</f>
        <v>0</v>
      </c>
      <c r="G4">
        <f>Data!N16</f>
        <v>0</v>
      </c>
      <c r="H4">
        <f>Data!O16</f>
        <v>0</v>
      </c>
      <c r="I4">
        <f>Data!P16</f>
        <v>0</v>
      </c>
      <c r="J4">
        <f>Data!Q16</f>
        <v>0</v>
      </c>
      <c r="K4">
        <f>Data!R16</f>
        <v>0</v>
      </c>
      <c r="L4">
        <f>Data!S16</f>
        <v>0</v>
      </c>
      <c r="M4">
        <f>Data!T16</f>
        <v>0</v>
      </c>
      <c r="N4">
        <f>Data!U16</f>
        <v>0</v>
      </c>
      <c r="O4">
        <f>Data!V16</f>
        <v>0</v>
      </c>
      <c r="P4">
        <f>Data!W16</f>
        <v>0</v>
      </c>
      <c r="Q4">
        <f>Data!X16</f>
        <v>0</v>
      </c>
      <c r="R4">
        <f>Data!Y16</f>
        <v>0</v>
      </c>
      <c r="S4">
        <f>Data!Z16</f>
        <v>0</v>
      </c>
      <c r="T4">
        <f>Data!AA16</f>
        <v>0</v>
      </c>
      <c r="U4">
        <f>Data!AB16</f>
        <v>0</v>
      </c>
      <c r="V4">
        <f>Data!AC16</f>
        <v>0</v>
      </c>
      <c r="W4">
        <f>Data!AD16</f>
        <v>0</v>
      </c>
      <c r="X4">
        <f>Data!AE16</f>
        <v>0</v>
      </c>
      <c r="Y4">
        <f>Data!AF16</f>
        <v>0</v>
      </c>
      <c r="Z4">
        <f>Data!AG16</f>
        <v>0</v>
      </c>
      <c r="AA4">
        <f>Data!AH16</f>
        <v>0</v>
      </c>
      <c r="AB4">
        <f>Data!AI16</f>
        <v>0</v>
      </c>
      <c r="AC4">
        <f>Data!AJ16</f>
        <v>0</v>
      </c>
      <c r="AD4">
        <f>Data!AK16</f>
        <v>0</v>
      </c>
      <c r="AE4">
        <f>Data!AL16</f>
        <v>0</v>
      </c>
      <c r="AF4">
        <f>Data!AM16</f>
        <v>0</v>
      </c>
      <c r="AG4">
        <f>Data!AN16</f>
        <v>0</v>
      </c>
      <c r="AH4">
        <f>Data!AO16</f>
        <v>0</v>
      </c>
      <c r="AI4">
        <f>Data!AP16</f>
        <v>0</v>
      </c>
      <c r="AJ4">
        <f>Data!AQ16</f>
        <v>0</v>
      </c>
    </row>
    <row r="5" spans="1:36" x14ac:dyDescent="0.25">
      <c r="A5" t="s">
        <v>4</v>
      </c>
      <c r="B5">
        <f>Data!I17</f>
        <v>0</v>
      </c>
      <c r="C5">
        <f>Data!J17</f>
        <v>0</v>
      </c>
      <c r="D5">
        <f>Data!K17</f>
        <v>0</v>
      </c>
      <c r="E5">
        <f>Data!L17</f>
        <v>0</v>
      </c>
      <c r="F5">
        <f>Data!M17</f>
        <v>0</v>
      </c>
      <c r="G5">
        <f>Data!N17</f>
        <v>0</v>
      </c>
      <c r="H5">
        <f>Data!O17</f>
        <v>0</v>
      </c>
      <c r="I5">
        <f>Data!P17</f>
        <v>0</v>
      </c>
      <c r="J5">
        <f>Data!Q17</f>
        <v>0</v>
      </c>
      <c r="K5">
        <f>Data!R17</f>
        <v>0</v>
      </c>
      <c r="L5">
        <f>Data!S17</f>
        <v>0</v>
      </c>
      <c r="M5">
        <f>Data!T17</f>
        <v>0</v>
      </c>
      <c r="N5">
        <f>Data!U17</f>
        <v>0</v>
      </c>
      <c r="O5">
        <f>Data!V17</f>
        <v>0</v>
      </c>
      <c r="P5">
        <f>Data!W17</f>
        <v>0</v>
      </c>
      <c r="Q5">
        <f>Data!X17</f>
        <v>0</v>
      </c>
      <c r="R5">
        <f>Data!Y17</f>
        <v>0</v>
      </c>
      <c r="S5">
        <f>Data!Z17</f>
        <v>0</v>
      </c>
      <c r="T5">
        <f>Data!AA17</f>
        <v>0</v>
      </c>
      <c r="U5">
        <f>Data!AB17</f>
        <v>0</v>
      </c>
      <c r="V5">
        <f>Data!AC17</f>
        <v>0</v>
      </c>
      <c r="W5">
        <f>Data!AD17</f>
        <v>0</v>
      </c>
      <c r="X5">
        <f>Data!AE17</f>
        <v>0</v>
      </c>
      <c r="Y5">
        <f>Data!AF17</f>
        <v>0</v>
      </c>
      <c r="Z5">
        <f>Data!AG17</f>
        <v>0</v>
      </c>
      <c r="AA5">
        <f>Data!AH17</f>
        <v>0</v>
      </c>
      <c r="AB5">
        <f>Data!AI17</f>
        <v>0</v>
      </c>
      <c r="AC5">
        <f>Data!AJ17</f>
        <v>0</v>
      </c>
      <c r="AD5">
        <f>Data!AK17</f>
        <v>0</v>
      </c>
      <c r="AE5">
        <f>Data!AL17</f>
        <v>0</v>
      </c>
      <c r="AF5">
        <f>Data!AM17</f>
        <v>0</v>
      </c>
      <c r="AG5">
        <f>Data!AN17</f>
        <v>0</v>
      </c>
      <c r="AH5">
        <f>Data!AO17</f>
        <v>0</v>
      </c>
      <c r="AI5">
        <f>Data!AP17</f>
        <v>0</v>
      </c>
      <c r="AJ5">
        <f>Data!AQ17</f>
        <v>0</v>
      </c>
    </row>
    <row r="6" spans="1:36" x14ac:dyDescent="0.25">
      <c r="A6" t="s">
        <v>5</v>
      </c>
      <c r="B6">
        <f>Data!I18</f>
        <v>0</v>
      </c>
      <c r="C6">
        <f>Data!J18</f>
        <v>0</v>
      </c>
      <c r="D6">
        <f>Data!K18</f>
        <v>0</v>
      </c>
      <c r="E6">
        <f>Data!L18</f>
        <v>0</v>
      </c>
      <c r="F6">
        <f>Data!M18</f>
        <v>0</v>
      </c>
      <c r="G6">
        <f>Data!N18</f>
        <v>0</v>
      </c>
      <c r="H6">
        <f>Data!O18</f>
        <v>0</v>
      </c>
      <c r="I6">
        <f>Data!P18</f>
        <v>0</v>
      </c>
      <c r="J6">
        <f>Data!Q18</f>
        <v>0</v>
      </c>
      <c r="K6">
        <f>Data!R18</f>
        <v>0</v>
      </c>
      <c r="L6">
        <f>Data!S18</f>
        <v>0</v>
      </c>
      <c r="M6">
        <f>Data!T18</f>
        <v>0</v>
      </c>
      <c r="N6">
        <f>Data!U18</f>
        <v>0</v>
      </c>
      <c r="O6">
        <f>Data!V18</f>
        <v>0</v>
      </c>
      <c r="P6">
        <f>Data!W18</f>
        <v>0</v>
      </c>
      <c r="Q6">
        <f>Data!X18</f>
        <v>0</v>
      </c>
      <c r="R6">
        <f>Data!Y18</f>
        <v>0</v>
      </c>
      <c r="S6">
        <f>Data!Z18</f>
        <v>0</v>
      </c>
      <c r="T6">
        <f>Data!AA18</f>
        <v>0</v>
      </c>
      <c r="U6">
        <f>Data!AB18</f>
        <v>0</v>
      </c>
      <c r="V6">
        <f>Data!AC18</f>
        <v>0</v>
      </c>
      <c r="W6">
        <f>Data!AD18</f>
        <v>0</v>
      </c>
      <c r="X6">
        <f>Data!AE18</f>
        <v>0</v>
      </c>
      <c r="Y6">
        <f>Data!AF18</f>
        <v>0</v>
      </c>
      <c r="Z6">
        <f>Data!AG18</f>
        <v>0</v>
      </c>
      <c r="AA6">
        <f>Data!AH18</f>
        <v>0</v>
      </c>
      <c r="AB6">
        <f>Data!AI18</f>
        <v>0</v>
      </c>
      <c r="AC6">
        <f>Data!AJ18</f>
        <v>0</v>
      </c>
      <c r="AD6">
        <f>Data!AK18</f>
        <v>0</v>
      </c>
      <c r="AE6">
        <f>Data!AL18</f>
        <v>0</v>
      </c>
      <c r="AF6">
        <f>Data!AM18</f>
        <v>0</v>
      </c>
      <c r="AG6">
        <f>Data!AN18</f>
        <v>0</v>
      </c>
      <c r="AH6">
        <f>Data!AO18</f>
        <v>0</v>
      </c>
      <c r="AI6">
        <f>Data!AP18</f>
        <v>0</v>
      </c>
      <c r="AJ6">
        <f>Data!AQ18</f>
        <v>0</v>
      </c>
    </row>
    <row r="7" spans="1:36" x14ac:dyDescent="0.25">
      <c r="A7" t="s">
        <v>6</v>
      </c>
      <c r="B7">
        <f>Data!I19</f>
        <v>1</v>
      </c>
      <c r="C7">
        <f>Data!J19</f>
        <v>1</v>
      </c>
      <c r="D7">
        <f>Data!K19</f>
        <v>1</v>
      </c>
      <c r="E7">
        <f>Data!L19</f>
        <v>1</v>
      </c>
      <c r="F7">
        <f>Data!M19</f>
        <v>1</v>
      </c>
      <c r="G7">
        <f>Data!N19</f>
        <v>1</v>
      </c>
      <c r="H7">
        <f>Data!O19</f>
        <v>1</v>
      </c>
      <c r="I7">
        <f>Data!P19</f>
        <v>1</v>
      </c>
      <c r="J7">
        <f>Data!Q19</f>
        <v>1</v>
      </c>
      <c r="K7">
        <f>Data!R19</f>
        <v>1</v>
      </c>
      <c r="L7">
        <f>Data!S19</f>
        <v>1</v>
      </c>
      <c r="M7">
        <f>Data!T19</f>
        <v>1</v>
      </c>
      <c r="N7">
        <f>Data!U19</f>
        <v>1</v>
      </c>
      <c r="O7">
        <f>Data!V19</f>
        <v>1</v>
      </c>
      <c r="P7">
        <f>Data!W19</f>
        <v>1</v>
      </c>
      <c r="Q7">
        <f>Data!X19</f>
        <v>1</v>
      </c>
      <c r="R7">
        <f>Data!Y19</f>
        <v>1</v>
      </c>
      <c r="S7">
        <f>Data!Z19</f>
        <v>1</v>
      </c>
      <c r="T7">
        <f>Data!AA19</f>
        <v>1</v>
      </c>
      <c r="U7">
        <f>Data!AB19</f>
        <v>1</v>
      </c>
      <c r="V7">
        <f>Data!AC19</f>
        <v>1</v>
      </c>
      <c r="W7">
        <f>Data!AD19</f>
        <v>1</v>
      </c>
      <c r="X7">
        <f>Data!AE19</f>
        <v>1</v>
      </c>
      <c r="Y7">
        <f>Data!AF19</f>
        <v>1</v>
      </c>
      <c r="Z7">
        <f>Data!AG19</f>
        <v>1</v>
      </c>
      <c r="AA7">
        <f>Data!AH19</f>
        <v>1</v>
      </c>
      <c r="AB7">
        <f>Data!AI19</f>
        <v>1</v>
      </c>
      <c r="AC7">
        <f>Data!AJ19</f>
        <v>1</v>
      </c>
      <c r="AD7">
        <f>Data!AK19</f>
        <v>1</v>
      </c>
      <c r="AE7">
        <f>Data!AL19</f>
        <v>1</v>
      </c>
      <c r="AF7">
        <f>Data!AM19</f>
        <v>1</v>
      </c>
      <c r="AG7">
        <f>Data!AN19</f>
        <v>1</v>
      </c>
      <c r="AH7">
        <f>Data!AO19</f>
        <v>1</v>
      </c>
      <c r="AI7">
        <f>Data!AP19</f>
        <v>1</v>
      </c>
      <c r="AJ7">
        <f>Data!AQ19</f>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D2" sqref="D2"/>
    </sheetView>
  </sheetViews>
  <sheetFormatPr defaultRowHeight="15" x14ac:dyDescent="0.25"/>
  <cols>
    <col min="1" max="1" width="24.4257812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Data!I20</f>
        <v>0</v>
      </c>
      <c r="C2">
        <f>Data!J20</f>
        <v>1.098694263059318E-2</v>
      </c>
      <c r="D2">
        <f>Data!K20</f>
        <v>1.4774031693273055E-2</v>
      </c>
      <c r="E2">
        <f>Data!L20</f>
        <v>1.984030573407751E-2</v>
      </c>
      <c r="F2">
        <f>Data!M20</f>
        <v>2.6596993576865863E-2</v>
      </c>
      <c r="G2">
        <f>Data!N20</f>
        <v>3.5571189272636181E-2</v>
      </c>
      <c r="H2">
        <f>Data!O20</f>
        <v>4.7425873177566781E-2</v>
      </c>
      <c r="I2">
        <f>Data!P20</f>
        <v>6.2973356056996513E-2</v>
      </c>
      <c r="J2">
        <f>Data!Q20</f>
        <v>8.317269649392238E-2</v>
      </c>
      <c r="K2">
        <f>Data!R20</f>
        <v>0.10909682119561293</v>
      </c>
      <c r="L2">
        <f>Data!S20</f>
        <v>0.14185106490048782</v>
      </c>
      <c r="M2">
        <f>Data!T20</f>
        <v>0.18242552380635635</v>
      </c>
      <c r="N2">
        <f>Data!U20</f>
        <v>0.23147521650098238</v>
      </c>
      <c r="O2">
        <f>Data!V20</f>
        <v>0.28905049737499605</v>
      </c>
      <c r="P2">
        <f>Data!W20</f>
        <v>0.35434369377420455</v>
      </c>
      <c r="Q2">
        <f>Data!X20</f>
        <v>0.42555748318834102</v>
      </c>
      <c r="R2">
        <f>Data!Y20</f>
        <v>0.5</v>
      </c>
      <c r="S2">
        <f>Data!Z20</f>
        <v>0.57444251681165903</v>
      </c>
      <c r="T2">
        <f>Data!AA20</f>
        <v>0.6456563062257954</v>
      </c>
      <c r="U2">
        <f>Data!AB20</f>
        <v>0.71094950262500389</v>
      </c>
      <c r="V2">
        <f>Data!AC20</f>
        <v>0.76852478349901754</v>
      </c>
      <c r="W2">
        <f>Data!AD20</f>
        <v>0.81757447619364365</v>
      </c>
      <c r="X2">
        <f>Data!AE20</f>
        <v>0.85814893509951229</v>
      </c>
      <c r="Y2">
        <f>Data!AF20</f>
        <v>0.89090317880438707</v>
      </c>
      <c r="Z2">
        <f>Data!AG20</f>
        <v>0.91682730350607766</v>
      </c>
      <c r="AA2">
        <f>Data!AH20</f>
        <v>0.9370266439430035</v>
      </c>
      <c r="AB2">
        <f>Data!AI20</f>
        <v>0.95257412682243336</v>
      </c>
      <c r="AC2">
        <f>Data!AJ20</f>
        <v>0.96442881072736386</v>
      </c>
      <c r="AD2">
        <f>Data!AK20</f>
        <v>0.97340300642313404</v>
      </c>
      <c r="AE2">
        <f>Data!AL20</f>
        <v>0.98015969426592253</v>
      </c>
      <c r="AF2">
        <f>Data!AM20</f>
        <v>0.98522596830672693</v>
      </c>
      <c r="AG2">
        <f>Data!AN20</f>
        <v>0.98901305736940681</v>
      </c>
      <c r="AH2">
        <f>Data!AO20</f>
        <v>0.99183742884684012</v>
      </c>
      <c r="AI2">
        <f>Data!AP20</f>
        <v>0.99394019850841575</v>
      </c>
      <c r="AJ2">
        <f>Data!AQ20</f>
        <v>0.99550372683905886</v>
      </c>
    </row>
    <row r="3" spans="1:36" x14ac:dyDescent="0.25">
      <c r="A3" t="s">
        <v>2</v>
      </c>
      <c r="B3">
        <f>Data!I21</f>
        <v>0</v>
      </c>
      <c r="C3">
        <f>Data!J21</f>
        <v>0</v>
      </c>
      <c r="D3">
        <f>Data!K21</f>
        <v>0</v>
      </c>
      <c r="E3">
        <f>Data!L21</f>
        <v>0</v>
      </c>
      <c r="F3">
        <f>Data!M21</f>
        <v>0</v>
      </c>
      <c r="G3">
        <f>Data!N21</f>
        <v>0</v>
      </c>
      <c r="H3">
        <f>Data!O21</f>
        <v>0</v>
      </c>
      <c r="I3">
        <f>Data!P21</f>
        <v>0</v>
      </c>
      <c r="J3">
        <f>Data!Q21</f>
        <v>0</v>
      </c>
      <c r="K3">
        <f>Data!R21</f>
        <v>0</v>
      </c>
      <c r="L3">
        <f>Data!S21</f>
        <v>0</v>
      </c>
      <c r="M3">
        <f>Data!T21</f>
        <v>0</v>
      </c>
      <c r="N3">
        <f>Data!U21</f>
        <v>0</v>
      </c>
      <c r="O3">
        <f>Data!V21</f>
        <v>0</v>
      </c>
      <c r="P3">
        <f>Data!W21</f>
        <v>0</v>
      </c>
      <c r="Q3">
        <f>Data!X21</f>
        <v>0</v>
      </c>
      <c r="R3">
        <f>Data!Y21</f>
        <v>0</v>
      </c>
      <c r="S3">
        <f>Data!Z21</f>
        <v>0</v>
      </c>
      <c r="T3">
        <f>Data!AA21</f>
        <v>0</v>
      </c>
      <c r="U3">
        <f>Data!AB21</f>
        <v>0</v>
      </c>
      <c r="V3">
        <f>Data!AC21</f>
        <v>0</v>
      </c>
      <c r="W3">
        <f>Data!AD21</f>
        <v>0</v>
      </c>
      <c r="X3">
        <f>Data!AE21</f>
        <v>0</v>
      </c>
      <c r="Y3">
        <f>Data!AF21</f>
        <v>0</v>
      </c>
      <c r="Z3">
        <f>Data!AG21</f>
        <v>0</v>
      </c>
      <c r="AA3">
        <f>Data!AH21</f>
        <v>0</v>
      </c>
      <c r="AB3">
        <f>Data!AI21</f>
        <v>0</v>
      </c>
      <c r="AC3">
        <f>Data!AJ21</f>
        <v>0</v>
      </c>
      <c r="AD3">
        <f>Data!AK21</f>
        <v>0</v>
      </c>
      <c r="AE3">
        <f>Data!AL21</f>
        <v>0</v>
      </c>
      <c r="AF3">
        <f>Data!AM21</f>
        <v>0</v>
      </c>
      <c r="AG3">
        <f>Data!AN21</f>
        <v>0</v>
      </c>
      <c r="AH3">
        <f>Data!AO21</f>
        <v>0</v>
      </c>
      <c r="AI3">
        <f>Data!AP21</f>
        <v>0</v>
      </c>
      <c r="AJ3">
        <f>Data!AQ21</f>
        <v>0</v>
      </c>
    </row>
    <row r="4" spans="1:36" x14ac:dyDescent="0.25">
      <c r="A4" t="s">
        <v>3</v>
      </c>
      <c r="B4">
        <f>Data!I22</f>
        <v>1</v>
      </c>
      <c r="C4">
        <f>Data!J22</f>
        <v>1</v>
      </c>
      <c r="D4">
        <f>Data!K22</f>
        <v>1</v>
      </c>
      <c r="E4">
        <f>Data!L22</f>
        <v>1</v>
      </c>
      <c r="F4">
        <f>Data!M22</f>
        <v>1</v>
      </c>
      <c r="G4">
        <f>Data!N22</f>
        <v>1</v>
      </c>
      <c r="H4">
        <f>Data!O22</f>
        <v>1</v>
      </c>
      <c r="I4">
        <f>Data!P22</f>
        <v>1</v>
      </c>
      <c r="J4">
        <f>Data!Q22</f>
        <v>1</v>
      </c>
      <c r="K4">
        <f>Data!R22</f>
        <v>1</v>
      </c>
      <c r="L4">
        <f>Data!S22</f>
        <v>1</v>
      </c>
      <c r="M4">
        <f>Data!T22</f>
        <v>1</v>
      </c>
      <c r="N4">
        <f>Data!U22</f>
        <v>1</v>
      </c>
      <c r="O4">
        <f>Data!V22</f>
        <v>1</v>
      </c>
      <c r="P4">
        <f>Data!W22</f>
        <v>1</v>
      </c>
      <c r="Q4">
        <f>Data!X22</f>
        <v>1</v>
      </c>
      <c r="R4">
        <f>Data!Y22</f>
        <v>1</v>
      </c>
      <c r="S4">
        <f>Data!Z22</f>
        <v>1</v>
      </c>
      <c r="T4">
        <f>Data!AA22</f>
        <v>1</v>
      </c>
      <c r="U4">
        <f>Data!AB22</f>
        <v>1</v>
      </c>
      <c r="V4">
        <f>Data!AC22</f>
        <v>1</v>
      </c>
      <c r="W4">
        <f>Data!AD22</f>
        <v>1</v>
      </c>
      <c r="X4">
        <f>Data!AE22</f>
        <v>1</v>
      </c>
      <c r="Y4">
        <f>Data!AF22</f>
        <v>1</v>
      </c>
      <c r="Z4">
        <f>Data!AG22</f>
        <v>1</v>
      </c>
      <c r="AA4">
        <f>Data!AH22</f>
        <v>1</v>
      </c>
      <c r="AB4">
        <f>Data!AI22</f>
        <v>1</v>
      </c>
      <c r="AC4">
        <f>Data!AJ22</f>
        <v>1</v>
      </c>
      <c r="AD4">
        <f>Data!AK22</f>
        <v>1</v>
      </c>
      <c r="AE4">
        <f>Data!AL22</f>
        <v>1</v>
      </c>
      <c r="AF4">
        <f>Data!AM22</f>
        <v>1</v>
      </c>
      <c r="AG4">
        <f>Data!AN22</f>
        <v>1</v>
      </c>
      <c r="AH4">
        <f>Data!AO22</f>
        <v>1</v>
      </c>
      <c r="AI4">
        <f>Data!AP22</f>
        <v>1</v>
      </c>
      <c r="AJ4">
        <f>Data!AQ22</f>
        <v>1</v>
      </c>
    </row>
    <row r="5" spans="1:36" x14ac:dyDescent="0.25">
      <c r="A5" t="s">
        <v>4</v>
      </c>
      <c r="B5">
        <f>Data!I23</f>
        <v>0</v>
      </c>
      <c r="C5">
        <f>Data!J23</f>
        <v>0</v>
      </c>
      <c r="D5">
        <f>Data!K23</f>
        <v>0</v>
      </c>
      <c r="E5">
        <f>Data!L23</f>
        <v>0</v>
      </c>
      <c r="F5">
        <f>Data!M23</f>
        <v>0</v>
      </c>
      <c r="G5">
        <f>Data!N23</f>
        <v>0</v>
      </c>
      <c r="H5">
        <f>Data!O23</f>
        <v>0</v>
      </c>
      <c r="I5">
        <f>Data!P23</f>
        <v>0</v>
      </c>
      <c r="J5">
        <f>Data!Q23</f>
        <v>0</v>
      </c>
      <c r="K5">
        <f>Data!R23</f>
        <v>0</v>
      </c>
      <c r="L5">
        <f>Data!S23</f>
        <v>0</v>
      </c>
      <c r="M5">
        <f>Data!T23</f>
        <v>0</v>
      </c>
      <c r="N5">
        <f>Data!U23</f>
        <v>0</v>
      </c>
      <c r="O5">
        <f>Data!V23</f>
        <v>0</v>
      </c>
      <c r="P5">
        <f>Data!W23</f>
        <v>0</v>
      </c>
      <c r="Q5">
        <f>Data!X23</f>
        <v>0</v>
      </c>
      <c r="R5">
        <f>Data!Y23</f>
        <v>0</v>
      </c>
      <c r="S5">
        <f>Data!Z23</f>
        <v>0</v>
      </c>
      <c r="T5">
        <f>Data!AA23</f>
        <v>0</v>
      </c>
      <c r="U5">
        <f>Data!AB23</f>
        <v>0</v>
      </c>
      <c r="V5">
        <f>Data!AC23</f>
        <v>0</v>
      </c>
      <c r="W5">
        <f>Data!AD23</f>
        <v>0</v>
      </c>
      <c r="X5">
        <f>Data!AE23</f>
        <v>0</v>
      </c>
      <c r="Y5">
        <f>Data!AF23</f>
        <v>0</v>
      </c>
      <c r="Z5">
        <f>Data!AG23</f>
        <v>0</v>
      </c>
      <c r="AA5">
        <f>Data!AH23</f>
        <v>0</v>
      </c>
      <c r="AB5">
        <f>Data!AI23</f>
        <v>0</v>
      </c>
      <c r="AC5">
        <f>Data!AJ23</f>
        <v>0</v>
      </c>
      <c r="AD5">
        <f>Data!AK23</f>
        <v>0</v>
      </c>
      <c r="AE5">
        <f>Data!AL23</f>
        <v>0</v>
      </c>
      <c r="AF5">
        <f>Data!AM23</f>
        <v>0</v>
      </c>
      <c r="AG5">
        <f>Data!AN23</f>
        <v>0</v>
      </c>
      <c r="AH5">
        <f>Data!AO23</f>
        <v>0</v>
      </c>
      <c r="AI5">
        <f>Data!AP23</f>
        <v>0</v>
      </c>
      <c r="AJ5">
        <f>Data!AQ23</f>
        <v>0</v>
      </c>
    </row>
    <row r="6" spans="1:36" x14ac:dyDescent="0.25">
      <c r="A6" t="s">
        <v>5</v>
      </c>
      <c r="B6">
        <f>Data!I24</f>
        <v>0</v>
      </c>
      <c r="C6">
        <f>Data!J24</f>
        <v>0</v>
      </c>
      <c r="D6">
        <f>Data!K24</f>
        <v>0</v>
      </c>
      <c r="E6">
        <f>Data!L24</f>
        <v>0</v>
      </c>
      <c r="F6">
        <f>Data!M24</f>
        <v>0</v>
      </c>
      <c r="G6">
        <f>Data!N24</f>
        <v>0</v>
      </c>
      <c r="H6">
        <f>Data!O24</f>
        <v>0</v>
      </c>
      <c r="I6">
        <f>Data!P24</f>
        <v>0</v>
      </c>
      <c r="J6">
        <f>Data!Q24</f>
        <v>0</v>
      </c>
      <c r="K6">
        <f>Data!R24</f>
        <v>0</v>
      </c>
      <c r="L6">
        <f>Data!S24</f>
        <v>0</v>
      </c>
      <c r="M6">
        <f>Data!T24</f>
        <v>0</v>
      </c>
      <c r="N6">
        <f>Data!U24</f>
        <v>0</v>
      </c>
      <c r="O6">
        <f>Data!V24</f>
        <v>0</v>
      </c>
      <c r="P6">
        <f>Data!W24</f>
        <v>0</v>
      </c>
      <c r="Q6">
        <f>Data!X24</f>
        <v>0</v>
      </c>
      <c r="R6">
        <f>Data!Y24</f>
        <v>0</v>
      </c>
      <c r="S6">
        <f>Data!Z24</f>
        <v>0</v>
      </c>
      <c r="T6">
        <f>Data!AA24</f>
        <v>0</v>
      </c>
      <c r="U6">
        <f>Data!AB24</f>
        <v>0</v>
      </c>
      <c r="V6">
        <f>Data!AC24</f>
        <v>0</v>
      </c>
      <c r="W6">
        <f>Data!AD24</f>
        <v>0</v>
      </c>
      <c r="X6">
        <f>Data!AE24</f>
        <v>0</v>
      </c>
      <c r="Y6">
        <f>Data!AF24</f>
        <v>0</v>
      </c>
      <c r="Z6">
        <f>Data!AG24</f>
        <v>0</v>
      </c>
      <c r="AA6">
        <f>Data!AH24</f>
        <v>0</v>
      </c>
      <c r="AB6">
        <f>Data!AI24</f>
        <v>0</v>
      </c>
      <c r="AC6">
        <f>Data!AJ24</f>
        <v>0</v>
      </c>
      <c r="AD6">
        <f>Data!AK24</f>
        <v>0</v>
      </c>
      <c r="AE6">
        <f>Data!AL24</f>
        <v>0</v>
      </c>
      <c r="AF6">
        <f>Data!AM24</f>
        <v>0</v>
      </c>
      <c r="AG6">
        <f>Data!AN24</f>
        <v>0</v>
      </c>
      <c r="AH6">
        <f>Data!AO24</f>
        <v>0</v>
      </c>
      <c r="AI6">
        <f>Data!AP24</f>
        <v>0</v>
      </c>
      <c r="AJ6">
        <f>Data!AQ24</f>
        <v>0</v>
      </c>
    </row>
    <row r="7" spans="1:36" x14ac:dyDescent="0.25">
      <c r="A7" t="s">
        <v>6</v>
      </c>
      <c r="B7">
        <f>Data!I25</f>
        <v>0</v>
      </c>
      <c r="C7">
        <f>Data!J25</f>
        <v>0</v>
      </c>
      <c r="D7">
        <f>Data!K25</f>
        <v>0</v>
      </c>
      <c r="E7">
        <f>Data!L25</f>
        <v>0</v>
      </c>
      <c r="F7">
        <f>Data!M25</f>
        <v>0</v>
      </c>
      <c r="G7">
        <f>Data!N25</f>
        <v>0</v>
      </c>
      <c r="H7">
        <f>Data!O25</f>
        <v>0</v>
      </c>
      <c r="I7">
        <f>Data!P25</f>
        <v>0</v>
      </c>
      <c r="J7">
        <f>Data!Q25</f>
        <v>0</v>
      </c>
      <c r="K7">
        <f>Data!R25</f>
        <v>0</v>
      </c>
      <c r="L7">
        <f>Data!S25</f>
        <v>0</v>
      </c>
      <c r="M7">
        <f>Data!T25</f>
        <v>0</v>
      </c>
      <c r="N7">
        <f>Data!U25</f>
        <v>0</v>
      </c>
      <c r="O7">
        <f>Data!V25</f>
        <v>0</v>
      </c>
      <c r="P7">
        <f>Data!W25</f>
        <v>0</v>
      </c>
      <c r="Q7">
        <f>Data!X25</f>
        <v>0</v>
      </c>
      <c r="R7">
        <f>Data!Y25</f>
        <v>0</v>
      </c>
      <c r="S7">
        <f>Data!Z25</f>
        <v>0</v>
      </c>
      <c r="T7">
        <f>Data!AA25</f>
        <v>0</v>
      </c>
      <c r="U7">
        <f>Data!AB25</f>
        <v>0</v>
      </c>
      <c r="V7">
        <f>Data!AC25</f>
        <v>0</v>
      </c>
      <c r="W7">
        <f>Data!AD25</f>
        <v>0</v>
      </c>
      <c r="X7">
        <f>Data!AE25</f>
        <v>0</v>
      </c>
      <c r="Y7">
        <f>Data!AF25</f>
        <v>0</v>
      </c>
      <c r="Z7">
        <f>Data!AG25</f>
        <v>0</v>
      </c>
      <c r="AA7">
        <f>Data!AH25</f>
        <v>0</v>
      </c>
      <c r="AB7">
        <f>Data!AI25</f>
        <v>0</v>
      </c>
      <c r="AC7">
        <f>Data!AJ25</f>
        <v>0</v>
      </c>
      <c r="AD7">
        <f>Data!AK25</f>
        <v>0</v>
      </c>
      <c r="AE7">
        <f>Data!AL25</f>
        <v>0</v>
      </c>
      <c r="AF7">
        <f>Data!AM25</f>
        <v>0</v>
      </c>
      <c r="AG7">
        <f>Data!AN25</f>
        <v>0</v>
      </c>
      <c r="AH7">
        <f>Data!AO25</f>
        <v>0</v>
      </c>
      <c r="AI7">
        <f>Data!AP25</f>
        <v>0</v>
      </c>
      <c r="AJ7">
        <f>Data!AQ25</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x14ac:dyDescent="0.25"/>
  <cols>
    <col min="1" max="1" width="24.4257812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Data!I26</f>
        <v>0</v>
      </c>
      <c r="C2">
        <f>Data!J26</f>
        <v>0</v>
      </c>
      <c r="D2">
        <f>Data!K26</f>
        <v>0</v>
      </c>
      <c r="E2">
        <f>Data!L26</f>
        <v>0</v>
      </c>
      <c r="F2">
        <f>Data!M26</f>
        <v>0</v>
      </c>
      <c r="G2">
        <f>Data!N26</f>
        <v>0</v>
      </c>
      <c r="H2">
        <f>Data!O26</f>
        <v>0</v>
      </c>
      <c r="I2">
        <f>Data!P26</f>
        <v>0</v>
      </c>
      <c r="J2">
        <f>Data!Q26</f>
        <v>0</v>
      </c>
      <c r="K2">
        <f>Data!R26</f>
        <v>0</v>
      </c>
      <c r="L2">
        <f>Data!S26</f>
        <v>0</v>
      </c>
      <c r="M2">
        <f>Data!T26</f>
        <v>0</v>
      </c>
      <c r="N2">
        <f>Data!U26</f>
        <v>0</v>
      </c>
      <c r="O2">
        <f>Data!V26</f>
        <v>0</v>
      </c>
      <c r="P2">
        <f>Data!W26</f>
        <v>0</v>
      </c>
      <c r="Q2">
        <f>Data!X26</f>
        <v>0</v>
      </c>
      <c r="R2">
        <f>Data!Y26</f>
        <v>0</v>
      </c>
      <c r="S2">
        <f>Data!Z26</f>
        <v>0</v>
      </c>
      <c r="T2">
        <f>Data!AA26</f>
        <v>0</v>
      </c>
      <c r="U2">
        <f>Data!AB26</f>
        <v>0</v>
      </c>
      <c r="V2">
        <f>Data!AC26</f>
        <v>0</v>
      </c>
      <c r="W2">
        <f>Data!AD26</f>
        <v>0</v>
      </c>
      <c r="X2">
        <f>Data!AE26</f>
        <v>0</v>
      </c>
      <c r="Y2">
        <f>Data!AF26</f>
        <v>0</v>
      </c>
      <c r="Z2">
        <f>Data!AG26</f>
        <v>0</v>
      </c>
      <c r="AA2">
        <f>Data!AH26</f>
        <v>0</v>
      </c>
      <c r="AB2">
        <f>Data!AI26</f>
        <v>0</v>
      </c>
      <c r="AC2">
        <f>Data!AJ26</f>
        <v>0</v>
      </c>
      <c r="AD2">
        <f>Data!AK26</f>
        <v>0</v>
      </c>
      <c r="AE2">
        <f>Data!AL26</f>
        <v>0</v>
      </c>
      <c r="AF2">
        <f>Data!AM26</f>
        <v>0</v>
      </c>
      <c r="AG2">
        <f>Data!AN26</f>
        <v>0</v>
      </c>
      <c r="AH2">
        <f>Data!AO26</f>
        <v>0</v>
      </c>
      <c r="AI2">
        <f>Data!AP26</f>
        <v>0</v>
      </c>
      <c r="AJ2">
        <f>Data!AQ26</f>
        <v>0</v>
      </c>
    </row>
    <row r="3" spans="1:36" x14ac:dyDescent="0.25">
      <c r="A3" t="s">
        <v>2</v>
      </c>
      <c r="B3">
        <f>Data!I27</f>
        <v>0</v>
      </c>
      <c r="C3">
        <f>Data!J27</f>
        <v>0</v>
      </c>
      <c r="D3">
        <f>Data!K27</f>
        <v>0</v>
      </c>
      <c r="E3">
        <f>Data!L27</f>
        <v>0</v>
      </c>
      <c r="F3">
        <f>Data!M27</f>
        <v>0</v>
      </c>
      <c r="G3">
        <f>Data!N27</f>
        <v>0</v>
      </c>
      <c r="H3">
        <f>Data!O27</f>
        <v>0</v>
      </c>
      <c r="I3">
        <f>Data!P27</f>
        <v>0</v>
      </c>
      <c r="J3">
        <f>Data!Q27</f>
        <v>0</v>
      </c>
      <c r="K3">
        <f>Data!R27</f>
        <v>0</v>
      </c>
      <c r="L3">
        <f>Data!S27</f>
        <v>0</v>
      </c>
      <c r="M3">
        <f>Data!T27</f>
        <v>0</v>
      </c>
      <c r="N3">
        <f>Data!U27</f>
        <v>0</v>
      </c>
      <c r="O3">
        <f>Data!V27</f>
        <v>0</v>
      </c>
      <c r="P3">
        <f>Data!W27</f>
        <v>0</v>
      </c>
      <c r="Q3">
        <f>Data!X27</f>
        <v>0</v>
      </c>
      <c r="R3">
        <f>Data!Y27</f>
        <v>0</v>
      </c>
      <c r="S3">
        <f>Data!Z27</f>
        <v>0</v>
      </c>
      <c r="T3">
        <f>Data!AA27</f>
        <v>0</v>
      </c>
      <c r="U3">
        <f>Data!AB27</f>
        <v>0</v>
      </c>
      <c r="V3">
        <f>Data!AC27</f>
        <v>0</v>
      </c>
      <c r="W3">
        <f>Data!AD27</f>
        <v>0</v>
      </c>
      <c r="X3">
        <f>Data!AE27</f>
        <v>0</v>
      </c>
      <c r="Y3">
        <f>Data!AF27</f>
        <v>0</v>
      </c>
      <c r="Z3">
        <f>Data!AG27</f>
        <v>0</v>
      </c>
      <c r="AA3">
        <f>Data!AH27</f>
        <v>0</v>
      </c>
      <c r="AB3">
        <f>Data!AI27</f>
        <v>0</v>
      </c>
      <c r="AC3">
        <f>Data!AJ27</f>
        <v>0</v>
      </c>
      <c r="AD3">
        <f>Data!AK27</f>
        <v>0</v>
      </c>
      <c r="AE3">
        <f>Data!AL27</f>
        <v>0</v>
      </c>
      <c r="AF3">
        <f>Data!AM27</f>
        <v>0</v>
      </c>
      <c r="AG3">
        <f>Data!AN27</f>
        <v>0</v>
      </c>
      <c r="AH3">
        <f>Data!AO27</f>
        <v>0</v>
      </c>
      <c r="AI3">
        <f>Data!AP27</f>
        <v>0</v>
      </c>
      <c r="AJ3">
        <f>Data!AQ27</f>
        <v>0</v>
      </c>
    </row>
    <row r="4" spans="1:36" x14ac:dyDescent="0.25">
      <c r="A4" t="s">
        <v>3</v>
      </c>
      <c r="B4">
        <f>Data!I28</f>
        <v>0</v>
      </c>
      <c r="C4">
        <f>Data!J28</f>
        <v>0</v>
      </c>
      <c r="D4">
        <f>Data!K28</f>
        <v>0</v>
      </c>
      <c r="E4">
        <f>Data!L28</f>
        <v>0</v>
      </c>
      <c r="F4">
        <f>Data!M28</f>
        <v>0</v>
      </c>
      <c r="G4">
        <f>Data!N28</f>
        <v>0</v>
      </c>
      <c r="H4">
        <f>Data!O28</f>
        <v>0</v>
      </c>
      <c r="I4">
        <f>Data!P28</f>
        <v>0</v>
      </c>
      <c r="J4">
        <f>Data!Q28</f>
        <v>0</v>
      </c>
      <c r="K4">
        <f>Data!R28</f>
        <v>0</v>
      </c>
      <c r="L4">
        <f>Data!S28</f>
        <v>0</v>
      </c>
      <c r="M4">
        <f>Data!T28</f>
        <v>0</v>
      </c>
      <c r="N4">
        <f>Data!U28</f>
        <v>0</v>
      </c>
      <c r="O4">
        <f>Data!V28</f>
        <v>0</v>
      </c>
      <c r="P4">
        <f>Data!W28</f>
        <v>0</v>
      </c>
      <c r="Q4">
        <f>Data!X28</f>
        <v>0</v>
      </c>
      <c r="R4">
        <f>Data!Y28</f>
        <v>0</v>
      </c>
      <c r="S4">
        <f>Data!Z28</f>
        <v>0</v>
      </c>
      <c r="T4">
        <f>Data!AA28</f>
        <v>0</v>
      </c>
      <c r="U4">
        <f>Data!AB28</f>
        <v>0</v>
      </c>
      <c r="V4">
        <f>Data!AC28</f>
        <v>0</v>
      </c>
      <c r="W4">
        <f>Data!AD28</f>
        <v>0</v>
      </c>
      <c r="X4">
        <f>Data!AE28</f>
        <v>0</v>
      </c>
      <c r="Y4">
        <f>Data!AF28</f>
        <v>0</v>
      </c>
      <c r="Z4">
        <f>Data!AG28</f>
        <v>0</v>
      </c>
      <c r="AA4">
        <f>Data!AH28</f>
        <v>0</v>
      </c>
      <c r="AB4">
        <f>Data!AI28</f>
        <v>0</v>
      </c>
      <c r="AC4">
        <f>Data!AJ28</f>
        <v>0</v>
      </c>
      <c r="AD4">
        <f>Data!AK28</f>
        <v>0</v>
      </c>
      <c r="AE4">
        <f>Data!AL28</f>
        <v>0</v>
      </c>
      <c r="AF4">
        <f>Data!AM28</f>
        <v>0</v>
      </c>
      <c r="AG4">
        <f>Data!AN28</f>
        <v>0</v>
      </c>
      <c r="AH4">
        <f>Data!AO28</f>
        <v>0</v>
      </c>
      <c r="AI4">
        <f>Data!AP28</f>
        <v>0</v>
      </c>
      <c r="AJ4">
        <f>Data!AQ28</f>
        <v>0</v>
      </c>
    </row>
    <row r="5" spans="1:36" x14ac:dyDescent="0.25">
      <c r="A5" t="s">
        <v>4</v>
      </c>
      <c r="B5">
        <f>Data!I29</f>
        <v>0</v>
      </c>
      <c r="C5">
        <f>Data!J29</f>
        <v>0</v>
      </c>
      <c r="D5">
        <f>Data!K29</f>
        <v>0</v>
      </c>
      <c r="E5">
        <f>Data!L29</f>
        <v>0</v>
      </c>
      <c r="F5">
        <f>Data!M29</f>
        <v>0</v>
      </c>
      <c r="G5">
        <f>Data!N29</f>
        <v>0</v>
      </c>
      <c r="H5">
        <f>Data!O29</f>
        <v>0</v>
      </c>
      <c r="I5">
        <f>Data!P29</f>
        <v>0</v>
      </c>
      <c r="J5">
        <f>Data!Q29</f>
        <v>0</v>
      </c>
      <c r="K5">
        <f>Data!R29</f>
        <v>0</v>
      </c>
      <c r="L5">
        <f>Data!S29</f>
        <v>0</v>
      </c>
      <c r="M5">
        <f>Data!T29</f>
        <v>0</v>
      </c>
      <c r="N5">
        <f>Data!U29</f>
        <v>0</v>
      </c>
      <c r="O5">
        <f>Data!V29</f>
        <v>0</v>
      </c>
      <c r="P5">
        <f>Data!W29</f>
        <v>0</v>
      </c>
      <c r="Q5">
        <f>Data!X29</f>
        <v>0</v>
      </c>
      <c r="R5">
        <f>Data!Y29</f>
        <v>0</v>
      </c>
      <c r="S5">
        <f>Data!Z29</f>
        <v>0</v>
      </c>
      <c r="T5">
        <f>Data!AA29</f>
        <v>0</v>
      </c>
      <c r="U5">
        <f>Data!AB29</f>
        <v>0</v>
      </c>
      <c r="V5">
        <f>Data!AC29</f>
        <v>0</v>
      </c>
      <c r="W5">
        <f>Data!AD29</f>
        <v>0</v>
      </c>
      <c r="X5">
        <f>Data!AE29</f>
        <v>0</v>
      </c>
      <c r="Y5">
        <f>Data!AF29</f>
        <v>0</v>
      </c>
      <c r="Z5">
        <f>Data!AG29</f>
        <v>0</v>
      </c>
      <c r="AA5">
        <f>Data!AH29</f>
        <v>0</v>
      </c>
      <c r="AB5">
        <f>Data!AI29</f>
        <v>0</v>
      </c>
      <c r="AC5">
        <f>Data!AJ29</f>
        <v>0</v>
      </c>
      <c r="AD5">
        <f>Data!AK29</f>
        <v>0</v>
      </c>
      <c r="AE5">
        <f>Data!AL29</f>
        <v>0</v>
      </c>
      <c r="AF5">
        <f>Data!AM29</f>
        <v>0</v>
      </c>
      <c r="AG5">
        <f>Data!AN29</f>
        <v>0</v>
      </c>
      <c r="AH5">
        <f>Data!AO29</f>
        <v>0</v>
      </c>
      <c r="AI5">
        <f>Data!AP29</f>
        <v>0</v>
      </c>
      <c r="AJ5">
        <f>Data!AQ29</f>
        <v>0</v>
      </c>
    </row>
    <row r="6" spans="1:36" x14ac:dyDescent="0.25">
      <c r="A6" t="s">
        <v>5</v>
      </c>
      <c r="B6">
        <f>Data!I30</f>
        <v>0</v>
      </c>
      <c r="C6">
        <f>Data!J30</f>
        <v>0</v>
      </c>
      <c r="D6">
        <f>Data!K30</f>
        <v>0</v>
      </c>
      <c r="E6">
        <f>Data!L30</f>
        <v>0</v>
      </c>
      <c r="F6">
        <f>Data!M30</f>
        <v>0</v>
      </c>
      <c r="G6">
        <f>Data!N30</f>
        <v>0</v>
      </c>
      <c r="H6">
        <f>Data!O30</f>
        <v>0</v>
      </c>
      <c r="I6">
        <f>Data!P30</f>
        <v>0</v>
      </c>
      <c r="J6">
        <f>Data!Q30</f>
        <v>0</v>
      </c>
      <c r="K6">
        <f>Data!R30</f>
        <v>0</v>
      </c>
      <c r="L6">
        <f>Data!S30</f>
        <v>0</v>
      </c>
      <c r="M6">
        <f>Data!T30</f>
        <v>0</v>
      </c>
      <c r="N6">
        <f>Data!U30</f>
        <v>0</v>
      </c>
      <c r="O6">
        <f>Data!V30</f>
        <v>0</v>
      </c>
      <c r="P6">
        <f>Data!W30</f>
        <v>0</v>
      </c>
      <c r="Q6">
        <f>Data!X30</f>
        <v>0</v>
      </c>
      <c r="R6">
        <f>Data!Y30</f>
        <v>0</v>
      </c>
      <c r="S6">
        <f>Data!Z30</f>
        <v>0</v>
      </c>
      <c r="T6">
        <f>Data!AA30</f>
        <v>0</v>
      </c>
      <c r="U6">
        <f>Data!AB30</f>
        <v>0</v>
      </c>
      <c r="V6">
        <f>Data!AC30</f>
        <v>0</v>
      </c>
      <c r="W6">
        <f>Data!AD30</f>
        <v>0</v>
      </c>
      <c r="X6">
        <f>Data!AE30</f>
        <v>0</v>
      </c>
      <c r="Y6">
        <f>Data!AF30</f>
        <v>0</v>
      </c>
      <c r="Z6">
        <f>Data!AG30</f>
        <v>0</v>
      </c>
      <c r="AA6">
        <f>Data!AH30</f>
        <v>0</v>
      </c>
      <c r="AB6">
        <f>Data!AI30</f>
        <v>0</v>
      </c>
      <c r="AC6">
        <f>Data!AJ30</f>
        <v>0</v>
      </c>
      <c r="AD6">
        <f>Data!AK30</f>
        <v>0</v>
      </c>
      <c r="AE6">
        <f>Data!AL30</f>
        <v>0</v>
      </c>
      <c r="AF6">
        <f>Data!AM30</f>
        <v>0</v>
      </c>
      <c r="AG6">
        <f>Data!AN30</f>
        <v>0</v>
      </c>
      <c r="AH6">
        <f>Data!AO30</f>
        <v>0</v>
      </c>
      <c r="AI6">
        <f>Data!AP30</f>
        <v>0</v>
      </c>
      <c r="AJ6">
        <f>Data!AQ30</f>
        <v>0</v>
      </c>
    </row>
    <row r="7" spans="1:36" x14ac:dyDescent="0.25">
      <c r="A7" t="s">
        <v>6</v>
      </c>
      <c r="B7">
        <f>Data!I31</f>
        <v>0</v>
      </c>
      <c r="C7">
        <f>Data!J31</f>
        <v>0</v>
      </c>
      <c r="D7">
        <f>Data!K31</f>
        <v>0</v>
      </c>
      <c r="E7">
        <f>Data!L31</f>
        <v>0</v>
      </c>
      <c r="F7">
        <f>Data!M31</f>
        <v>0</v>
      </c>
      <c r="G7">
        <f>Data!N31</f>
        <v>0</v>
      </c>
      <c r="H7">
        <f>Data!O31</f>
        <v>0</v>
      </c>
      <c r="I7">
        <f>Data!P31</f>
        <v>0</v>
      </c>
      <c r="J7">
        <f>Data!Q31</f>
        <v>0</v>
      </c>
      <c r="K7">
        <f>Data!R31</f>
        <v>0</v>
      </c>
      <c r="L7">
        <f>Data!S31</f>
        <v>0</v>
      </c>
      <c r="M7">
        <f>Data!T31</f>
        <v>0</v>
      </c>
      <c r="N7">
        <f>Data!U31</f>
        <v>0</v>
      </c>
      <c r="O7">
        <f>Data!V31</f>
        <v>0</v>
      </c>
      <c r="P7">
        <f>Data!W31</f>
        <v>0</v>
      </c>
      <c r="Q7">
        <f>Data!X31</f>
        <v>0</v>
      </c>
      <c r="R7">
        <f>Data!Y31</f>
        <v>0</v>
      </c>
      <c r="S7">
        <f>Data!Z31</f>
        <v>0</v>
      </c>
      <c r="T7">
        <f>Data!AA31</f>
        <v>0</v>
      </c>
      <c r="U7">
        <f>Data!AB31</f>
        <v>0</v>
      </c>
      <c r="V7">
        <f>Data!AC31</f>
        <v>0</v>
      </c>
      <c r="W7">
        <f>Data!AD31</f>
        <v>0</v>
      </c>
      <c r="X7">
        <f>Data!AE31</f>
        <v>0</v>
      </c>
      <c r="Y7">
        <f>Data!AF31</f>
        <v>0</v>
      </c>
      <c r="Z7">
        <f>Data!AG31</f>
        <v>0</v>
      </c>
      <c r="AA7">
        <f>Data!AH31</f>
        <v>0</v>
      </c>
      <c r="AB7">
        <f>Data!AI31</f>
        <v>0</v>
      </c>
      <c r="AC7">
        <f>Data!AJ31</f>
        <v>0</v>
      </c>
      <c r="AD7">
        <f>Data!AK31</f>
        <v>0</v>
      </c>
      <c r="AE7">
        <f>Data!AL31</f>
        <v>0</v>
      </c>
      <c r="AF7">
        <f>Data!AM31</f>
        <v>0</v>
      </c>
      <c r="AG7">
        <f>Data!AN31</f>
        <v>0</v>
      </c>
      <c r="AH7">
        <f>Data!AO31</f>
        <v>0</v>
      </c>
      <c r="AI7">
        <f>Data!AP31</f>
        <v>0</v>
      </c>
      <c r="AJ7">
        <f>Data!AQ31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9:AP75"/>
  <sheetViews>
    <sheetView topLeftCell="A25" workbookViewId="0">
      <selection activeCell="E60" sqref="E60"/>
    </sheetView>
  </sheetViews>
  <sheetFormatPr defaultRowHeight="15" x14ac:dyDescent="0.25"/>
  <cols>
    <col min="1" max="1" width="48.28515625" customWidth="1"/>
    <col min="4" max="4" width="12.5703125" bestFit="1" customWidth="1"/>
    <col min="5" max="15" width="13.7109375" bestFit="1" customWidth="1"/>
    <col min="16" max="16" width="11.140625" customWidth="1"/>
  </cols>
  <sheetData>
    <row r="9" spans="8:10" x14ac:dyDescent="0.25">
      <c r="H9" t="s">
        <v>628</v>
      </c>
    </row>
    <row r="10" spans="8:10" x14ac:dyDescent="0.25">
      <c r="I10">
        <v>2016</v>
      </c>
      <c r="J10">
        <v>2017</v>
      </c>
    </row>
    <row r="11" spans="8:10" x14ac:dyDescent="0.25">
      <c r="H11" t="s">
        <v>69</v>
      </c>
      <c r="I11">
        <v>1.7000000000000001E-2</v>
      </c>
      <c r="J11">
        <v>2.1999999999999999E-2</v>
      </c>
    </row>
    <row r="12" spans="8:10" x14ac:dyDescent="0.25">
      <c r="H12" t="s">
        <v>60</v>
      </c>
      <c r="I12">
        <v>1.9E-2</v>
      </c>
      <c r="J12">
        <v>2.5999999999999999E-2</v>
      </c>
    </row>
    <row r="21" spans="1:42" ht="14.45" x14ac:dyDescent="0.35">
      <c r="A21" t="s">
        <v>183</v>
      </c>
    </row>
    <row r="22" spans="1:42" ht="14.45" x14ac:dyDescent="0.35">
      <c r="B22">
        <v>2016</v>
      </c>
      <c r="C22">
        <v>2017</v>
      </c>
      <c r="D22">
        <v>2018</v>
      </c>
      <c r="E22">
        <f>D22+1</f>
        <v>2019</v>
      </c>
      <c r="F22">
        <f t="shared" ref="F22:T22" si="0">E22+1</f>
        <v>2020</v>
      </c>
      <c r="G22">
        <f t="shared" si="0"/>
        <v>2021</v>
      </c>
      <c r="H22">
        <f t="shared" si="0"/>
        <v>2022</v>
      </c>
      <c r="I22">
        <f t="shared" si="0"/>
        <v>2023</v>
      </c>
      <c r="J22">
        <f t="shared" si="0"/>
        <v>2024</v>
      </c>
      <c r="K22">
        <f t="shared" si="0"/>
        <v>2025</v>
      </c>
      <c r="L22">
        <f t="shared" si="0"/>
        <v>2026</v>
      </c>
      <c r="M22">
        <f t="shared" si="0"/>
        <v>2027</v>
      </c>
      <c r="N22">
        <f t="shared" si="0"/>
        <v>2028</v>
      </c>
      <c r="O22">
        <f t="shared" si="0"/>
        <v>2029</v>
      </c>
      <c r="P22">
        <f t="shared" si="0"/>
        <v>2030</v>
      </c>
      <c r="Q22">
        <f t="shared" si="0"/>
        <v>2031</v>
      </c>
      <c r="R22">
        <f t="shared" si="0"/>
        <v>2032</v>
      </c>
      <c r="S22">
        <f t="shared" si="0"/>
        <v>2033</v>
      </c>
      <c r="T22">
        <f t="shared" si="0"/>
        <v>2034</v>
      </c>
      <c r="U22">
        <f>T22+1</f>
        <v>2035</v>
      </c>
      <c r="V22">
        <f t="shared" ref="V22:AC22" si="1">U22+1</f>
        <v>2036</v>
      </c>
      <c r="W22">
        <f t="shared" si="1"/>
        <v>2037</v>
      </c>
      <c r="X22">
        <f t="shared" si="1"/>
        <v>2038</v>
      </c>
      <c r="Y22">
        <f t="shared" si="1"/>
        <v>2039</v>
      </c>
      <c r="Z22">
        <f t="shared" si="1"/>
        <v>2040</v>
      </c>
      <c r="AA22">
        <f t="shared" si="1"/>
        <v>2041</v>
      </c>
      <c r="AB22">
        <f t="shared" si="1"/>
        <v>2042</v>
      </c>
      <c r="AC22">
        <f t="shared" si="1"/>
        <v>2043</v>
      </c>
      <c r="AD22">
        <f>AC22+1</f>
        <v>2044</v>
      </c>
      <c r="AE22">
        <f t="shared" ref="AE22:AF22" si="2">AD22+1</f>
        <v>2045</v>
      </c>
      <c r="AF22">
        <f t="shared" si="2"/>
        <v>2046</v>
      </c>
      <c r="AG22">
        <f>AC22+1</f>
        <v>2044</v>
      </c>
      <c r="AH22">
        <f t="shared" ref="AH22:AL22" si="3">AG22+1</f>
        <v>2045</v>
      </c>
      <c r="AI22">
        <f t="shared" si="3"/>
        <v>2046</v>
      </c>
      <c r="AJ22">
        <f t="shared" si="3"/>
        <v>2047</v>
      </c>
      <c r="AK22">
        <f t="shared" si="3"/>
        <v>2048</v>
      </c>
      <c r="AL22">
        <f t="shared" si="3"/>
        <v>2049</v>
      </c>
      <c r="AM22">
        <f>AI22+1</f>
        <v>2047</v>
      </c>
      <c r="AN22">
        <f t="shared" ref="AN22:AP22" si="4">AM22+1</f>
        <v>2048</v>
      </c>
      <c r="AO22">
        <f t="shared" si="4"/>
        <v>2049</v>
      </c>
      <c r="AP22">
        <f t="shared" si="4"/>
        <v>2050</v>
      </c>
    </row>
    <row r="23" spans="1:42" ht="14.45" x14ac:dyDescent="0.35">
      <c r="A23" t="s">
        <v>169</v>
      </c>
      <c r="C23">
        <v>1</v>
      </c>
      <c r="D23">
        <f>C23+1</f>
        <v>2</v>
      </c>
      <c r="E23">
        <f t="shared" ref="E23:AP23" si="5">D23+1</f>
        <v>3</v>
      </c>
      <c r="F23">
        <f t="shared" si="5"/>
        <v>4</v>
      </c>
      <c r="G23">
        <f t="shared" si="5"/>
        <v>5</v>
      </c>
      <c r="H23">
        <f t="shared" si="5"/>
        <v>6</v>
      </c>
      <c r="I23">
        <f t="shared" si="5"/>
        <v>7</v>
      </c>
      <c r="J23">
        <f t="shared" si="5"/>
        <v>8</v>
      </c>
      <c r="K23">
        <f t="shared" si="5"/>
        <v>9</v>
      </c>
      <c r="L23">
        <f t="shared" si="5"/>
        <v>10</v>
      </c>
      <c r="M23">
        <f t="shared" si="5"/>
        <v>11</v>
      </c>
      <c r="N23">
        <f t="shared" si="5"/>
        <v>12</v>
      </c>
      <c r="O23">
        <f t="shared" si="5"/>
        <v>13</v>
      </c>
      <c r="P23">
        <f t="shared" si="5"/>
        <v>14</v>
      </c>
      <c r="Q23">
        <f t="shared" si="5"/>
        <v>15</v>
      </c>
      <c r="R23">
        <f t="shared" si="5"/>
        <v>16</v>
      </c>
      <c r="S23">
        <f t="shared" si="5"/>
        <v>17</v>
      </c>
      <c r="T23">
        <f t="shared" si="5"/>
        <v>18</v>
      </c>
      <c r="U23">
        <f t="shared" si="5"/>
        <v>19</v>
      </c>
      <c r="V23">
        <f t="shared" si="5"/>
        <v>20</v>
      </c>
      <c r="W23">
        <f t="shared" si="5"/>
        <v>21</v>
      </c>
      <c r="X23">
        <f t="shared" si="5"/>
        <v>22</v>
      </c>
      <c r="Y23">
        <f t="shared" si="5"/>
        <v>23</v>
      </c>
      <c r="Z23">
        <f t="shared" si="5"/>
        <v>24</v>
      </c>
      <c r="AA23">
        <f t="shared" si="5"/>
        <v>25</v>
      </c>
      <c r="AB23">
        <f t="shared" si="5"/>
        <v>26</v>
      </c>
      <c r="AC23">
        <f t="shared" si="5"/>
        <v>27</v>
      </c>
      <c r="AD23">
        <f t="shared" si="5"/>
        <v>28</v>
      </c>
      <c r="AE23">
        <f t="shared" si="5"/>
        <v>29</v>
      </c>
      <c r="AF23">
        <f t="shared" si="5"/>
        <v>30</v>
      </c>
      <c r="AG23">
        <f t="shared" si="5"/>
        <v>31</v>
      </c>
      <c r="AH23">
        <f t="shared" si="5"/>
        <v>32</v>
      </c>
      <c r="AI23">
        <f t="shared" si="5"/>
        <v>33</v>
      </c>
      <c r="AJ23">
        <f t="shared" si="5"/>
        <v>34</v>
      </c>
      <c r="AK23">
        <f t="shared" si="5"/>
        <v>35</v>
      </c>
      <c r="AL23">
        <f t="shared" si="5"/>
        <v>36</v>
      </c>
      <c r="AM23">
        <f t="shared" si="5"/>
        <v>37</v>
      </c>
      <c r="AN23">
        <f t="shared" si="5"/>
        <v>38</v>
      </c>
      <c r="AO23">
        <f t="shared" si="5"/>
        <v>39</v>
      </c>
      <c r="AP23">
        <f t="shared" si="5"/>
        <v>40</v>
      </c>
    </row>
    <row r="24" spans="1:42" ht="14.45" x14ac:dyDescent="0.35">
      <c r="A24" t="s">
        <v>69</v>
      </c>
      <c r="B24">
        <v>34727</v>
      </c>
      <c r="C24">
        <v>45040</v>
      </c>
      <c r="D24">
        <v>62846</v>
      </c>
    </row>
    <row r="25" spans="1:42" ht="14.45" x14ac:dyDescent="0.35">
      <c r="A25" t="s">
        <v>60</v>
      </c>
      <c r="B25">
        <v>40347</v>
      </c>
      <c r="C25">
        <v>54500</v>
      </c>
      <c r="D25">
        <f>94813</f>
        <v>94813</v>
      </c>
    </row>
    <row r="26" spans="1:42" ht="14.45" x14ac:dyDescent="0.35">
      <c r="A26" t="s">
        <v>182</v>
      </c>
      <c r="B26">
        <f>B24+B25</f>
        <v>75074</v>
      </c>
      <c r="C26">
        <f>C24+C25</f>
        <v>99540</v>
      </c>
      <c r="D26">
        <f>D24+D25</f>
        <v>157659</v>
      </c>
    </row>
    <row r="27" spans="1:42" ht="14.45" x14ac:dyDescent="0.35">
      <c r="C27">
        <f>C26</f>
        <v>99540</v>
      </c>
      <c r="D27">
        <f>D29</f>
        <v>117727</v>
      </c>
    </row>
    <row r="28" spans="1:42" ht="14.45" x14ac:dyDescent="0.35">
      <c r="C28">
        <v>100</v>
      </c>
      <c r="D28">
        <v>117</v>
      </c>
      <c r="P28">
        <v>600</v>
      </c>
    </row>
    <row r="29" spans="1:42" ht="14.45" x14ac:dyDescent="0.35">
      <c r="A29" t="s">
        <v>195</v>
      </c>
      <c r="D29">
        <f>D26-'Empirical trends'!E4</f>
        <v>117727</v>
      </c>
    </row>
    <row r="30" spans="1:42" ht="14.45" x14ac:dyDescent="0.35">
      <c r="A30" t="s">
        <v>194</v>
      </c>
      <c r="C30" s="16">
        <f>$A$34</f>
        <v>339600</v>
      </c>
      <c r="D30" s="16">
        <f t="shared" ref="D30" si="6">C30+D29</f>
        <v>457327</v>
      </c>
      <c r="E30" s="16"/>
      <c r="F30" s="16"/>
      <c r="G30" s="16"/>
      <c r="H30" s="16"/>
      <c r="I30" s="16"/>
      <c r="J30" s="16"/>
      <c r="K30" s="44"/>
      <c r="L30" s="51"/>
      <c r="M30" s="51"/>
      <c r="N30" s="51"/>
      <c r="O30" s="51"/>
      <c r="P30" s="51"/>
    </row>
    <row r="31" spans="1:42" ht="14.45" x14ac:dyDescent="0.35">
      <c r="A31" t="s">
        <v>193</v>
      </c>
    </row>
    <row r="32" spans="1:42" ht="14.45" x14ac:dyDescent="0.35">
      <c r="A32" s="16">
        <v>181500</v>
      </c>
      <c r="B32" t="s">
        <v>60</v>
      </c>
    </row>
    <row r="33" spans="1:36" ht="14.45" x14ac:dyDescent="0.35">
      <c r="A33" s="16">
        <v>158100</v>
      </c>
      <c r="B33" t="s">
        <v>69</v>
      </c>
    </row>
    <row r="34" spans="1:36" ht="14.45" x14ac:dyDescent="0.35">
      <c r="A34" s="16">
        <f>A32+A33</f>
        <v>339600</v>
      </c>
    </row>
    <row r="36" spans="1:36" s="17" customFormat="1" ht="14.45" x14ac:dyDescent="0.35">
      <c r="A36" s="17" t="s">
        <v>202</v>
      </c>
    </row>
    <row r="37" spans="1:36" s="17" customFormat="1" ht="14.45" x14ac:dyDescent="0.35">
      <c r="Q37" s="18"/>
      <c r="R37" s="18"/>
      <c r="S37" s="18"/>
      <c r="T37" s="18"/>
      <c r="U37" s="18"/>
      <c r="V37" s="18"/>
      <c r="W37" s="18"/>
      <c r="X37" s="18"/>
      <c r="Y37" s="18"/>
      <c r="Z37" s="18"/>
      <c r="AA37" s="18"/>
      <c r="AB37" s="18"/>
      <c r="AC37" s="18"/>
      <c r="AD37" s="18"/>
      <c r="AE37" s="18"/>
      <c r="AF37" s="18"/>
      <c r="AG37" s="18"/>
      <c r="AH37" s="18"/>
      <c r="AI37" s="18"/>
      <c r="AJ37" s="18"/>
    </row>
    <row r="38" spans="1:36" ht="14.45" x14ac:dyDescent="0.35">
      <c r="A38" s="60" t="s">
        <v>646</v>
      </c>
      <c r="D38">
        <f>'META analysis'!C31/1000</f>
        <v>0.42059526253968249</v>
      </c>
      <c r="E38">
        <f>'META analysis'!D31/1000</f>
        <v>0.54024915658643202</v>
      </c>
      <c r="F38">
        <f>'META analysis'!E31/1000</f>
        <v>0.66604049371704299</v>
      </c>
      <c r="G38">
        <f>'META analysis'!F31/1000</f>
        <v>0.80447502210584687</v>
      </c>
      <c r="H38">
        <f>'META analysis'!G31/1000</f>
        <v>0.95481858876185233</v>
      </c>
      <c r="I38">
        <f>'META analysis'!H31/1000</f>
        <v>1.1207978979948072</v>
      </c>
      <c r="J38">
        <f>'META analysis'!I31/1000</f>
        <v>1.3051340564669747</v>
      </c>
      <c r="K38">
        <f>'META analysis'!J31/1000</f>
        <v>1.514799833244576</v>
      </c>
      <c r="L38">
        <f>'META analysis'!K31/1000</f>
        <v>1.6770141041753193</v>
      </c>
      <c r="M38">
        <f>'META analysis'!L31/1000</f>
        <v>1.8957395855744905</v>
      </c>
      <c r="N38">
        <f>'META analysis'!M31/1000</f>
        <v>2.149829482206977</v>
      </c>
      <c r="O38">
        <f>'META analysis'!N31/1000</f>
        <v>2.4339096611055875</v>
      </c>
      <c r="P38" s="305">
        <f>'META analysis'!$O$31/1000</f>
        <v>2.7554719555590568</v>
      </c>
    </row>
    <row r="39" spans="1:36" ht="14.45" x14ac:dyDescent="0.35">
      <c r="A39" s="17" t="s">
        <v>647</v>
      </c>
      <c r="B39" s="17"/>
      <c r="C39" s="306">
        <f>$A$34/1000000</f>
        <v>0.33960000000000001</v>
      </c>
      <c r="D39" s="64">
        <f>C39*1000000+D41</f>
        <v>420595.26253968244</v>
      </c>
      <c r="E39" s="64">
        <f t="shared" ref="E39:P39" si="7">D39+E41</f>
        <v>540249.15658643201</v>
      </c>
      <c r="F39" s="64">
        <f t="shared" si="7"/>
        <v>666040.49371704296</v>
      </c>
      <c r="G39" s="64">
        <f t="shared" si="7"/>
        <v>804475.02210584679</v>
      </c>
      <c r="H39" s="64">
        <f t="shared" si="7"/>
        <v>954818.58876185224</v>
      </c>
      <c r="I39" s="64">
        <f t="shared" si="7"/>
        <v>1120797.8979948072</v>
      </c>
      <c r="J39" s="64">
        <f t="shared" si="7"/>
        <v>1305134.0564669748</v>
      </c>
      <c r="K39" s="64">
        <f t="shared" si="7"/>
        <v>1514799.8332445761</v>
      </c>
      <c r="L39" s="64">
        <f t="shared" si="7"/>
        <v>1677014.1041753194</v>
      </c>
      <c r="M39" s="64">
        <f t="shared" si="7"/>
        <v>1895739.5855744907</v>
      </c>
      <c r="N39" s="64">
        <f t="shared" si="7"/>
        <v>2149829.482206977</v>
      </c>
      <c r="O39" s="64">
        <f t="shared" si="7"/>
        <v>2433909.6611055876</v>
      </c>
      <c r="P39" s="64">
        <f t="shared" si="7"/>
        <v>2755471.9555590567</v>
      </c>
    </row>
    <row r="40" spans="1:36" ht="14.45" x14ac:dyDescent="0.35">
      <c r="A40" t="s">
        <v>626</v>
      </c>
      <c r="D40" s="304">
        <f>D38-C39</f>
        <v>8.0995262539682478E-2</v>
      </c>
      <c r="E40">
        <f>E38-D38</f>
        <v>0.11965389404674953</v>
      </c>
      <c r="F40">
        <f t="shared" ref="F40:P40" si="8">F38-E38</f>
        <v>0.12579133713061097</v>
      </c>
      <c r="G40">
        <f t="shared" si="8"/>
        <v>0.13843452838880388</v>
      </c>
      <c r="H40">
        <f t="shared" si="8"/>
        <v>0.15034356665600546</v>
      </c>
      <c r="I40">
        <f t="shared" si="8"/>
        <v>0.1659793092329549</v>
      </c>
      <c r="J40">
        <f t="shared" si="8"/>
        <v>0.18433615847216744</v>
      </c>
      <c r="K40">
        <f t="shared" si="8"/>
        <v>0.20966577677760134</v>
      </c>
      <c r="L40">
        <f t="shared" si="8"/>
        <v>0.16221427093074325</v>
      </c>
      <c r="M40">
        <f t="shared" si="8"/>
        <v>0.21872548139917125</v>
      </c>
      <c r="N40">
        <f t="shared" si="8"/>
        <v>0.25408989663248649</v>
      </c>
      <c r="O40">
        <f t="shared" si="8"/>
        <v>0.28408017889861048</v>
      </c>
      <c r="P40">
        <f t="shared" si="8"/>
        <v>0.32156229445346929</v>
      </c>
    </row>
    <row r="41" spans="1:36" ht="14.45" x14ac:dyDescent="0.35">
      <c r="A41" t="s">
        <v>625</v>
      </c>
      <c r="D41" s="64">
        <f t="shared" ref="D41:P41" si="9">D40*1000000</f>
        <v>80995.262539682473</v>
      </c>
      <c r="E41" s="64">
        <f t="shared" si="9"/>
        <v>119653.89404674953</v>
      </c>
      <c r="F41" s="64">
        <f t="shared" si="9"/>
        <v>125791.33713061098</v>
      </c>
      <c r="G41" s="64">
        <f t="shared" si="9"/>
        <v>138434.52838880388</v>
      </c>
      <c r="H41" s="64">
        <f t="shared" si="9"/>
        <v>150343.56665600545</v>
      </c>
      <c r="I41" s="64">
        <f t="shared" si="9"/>
        <v>165979.3092329549</v>
      </c>
      <c r="J41" s="64">
        <f t="shared" si="9"/>
        <v>184336.15847216744</v>
      </c>
      <c r="K41" s="64">
        <f t="shared" si="9"/>
        <v>209665.77677760134</v>
      </c>
      <c r="L41" s="64">
        <f t="shared" si="9"/>
        <v>162214.27093074325</v>
      </c>
      <c r="M41" s="64">
        <f t="shared" si="9"/>
        <v>218725.48139917126</v>
      </c>
      <c r="N41" s="64">
        <f t="shared" si="9"/>
        <v>254089.89663248649</v>
      </c>
      <c r="O41" s="64">
        <f t="shared" si="9"/>
        <v>284080.17889861047</v>
      </c>
      <c r="P41" s="64">
        <f t="shared" si="9"/>
        <v>321562.29445346928</v>
      </c>
    </row>
    <row r="42" spans="1:36" ht="14.45" x14ac:dyDescent="0.35">
      <c r="A42" t="s">
        <v>636</v>
      </c>
      <c r="K42" s="51">
        <v>200000</v>
      </c>
      <c r="L42" s="51">
        <v>205000</v>
      </c>
      <c r="M42" s="51">
        <f t="shared" ref="M42" si="10">M41</f>
        <v>218725.48139917126</v>
      </c>
    </row>
    <row r="43" spans="1:36" ht="14.45" x14ac:dyDescent="0.35">
      <c r="A43" t="s">
        <v>648</v>
      </c>
    </row>
    <row r="45" spans="1:36" ht="14.45" x14ac:dyDescent="0.35">
      <c r="A45" t="s">
        <v>649</v>
      </c>
    </row>
    <row r="48" spans="1:36" x14ac:dyDescent="0.25">
      <c r="B48">
        <f>B22</f>
        <v>2016</v>
      </c>
      <c r="C48">
        <f>C22</f>
        <v>2017</v>
      </c>
      <c r="D48">
        <f>D22</f>
        <v>2018</v>
      </c>
      <c r="E48">
        <f>D48+1</f>
        <v>2019</v>
      </c>
      <c r="F48">
        <f t="shared" ref="F48:P48" si="11">E48+1</f>
        <v>2020</v>
      </c>
      <c r="G48">
        <f t="shared" si="11"/>
        <v>2021</v>
      </c>
      <c r="H48">
        <f t="shared" si="11"/>
        <v>2022</v>
      </c>
      <c r="I48">
        <f t="shared" si="11"/>
        <v>2023</v>
      </c>
      <c r="J48">
        <f t="shared" si="11"/>
        <v>2024</v>
      </c>
      <c r="K48">
        <f t="shared" si="11"/>
        <v>2025</v>
      </c>
      <c r="L48">
        <f t="shared" si="11"/>
        <v>2026</v>
      </c>
      <c r="M48">
        <f t="shared" si="11"/>
        <v>2027</v>
      </c>
      <c r="N48">
        <f t="shared" si="11"/>
        <v>2028</v>
      </c>
      <c r="O48">
        <f t="shared" si="11"/>
        <v>2029</v>
      </c>
      <c r="P48">
        <f t="shared" si="11"/>
        <v>2030</v>
      </c>
      <c r="Q48">
        <f>P48+1</f>
        <v>2031</v>
      </c>
      <c r="R48">
        <f t="shared" ref="R48:AE48" si="12">Q48+1</f>
        <v>2032</v>
      </c>
      <c r="S48">
        <f t="shared" si="12"/>
        <v>2033</v>
      </c>
      <c r="T48">
        <f t="shared" si="12"/>
        <v>2034</v>
      </c>
      <c r="U48">
        <f t="shared" si="12"/>
        <v>2035</v>
      </c>
      <c r="V48">
        <f t="shared" si="12"/>
        <v>2036</v>
      </c>
      <c r="W48">
        <f t="shared" si="12"/>
        <v>2037</v>
      </c>
      <c r="X48">
        <f t="shared" si="12"/>
        <v>2038</v>
      </c>
      <c r="Y48">
        <f t="shared" si="12"/>
        <v>2039</v>
      </c>
      <c r="Z48">
        <f t="shared" si="12"/>
        <v>2040</v>
      </c>
      <c r="AA48">
        <f t="shared" si="12"/>
        <v>2041</v>
      </c>
      <c r="AB48">
        <f t="shared" si="12"/>
        <v>2042</v>
      </c>
      <c r="AC48">
        <f t="shared" si="12"/>
        <v>2043</v>
      </c>
      <c r="AD48">
        <f t="shared" si="12"/>
        <v>2044</v>
      </c>
      <c r="AE48">
        <f t="shared" si="12"/>
        <v>2045</v>
      </c>
    </row>
    <row r="49" spans="1:36" x14ac:dyDescent="0.25">
      <c r="A49" t="s">
        <v>210</v>
      </c>
      <c r="D49">
        <f>D41*(1-'AEO 2019 Table 39.9 - Pacific'!D107)</f>
        <v>32722.281864165459</v>
      </c>
      <c r="E49">
        <f>E41*(1-'AEO 2019 Table 39.9 - Pacific'!E107)</f>
        <v>31471.789986131742</v>
      </c>
      <c r="F49">
        <f>F41*(1-'AEO 2019 Table 39.9 - Pacific'!F107)</f>
        <v>29923.422000623937</v>
      </c>
      <c r="G49">
        <f>G41*(1-'AEO 2019 Table 39.9 - Pacific'!G107)</f>
        <v>31529.286472393884</v>
      </c>
      <c r="H49">
        <f>H41*(1-'AEO 2019 Table 39.9 - Pacific'!H107)</f>
        <v>32583.10317129067</v>
      </c>
      <c r="I49">
        <f>I41*(1-'AEO 2019 Table 39.9 - Pacific'!I107)</f>
        <v>34276.146964680222</v>
      </c>
      <c r="J49">
        <f>J41*(1-'AEO 2019 Table 39.9 - Pacific'!J107)</f>
        <v>36065.110204952027</v>
      </c>
      <c r="K49">
        <f>K41*(1-'AEO 2019 Table 39.9 - Pacific'!K107)</f>
        <v>39084.807928891918</v>
      </c>
      <c r="L49">
        <f>L41*(1-'AEO 2019 Table 39.9 - Pacific'!L107)</f>
        <v>30567.010248281262</v>
      </c>
      <c r="M49">
        <f>M41*(1-'AEO 2019 Table 39.9 - Pacific'!M107)</f>
        <v>41448.559287086042</v>
      </c>
      <c r="N49">
        <f>N41*(1-'AEO 2019 Table 39.9 - Pacific'!N107)</f>
        <v>48331.70347823578</v>
      </c>
      <c r="O49">
        <f>O41*(1-'AEO 2019 Table 39.9 - Pacific'!O107)</f>
        <v>54599.084343069902</v>
      </c>
      <c r="P49">
        <f>P41*(1-'AEO 2019 Table 39.9 - Pacific'!P107)</f>
        <v>60728.701162323094</v>
      </c>
    </row>
    <row r="50" spans="1:36" x14ac:dyDescent="0.25">
      <c r="A50" t="s">
        <v>211</v>
      </c>
      <c r="D50">
        <f t="shared" ref="D50:P50" si="13">D41-D49</f>
        <v>48272.980675517014</v>
      </c>
      <c r="E50">
        <f t="shared" si="13"/>
        <v>88182.104060617785</v>
      </c>
      <c r="F50">
        <f t="shared" si="13"/>
        <v>95867.915129987043</v>
      </c>
      <c r="G50">
        <f t="shared" si="13"/>
        <v>106905.24191641</v>
      </c>
      <c r="H50">
        <f t="shared" si="13"/>
        <v>117760.46348471478</v>
      </c>
      <c r="I50">
        <f t="shared" si="13"/>
        <v>131703.16226827467</v>
      </c>
      <c r="J50">
        <f t="shared" si="13"/>
        <v>148271.04826721543</v>
      </c>
      <c r="K50">
        <f t="shared" si="13"/>
        <v>170580.96884870942</v>
      </c>
      <c r="L50">
        <f t="shared" si="13"/>
        <v>131647.26068246199</v>
      </c>
      <c r="M50">
        <f t="shared" si="13"/>
        <v>177276.92211208522</v>
      </c>
      <c r="N50">
        <f t="shared" si="13"/>
        <v>205758.19315425071</v>
      </c>
      <c r="O50">
        <f t="shared" si="13"/>
        <v>229481.09455554056</v>
      </c>
      <c r="P50">
        <f t="shared" si="13"/>
        <v>260833.59329114619</v>
      </c>
    </row>
    <row r="51" spans="1:36" x14ac:dyDescent="0.25">
      <c r="A51" t="s">
        <v>627</v>
      </c>
      <c r="D51">
        <f>D49+D50</f>
        <v>80995.262539682473</v>
      </c>
      <c r="E51">
        <f t="shared" ref="E51:P51" si="14">E49+E50</f>
        <v>119653.89404674953</v>
      </c>
      <c r="F51">
        <f t="shared" si="14"/>
        <v>125791.33713061098</v>
      </c>
      <c r="G51">
        <f t="shared" si="14"/>
        <v>138434.52838880388</v>
      </c>
      <c r="H51">
        <f t="shared" si="14"/>
        <v>150343.56665600545</v>
      </c>
      <c r="I51">
        <f t="shared" si="14"/>
        <v>165979.3092329549</v>
      </c>
      <c r="J51">
        <f t="shared" si="14"/>
        <v>184336.15847216744</v>
      </c>
      <c r="K51">
        <f t="shared" si="14"/>
        <v>209665.77677760134</v>
      </c>
      <c r="L51">
        <f t="shared" si="14"/>
        <v>162214.27093074325</v>
      </c>
      <c r="M51">
        <f t="shared" si="14"/>
        <v>218725.48139917126</v>
      </c>
      <c r="N51">
        <f t="shared" si="14"/>
        <v>254089.89663248649</v>
      </c>
      <c r="O51">
        <f t="shared" si="14"/>
        <v>284080.17889861047</v>
      </c>
      <c r="P51">
        <f t="shared" si="14"/>
        <v>321562.29445346928</v>
      </c>
    </row>
    <row r="54" spans="1:36" x14ac:dyDescent="0.25">
      <c r="A54" t="s">
        <v>212</v>
      </c>
      <c r="D54" t="e">
        <f>#REF!</f>
        <v>#REF!</v>
      </c>
      <c r="E54" t="e">
        <f>#REF!</f>
        <v>#REF!</v>
      </c>
      <c r="F54" t="e">
        <f>#REF!</f>
        <v>#REF!</v>
      </c>
      <c r="G54" t="e">
        <f>#REF!</f>
        <v>#REF!</v>
      </c>
      <c r="H54" t="e">
        <f>#REF!</f>
        <v>#REF!</v>
      </c>
      <c r="I54" t="e">
        <f>#REF!</f>
        <v>#REF!</v>
      </c>
      <c r="J54" t="e">
        <f>#REF!</f>
        <v>#REF!</v>
      </c>
      <c r="K54" t="e">
        <f>#REF!</f>
        <v>#REF!</v>
      </c>
      <c r="L54" t="e">
        <f>#REF!</f>
        <v>#REF!</v>
      </c>
      <c r="M54" t="e">
        <f>#REF!</f>
        <v>#REF!</v>
      </c>
      <c r="N54" t="e">
        <f>#REF!</f>
        <v>#REF!</v>
      </c>
      <c r="O54" t="e">
        <f>#REF!</f>
        <v>#REF!</v>
      </c>
      <c r="P54" t="e">
        <f>#REF!</f>
        <v>#REF!</v>
      </c>
      <c r="Q54" t="e">
        <f>#REF!</f>
        <v>#REF!</v>
      </c>
      <c r="R54" t="e">
        <f>#REF!</f>
        <v>#REF!</v>
      </c>
      <c r="S54" t="e">
        <f>#REF!</f>
        <v>#REF!</v>
      </c>
      <c r="T54" t="e">
        <f>#REF!</f>
        <v>#REF!</v>
      </c>
      <c r="U54" t="e">
        <f>#REF!</f>
        <v>#REF!</v>
      </c>
      <c r="V54" t="e">
        <f>#REF!</f>
        <v>#REF!</v>
      </c>
      <c r="W54" t="e">
        <f>#REF!</f>
        <v>#REF!</v>
      </c>
      <c r="X54" t="e">
        <f>#REF!</f>
        <v>#REF!</v>
      </c>
      <c r="Y54" t="e">
        <f>#REF!</f>
        <v>#REF!</v>
      </c>
      <c r="Z54" t="e">
        <f>#REF!</f>
        <v>#REF!</v>
      </c>
      <c r="AA54" t="e">
        <f>#REF!</f>
        <v>#REF!</v>
      </c>
      <c r="AB54" t="e">
        <f>#REF!</f>
        <v>#REF!</v>
      </c>
      <c r="AC54" t="e">
        <f>#REF!</f>
        <v>#REF!</v>
      </c>
      <c r="AD54" t="e">
        <f>#REF!</f>
        <v>#REF!</v>
      </c>
      <c r="AE54" t="e">
        <f>#REF!</f>
        <v>#REF!</v>
      </c>
      <c r="AF54" t="e">
        <f>#REF!</f>
        <v>#REF!</v>
      </c>
      <c r="AG54" t="e">
        <f>#REF!</f>
        <v>#REF!</v>
      </c>
      <c r="AH54" t="e">
        <f>#REF!</f>
        <v>#REF!</v>
      </c>
      <c r="AI54" t="e">
        <f>#REF!</f>
        <v>#REF!</v>
      </c>
      <c r="AJ54" t="e">
        <f>#REF!</f>
        <v>#REF!</v>
      </c>
    </row>
    <row r="56" spans="1:36" x14ac:dyDescent="0.25">
      <c r="A56" t="s">
        <v>213</v>
      </c>
    </row>
    <row r="57" spans="1:36" x14ac:dyDescent="0.25">
      <c r="A57" t="s">
        <v>210</v>
      </c>
      <c r="B57">
        <f>I11</f>
        <v>1.7000000000000001E-2</v>
      </c>
      <c r="C57">
        <f>J11</f>
        <v>2.1999999999999999E-2</v>
      </c>
      <c r="D57" t="e">
        <f>D49/D54</f>
        <v>#REF!</v>
      </c>
      <c r="E57" t="e">
        <f t="shared" ref="E57:P57" si="15">E49/E54</f>
        <v>#REF!</v>
      </c>
      <c r="F57" t="e">
        <f t="shared" si="15"/>
        <v>#REF!</v>
      </c>
      <c r="G57" t="e">
        <f t="shared" si="15"/>
        <v>#REF!</v>
      </c>
      <c r="H57" t="e">
        <f t="shared" si="15"/>
        <v>#REF!</v>
      </c>
      <c r="I57" t="e">
        <f t="shared" si="15"/>
        <v>#REF!</v>
      </c>
      <c r="J57" t="e">
        <f t="shared" si="15"/>
        <v>#REF!</v>
      </c>
      <c r="K57" t="e">
        <f t="shared" si="15"/>
        <v>#REF!</v>
      </c>
      <c r="L57" t="e">
        <f t="shared" si="15"/>
        <v>#REF!</v>
      </c>
      <c r="M57" t="e">
        <f t="shared" si="15"/>
        <v>#REF!</v>
      </c>
      <c r="N57" t="e">
        <f t="shared" si="15"/>
        <v>#REF!</v>
      </c>
      <c r="O57" t="e">
        <f t="shared" si="15"/>
        <v>#REF!</v>
      </c>
      <c r="P57" t="e">
        <f t="shared" si="15"/>
        <v>#REF!</v>
      </c>
    </row>
    <row r="58" spans="1:36" x14ac:dyDescent="0.25">
      <c r="A58" t="s">
        <v>211</v>
      </c>
      <c r="B58">
        <f>I12</f>
        <v>1.9E-2</v>
      </c>
      <c r="C58">
        <f>J12</f>
        <v>2.5999999999999999E-2</v>
      </c>
      <c r="D58" t="e">
        <f>D50/D54</f>
        <v>#REF!</v>
      </c>
      <c r="E58" t="e">
        <f t="shared" ref="E58:P58" si="16">E50/E54</f>
        <v>#REF!</v>
      </c>
      <c r="F58" t="e">
        <f t="shared" si="16"/>
        <v>#REF!</v>
      </c>
      <c r="G58" t="e">
        <f t="shared" si="16"/>
        <v>#REF!</v>
      </c>
      <c r="H58" t="e">
        <f t="shared" si="16"/>
        <v>#REF!</v>
      </c>
      <c r="I58" t="e">
        <f t="shared" si="16"/>
        <v>#REF!</v>
      </c>
      <c r="J58" t="e">
        <f t="shared" si="16"/>
        <v>#REF!</v>
      </c>
      <c r="K58" t="e">
        <f t="shared" si="16"/>
        <v>#REF!</v>
      </c>
      <c r="L58" t="e">
        <f t="shared" si="16"/>
        <v>#REF!</v>
      </c>
      <c r="M58" t="e">
        <f t="shared" si="16"/>
        <v>#REF!</v>
      </c>
      <c r="N58" t="e">
        <f t="shared" si="16"/>
        <v>#REF!</v>
      </c>
      <c r="O58" t="e">
        <f t="shared" si="16"/>
        <v>#REF!</v>
      </c>
      <c r="P58" t="e">
        <f t="shared" si="16"/>
        <v>#REF!</v>
      </c>
      <c r="Q58" t="e">
        <f>P58*(1+Q59)</f>
        <v>#REF!</v>
      </c>
      <c r="R58" t="e">
        <f t="shared" ref="R58:Z58" si="17">Q58*(1+R59)</f>
        <v>#REF!</v>
      </c>
      <c r="S58" t="e">
        <f t="shared" si="17"/>
        <v>#REF!</v>
      </c>
      <c r="T58" t="e">
        <f t="shared" si="17"/>
        <v>#REF!</v>
      </c>
      <c r="U58" t="e">
        <f t="shared" si="17"/>
        <v>#REF!</v>
      </c>
      <c r="V58" t="e">
        <f t="shared" si="17"/>
        <v>#REF!</v>
      </c>
      <c r="W58" t="e">
        <f t="shared" si="17"/>
        <v>#REF!</v>
      </c>
      <c r="X58" t="e">
        <f t="shared" si="17"/>
        <v>#REF!</v>
      </c>
      <c r="Y58" t="e">
        <f t="shared" si="17"/>
        <v>#REF!</v>
      </c>
      <c r="Z58" t="e">
        <f t="shared" si="17"/>
        <v>#REF!</v>
      </c>
      <c r="AA58" t="e">
        <f t="shared" ref="AA58" si="18">Z58*(1+AA59)</f>
        <v>#REF!</v>
      </c>
      <c r="AB58" t="e">
        <f t="shared" ref="AB58" si="19">AA58*(1+AB59)</f>
        <v>#REF!</v>
      </c>
      <c r="AC58" t="e">
        <f t="shared" ref="AC58" si="20">AB58*(1+AC59)</f>
        <v>#REF!</v>
      </c>
      <c r="AD58" t="e">
        <f t="shared" ref="AD58" si="21">AC58*(1+AD59)</f>
        <v>#REF!</v>
      </c>
      <c r="AE58" t="e">
        <f t="shared" ref="AE58" si="22">AD58*(1+AE59)</f>
        <v>#REF!</v>
      </c>
    </row>
    <row r="59" spans="1:36" x14ac:dyDescent="0.25">
      <c r="Q59">
        <v>0.25</v>
      </c>
      <c r="R59">
        <f>Q59-0.1*Q59</f>
        <v>0.22500000000000001</v>
      </c>
      <c r="S59">
        <f t="shared" ref="S59:AE59" si="23">R59-0.1*R59</f>
        <v>0.20250000000000001</v>
      </c>
      <c r="T59">
        <f t="shared" si="23"/>
        <v>0.18225000000000002</v>
      </c>
      <c r="U59">
        <f t="shared" si="23"/>
        <v>0.16402500000000003</v>
      </c>
      <c r="V59">
        <f t="shared" si="23"/>
        <v>0.14762250000000002</v>
      </c>
      <c r="W59">
        <f t="shared" si="23"/>
        <v>0.13286025000000001</v>
      </c>
      <c r="X59">
        <f t="shared" si="23"/>
        <v>0.11957422500000001</v>
      </c>
      <c r="Y59">
        <f t="shared" si="23"/>
        <v>0.1076168025</v>
      </c>
      <c r="Z59">
        <f t="shared" si="23"/>
        <v>9.6855122249999995E-2</v>
      </c>
      <c r="AA59">
        <f t="shared" si="23"/>
        <v>8.7169610024999997E-2</v>
      </c>
      <c r="AB59">
        <f t="shared" si="23"/>
        <v>7.8452649022500001E-2</v>
      </c>
      <c r="AC59">
        <f t="shared" si="23"/>
        <v>7.060738412025E-2</v>
      </c>
      <c r="AD59">
        <f t="shared" si="23"/>
        <v>6.3546645708225005E-2</v>
      </c>
      <c r="AE59">
        <f t="shared" si="23"/>
        <v>5.7191981137402502E-2</v>
      </c>
    </row>
    <row r="60" spans="1:36" x14ac:dyDescent="0.25">
      <c r="A60" t="s">
        <v>637</v>
      </c>
    </row>
    <row r="61" spans="1:36" x14ac:dyDescent="0.25">
      <c r="A61" t="str">
        <f t="shared" ref="A61" si="24">A56</f>
        <v>% implied</v>
      </c>
    </row>
    <row r="62" spans="1:36" x14ac:dyDescent="0.25">
      <c r="A62" t="str">
        <f t="shared" ref="A62:P62" si="25">A57</f>
        <v>PHEV vehicles</v>
      </c>
      <c r="B62">
        <f t="shared" si="25"/>
        <v>1.7000000000000001E-2</v>
      </c>
      <c r="C62">
        <f t="shared" si="25"/>
        <v>2.1999999999999999E-2</v>
      </c>
      <c r="D62" t="e">
        <f t="shared" si="25"/>
        <v>#REF!</v>
      </c>
      <c r="E62" t="e">
        <f t="shared" si="25"/>
        <v>#REF!</v>
      </c>
      <c r="F62" t="e">
        <f t="shared" si="25"/>
        <v>#REF!</v>
      </c>
      <c r="G62" t="e">
        <f t="shared" si="25"/>
        <v>#REF!</v>
      </c>
      <c r="H62" t="e">
        <f t="shared" si="25"/>
        <v>#REF!</v>
      </c>
      <c r="I62" t="e">
        <f t="shared" si="25"/>
        <v>#REF!</v>
      </c>
      <c r="J62" t="e">
        <f t="shared" si="25"/>
        <v>#REF!</v>
      </c>
      <c r="K62" t="e">
        <f t="shared" si="25"/>
        <v>#REF!</v>
      </c>
      <c r="L62" t="e">
        <f t="shared" si="25"/>
        <v>#REF!</v>
      </c>
      <c r="M62" t="e">
        <f t="shared" si="25"/>
        <v>#REF!</v>
      </c>
      <c r="N62" t="e">
        <f t="shared" si="25"/>
        <v>#REF!</v>
      </c>
      <c r="O62" t="e">
        <f t="shared" si="25"/>
        <v>#REF!</v>
      </c>
      <c r="P62" t="e">
        <f t="shared" si="25"/>
        <v>#REF!</v>
      </c>
    </row>
    <row r="63" spans="1:36" x14ac:dyDescent="0.25">
      <c r="A63" t="str">
        <f t="shared" ref="A63:AE63" si="26">A58</f>
        <v xml:space="preserve">BEV vehicles </v>
      </c>
      <c r="B63">
        <f t="shared" si="26"/>
        <v>1.9E-2</v>
      </c>
      <c r="C63">
        <f t="shared" si="26"/>
        <v>2.5999999999999999E-2</v>
      </c>
      <c r="D63" t="e">
        <f t="shared" si="26"/>
        <v>#REF!</v>
      </c>
      <c r="E63" t="e">
        <f t="shared" si="26"/>
        <v>#REF!</v>
      </c>
      <c r="F63" t="e">
        <f t="shared" si="26"/>
        <v>#REF!</v>
      </c>
      <c r="G63" t="e">
        <f t="shared" si="26"/>
        <v>#REF!</v>
      </c>
      <c r="H63" t="e">
        <f t="shared" si="26"/>
        <v>#REF!</v>
      </c>
      <c r="I63" t="e">
        <f t="shared" si="26"/>
        <v>#REF!</v>
      </c>
      <c r="J63" t="e">
        <f t="shared" si="26"/>
        <v>#REF!</v>
      </c>
      <c r="K63" t="e">
        <f>(K42-K49)/K54</f>
        <v>#REF!</v>
      </c>
      <c r="L63" t="e">
        <f>(L42-L49)/L54</f>
        <v>#REF!</v>
      </c>
      <c r="M63" t="e">
        <f>(M42-M49)/M54</f>
        <v>#REF!</v>
      </c>
      <c r="N63" t="e">
        <f t="shared" si="26"/>
        <v>#REF!</v>
      </c>
      <c r="O63" t="e">
        <f t="shared" si="26"/>
        <v>#REF!</v>
      </c>
      <c r="P63" t="e">
        <f t="shared" si="26"/>
        <v>#REF!</v>
      </c>
      <c r="Q63" t="e">
        <f t="shared" si="26"/>
        <v>#REF!</v>
      </c>
      <c r="R63" t="e">
        <f t="shared" si="26"/>
        <v>#REF!</v>
      </c>
      <c r="S63" t="e">
        <f t="shared" si="26"/>
        <v>#REF!</v>
      </c>
      <c r="T63" t="e">
        <f t="shared" si="26"/>
        <v>#REF!</v>
      </c>
      <c r="U63" t="e">
        <f t="shared" si="26"/>
        <v>#REF!</v>
      </c>
      <c r="V63" t="e">
        <f t="shared" si="26"/>
        <v>#REF!</v>
      </c>
      <c r="W63" t="e">
        <f t="shared" si="26"/>
        <v>#REF!</v>
      </c>
      <c r="X63" t="e">
        <f t="shared" si="26"/>
        <v>#REF!</v>
      </c>
      <c r="Y63" t="e">
        <f t="shared" si="26"/>
        <v>#REF!</v>
      </c>
      <c r="Z63" t="e">
        <f t="shared" si="26"/>
        <v>#REF!</v>
      </c>
      <c r="AA63" t="e">
        <f t="shared" si="26"/>
        <v>#REF!</v>
      </c>
      <c r="AB63" t="e">
        <f t="shared" si="26"/>
        <v>#REF!</v>
      </c>
      <c r="AC63" t="e">
        <f t="shared" si="26"/>
        <v>#REF!</v>
      </c>
      <c r="AD63" t="e">
        <f t="shared" si="26"/>
        <v>#REF!</v>
      </c>
      <c r="AE63" t="e">
        <f t="shared" si="26"/>
        <v>#REF!</v>
      </c>
    </row>
    <row r="65" spans="1:17" x14ac:dyDescent="0.25">
      <c r="A65" t="s">
        <v>631</v>
      </c>
    </row>
    <row r="66" spans="1:17" x14ac:dyDescent="0.25">
      <c r="Q66" t="s">
        <v>630</v>
      </c>
    </row>
    <row r="67" spans="1:17" x14ac:dyDescent="0.25">
      <c r="A67" t="s">
        <v>632</v>
      </c>
      <c r="Q67" t="s">
        <v>629</v>
      </c>
    </row>
    <row r="69" spans="1:17" x14ac:dyDescent="0.25">
      <c r="A69" t="s">
        <v>675</v>
      </c>
    </row>
    <row r="70" spans="1:17" x14ac:dyDescent="0.25">
      <c r="A70" t="s">
        <v>633</v>
      </c>
    </row>
    <row r="72" spans="1:17" x14ac:dyDescent="0.25">
      <c r="B72" s="307">
        <v>0.15</v>
      </c>
      <c r="C72" t="s">
        <v>634</v>
      </c>
      <c r="D72" t="s">
        <v>635</v>
      </c>
    </row>
    <row r="73" spans="1:17" x14ac:dyDescent="0.25">
      <c r="B73" t="s">
        <v>638</v>
      </c>
    </row>
    <row r="74" spans="1:17" x14ac:dyDescent="0.25">
      <c r="B74" s="54" t="s">
        <v>639</v>
      </c>
    </row>
    <row r="75" spans="1:17" x14ac:dyDescent="0.25">
      <c r="D75" t="e">
        <f>D63+D63*$B$72</f>
        <v>#REF!</v>
      </c>
      <c r="E75" t="e">
        <f t="shared" ref="E75:K75" si="27">E58+E58*$B$72</f>
        <v>#REF!</v>
      </c>
      <c r="F75" t="e">
        <f t="shared" si="27"/>
        <v>#REF!</v>
      </c>
      <c r="G75" t="e">
        <f t="shared" si="27"/>
        <v>#REF!</v>
      </c>
      <c r="H75" t="e">
        <f t="shared" si="27"/>
        <v>#REF!</v>
      </c>
      <c r="I75" t="e">
        <f t="shared" si="27"/>
        <v>#REF!</v>
      </c>
      <c r="J75" t="e">
        <f t="shared" si="27"/>
        <v>#REF!</v>
      </c>
      <c r="K75" t="e">
        <f t="shared" si="27"/>
        <v>#REF!</v>
      </c>
      <c r="L75" t="e">
        <f>K75</f>
        <v>#REF!</v>
      </c>
      <c r="M75" t="e">
        <f>L75</f>
        <v>#REF!</v>
      </c>
      <c r="N75" t="e">
        <f>N58</f>
        <v>#REF!</v>
      </c>
      <c r="O75" t="e">
        <f t="shared" ref="O75:P75" si="28">O58</f>
        <v>#REF!</v>
      </c>
      <c r="P75" t="e">
        <f t="shared" si="28"/>
        <v>#REF!</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activeCell="I44" sqref="I44"/>
    </sheetView>
  </sheetViews>
  <sheetFormatPr defaultRowHeight="15" x14ac:dyDescent="0.25"/>
  <cols>
    <col min="2" max="2" width="16.28515625" customWidth="1"/>
    <col min="3" max="3" width="27.42578125" customWidth="1"/>
    <col min="4" max="6" width="11.140625" bestFit="1" customWidth="1"/>
    <col min="7" max="15" width="12.5703125" bestFit="1" customWidth="1"/>
  </cols>
  <sheetData>
    <row r="1" spans="1:8" x14ac:dyDescent="0.35">
      <c r="A1" s="17" t="s">
        <v>434</v>
      </c>
      <c r="B1" s="17"/>
      <c r="C1" s="17"/>
      <c r="D1" s="17"/>
      <c r="E1" s="17"/>
      <c r="F1" s="17"/>
      <c r="G1" s="17"/>
      <c r="H1" s="17"/>
    </row>
    <row r="2" spans="1:8" x14ac:dyDescent="0.35">
      <c r="A2" s="17"/>
      <c r="B2" s="17"/>
      <c r="C2" s="17"/>
      <c r="D2" s="17"/>
      <c r="E2" s="17"/>
      <c r="F2" s="17"/>
    </row>
    <row r="3" spans="1:8" x14ac:dyDescent="0.35">
      <c r="A3" s="17"/>
      <c r="B3" s="17"/>
      <c r="C3" s="17">
        <v>2025</v>
      </c>
      <c r="D3" s="17">
        <v>2030</v>
      </c>
      <c r="E3" s="17"/>
      <c r="F3" s="17"/>
    </row>
    <row r="4" spans="1:8" x14ac:dyDescent="0.35">
      <c r="A4" s="17" t="s">
        <v>402</v>
      </c>
      <c r="B4" s="17"/>
      <c r="C4" s="17">
        <f>'Next 10'!$L$26/1000000</f>
        <v>2.2661304681060721</v>
      </c>
      <c r="D4" s="17"/>
      <c r="E4" s="17"/>
      <c r="F4" s="17"/>
    </row>
    <row r="5" spans="1:8" x14ac:dyDescent="0.35">
      <c r="A5" t="s">
        <v>468</v>
      </c>
      <c r="C5" s="66">
        <f>$J$23/1000</f>
        <v>1.9436117500000001</v>
      </c>
      <c r="D5" s="72">
        <f>O23/1000</f>
        <v>4.3262504000000011</v>
      </c>
    </row>
    <row r="6" spans="1:8" x14ac:dyDescent="0.35">
      <c r="A6" s="17" t="s">
        <v>403</v>
      </c>
      <c r="B6" s="17"/>
      <c r="C6" s="17">
        <f>'BNEF time series imputed'!J12</f>
        <v>1.7896925054788591</v>
      </c>
      <c r="D6" s="17">
        <f>'BNEF time series imputed'!O12</f>
        <v>4.0109581865072252</v>
      </c>
    </row>
    <row r="7" spans="1:8" x14ac:dyDescent="0.35">
      <c r="A7" s="17" t="s">
        <v>384</v>
      </c>
      <c r="B7" s="17"/>
      <c r="C7" s="17">
        <f>'EIA - Pacific region'!K6/1000</f>
        <v>1.4093461240364018</v>
      </c>
      <c r="D7" s="17">
        <f>'EIA - Pacific region'!P6/1000</f>
        <v>2.3665637300433149</v>
      </c>
      <c r="E7" s="17"/>
      <c r="F7" s="17"/>
    </row>
    <row r="8" spans="1:8" x14ac:dyDescent="0.35">
      <c r="A8" s="17" t="s">
        <v>445</v>
      </c>
      <c r="B8" s="17"/>
      <c r="C8" s="17">
        <f>'RBC Capital Markets'!B17</f>
        <v>1.3109132231859375</v>
      </c>
      <c r="D8" s="17">
        <f>'RBC Capital Markets'!C17</f>
        <v>2.1677674382704746</v>
      </c>
      <c r="E8" s="17"/>
      <c r="F8" s="17"/>
    </row>
    <row r="9" spans="1:8" x14ac:dyDescent="0.35">
      <c r="A9" s="17" t="s">
        <v>215</v>
      </c>
      <c r="B9" s="17"/>
      <c r="C9" s="17">
        <f>'JP Morgan'!$B$7/1000000</f>
        <v>0.94399999999999995</v>
      </c>
      <c r="D9" s="17"/>
      <c r="E9" s="17"/>
      <c r="F9" s="17"/>
    </row>
    <row r="10" spans="1:8" x14ac:dyDescent="0.35">
      <c r="A10" s="17" t="s">
        <v>469</v>
      </c>
      <c r="B10" s="17"/>
      <c r="C10" s="17">
        <f>'CARB minimum compliance'!$O$11/1000</f>
        <v>0.92833333333333334</v>
      </c>
      <c r="D10" s="17">
        <f>'CARB minimum compliance'!$O$11/1000</f>
        <v>0.92833333333333334</v>
      </c>
      <c r="E10" s="17"/>
      <c r="F10" s="17"/>
    </row>
    <row r="11" spans="1:8" x14ac:dyDescent="0.35">
      <c r="A11" s="17"/>
      <c r="B11" s="17"/>
      <c r="C11" s="17"/>
      <c r="D11" s="17"/>
      <c r="E11" s="17"/>
      <c r="F11" s="17"/>
    </row>
    <row r="12" spans="1:8" x14ac:dyDescent="0.35">
      <c r="A12" s="17"/>
      <c r="B12" s="17"/>
      <c r="C12" s="17"/>
      <c r="D12" s="17"/>
      <c r="E12" s="17"/>
      <c r="F12" s="17"/>
    </row>
    <row r="13" spans="1:8" x14ac:dyDescent="0.35">
      <c r="A13" s="67"/>
      <c r="B13" s="67" t="s">
        <v>446</v>
      </c>
      <c r="C13" s="68">
        <f>AVERAGE(C4:C10)</f>
        <v>1.5131467720200862</v>
      </c>
      <c r="D13" s="68">
        <f>AVERAGE(D4:D10)</f>
        <v>2.7599746176308697</v>
      </c>
      <c r="E13" s="17"/>
      <c r="F13" s="17"/>
    </row>
    <row r="14" spans="1:8" x14ac:dyDescent="0.35">
      <c r="A14" s="17"/>
      <c r="B14" s="17"/>
      <c r="C14" s="17"/>
      <c r="D14" s="17"/>
      <c r="E14" s="17"/>
      <c r="F14" s="17"/>
    </row>
    <row r="15" spans="1:8" x14ac:dyDescent="0.35">
      <c r="A15" s="17" t="s">
        <v>448</v>
      </c>
      <c r="B15" s="17"/>
      <c r="C15" s="17"/>
      <c r="D15" s="17"/>
      <c r="E15" s="17"/>
      <c r="F15" s="17"/>
    </row>
    <row r="16" spans="1:8" x14ac:dyDescent="0.35">
      <c r="A16" s="17"/>
      <c r="B16" s="17"/>
      <c r="C16" s="17"/>
      <c r="D16" s="17"/>
      <c r="E16" s="17"/>
      <c r="F16" s="17"/>
    </row>
    <row r="17" spans="1:15" x14ac:dyDescent="0.35">
      <c r="A17" s="17"/>
      <c r="B17" s="17" t="s">
        <v>432</v>
      </c>
      <c r="C17" s="17">
        <f>AVERAGE(C4:C9)</f>
        <v>1.6106156784678785</v>
      </c>
      <c r="D17" s="17">
        <f>AVERAGE(D4:D10)</f>
        <v>2.7599746176308697</v>
      </c>
      <c r="E17" s="17"/>
      <c r="F17" s="17"/>
    </row>
    <row r="20" spans="1:15" x14ac:dyDescent="0.35">
      <c r="B20">
        <v>2017</v>
      </c>
      <c r="C20">
        <v>2018</v>
      </c>
      <c r="D20">
        <f>C20+1</f>
        <v>2019</v>
      </c>
      <c r="E20">
        <f t="shared" ref="E20:O20" si="0">D20+1</f>
        <v>2020</v>
      </c>
      <c r="F20">
        <f t="shared" si="0"/>
        <v>2021</v>
      </c>
      <c r="G20">
        <f t="shared" si="0"/>
        <v>2022</v>
      </c>
      <c r="H20">
        <f t="shared" si="0"/>
        <v>2023</v>
      </c>
      <c r="I20">
        <f t="shared" si="0"/>
        <v>2024</v>
      </c>
      <c r="J20">
        <f t="shared" si="0"/>
        <v>2025</v>
      </c>
      <c r="K20">
        <f t="shared" si="0"/>
        <v>2026</v>
      </c>
      <c r="L20">
        <f t="shared" si="0"/>
        <v>2027</v>
      </c>
      <c r="M20">
        <f t="shared" si="0"/>
        <v>2028</v>
      </c>
      <c r="N20">
        <f t="shared" si="0"/>
        <v>2029</v>
      </c>
      <c r="O20">
        <f t="shared" si="0"/>
        <v>2030</v>
      </c>
    </row>
    <row r="21" spans="1:15" x14ac:dyDescent="0.35">
      <c r="A21" t="s">
        <v>472</v>
      </c>
      <c r="B21">
        <f>'Empirical trends'!R39/1000</f>
        <v>296</v>
      </c>
      <c r="C21">
        <f>'Empirical trends'!S39/1000</f>
        <v>454</v>
      </c>
    </row>
    <row r="22" spans="1:15" x14ac:dyDescent="0.25">
      <c r="A22" t="s">
        <v>653</v>
      </c>
      <c r="B22" s="17"/>
      <c r="C22" s="64">
        <f>'Next 10'!E27/1000</f>
        <v>423.71</v>
      </c>
      <c r="D22" s="64">
        <f>'Next 10'!F27/1000</f>
        <v>576.97487333333345</v>
      </c>
      <c r="E22" s="64">
        <f>'Next 10'!G27/1000</f>
        <v>759.23253914400004</v>
      </c>
      <c r="F22" s="64">
        <f>'Next 10'!H27/1000</f>
        <v>974.73321067447444</v>
      </c>
      <c r="G22" s="64">
        <f>'Next 10'!I27/1000</f>
        <v>1225.2180984631457</v>
      </c>
      <c r="H22" s="64">
        <f>'Next 10'!J27/1000</f>
        <v>1517.482190818371</v>
      </c>
      <c r="I22" s="64">
        <f>'Next 10'!K27/1000</f>
        <v>1860.4984331983601</v>
      </c>
      <c r="J22" s="64">
        <f>'Next 10'!L27/1000</f>
        <v>2266.1304681060719</v>
      </c>
    </row>
    <row r="23" spans="1:15" x14ac:dyDescent="0.25">
      <c r="A23" s="17" t="s">
        <v>468</v>
      </c>
      <c r="B23" s="17"/>
      <c r="C23" s="64">
        <f>Acceture!E17/1000</f>
        <v>502.24847999999997</v>
      </c>
      <c r="D23" s="64">
        <f>Acceture!F17/1000</f>
        <v>640.22055</v>
      </c>
      <c r="E23" s="64">
        <f>Acceture!G17/1000</f>
        <v>793.98505</v>
      </c>
      <c r="F23" s="64">
        <f>Acceture!H17/1000</f>
        <v>964.52223000000004</v>
      </c>
      <c r="G23" s="64">
        <f>Acceture!I17/1000</f>
        <v>1151.73171</v>
      </c>
      <c r="H23" s="64">
        <f>Acceture!J17/1000</f>
        <v>1371.74227</v>
      </c>
      <c r="I23" s="64">
        <f>Acceture!K17/1000</f>
        <v>1624.94435</v>
      </c>
      <c r="J23" s="64">
        <f>Acceture!L17/1000</f>
        <v>1943.61175</v>
      </c>
      <c r="K23" s="64">
        <f>Acceture!M17/1000</f>
        <v>2295.5987700000001</v>
      </c>
      <c r="L23" s="64">
        <f>Acceture!N17/1000</f>
        <v>2681.90589</v>
      </c>
      <c r="M23" s="64">
        <f>Acceture!O17/1000</f>
        <v>3167.53899</v>
      </c>
      <c r="N23" s="64">
        <f>Acceture!P17/1000</f>
        <v>3704.6308200000003</v>
      </c>
      <c r="O23" s="64">
        <f>Acceture!Q17/1000</f>
        <v>4326.2504000000008</v>
      </c>
    </row>
    <row r="24" spans="1:15" x14ac:dyDescent="0.25">
      <c r="A24" s="17" t="s">
        <v>49</v>
      </c>
      <c r="B24" s="17"/>
      <c r="C24">
        <f>'BNEF time series imputed'!C11</f>
        <v>454</v>
      </c>
      <c r="D24" s="16">
        <f>'BNEF time series imputed'!D11</f>
        <v>588.75141388177872</v>
      </c>
      <c r="E24" s="16">
        <f>'BNEF time series imputed'!E11</f>
        <v>733.50498801469803</v>
      </c>
      <c r="F24" s="16">
        <f>'BNEF time series imputed'!F11</f>
        <v>892.91917479038239</v>
      </c>
      <c r="G24" s="16">
        <f>'BNEF time series imputed'!G11</f>
        <v>1072.2347642183304</v>
      </c>
      <c r="H24" s="16">
        <f>'BNEF time series imputed'!H11</f>
        <v>1277.2212347984314</v>
      </c>
      <c r="I24" s="16">
        <f>'BNEF time series imputed'!I11</f>
        <v>1514.1360716819763</v>
      </c>
      <c r="J24" s="16">
        <f>'BNEF time series imputed'!J11</f>
        <v>1789.6925054788589</v>
      </c>
      <c r="K24" s="16">
        <f>'BNEF time series imputed'!K11</f>
        <v>2111.0330954194069</v>
      </c>
      <c r="L24" s="16">
        <f>'BNEF time series imputed'!L11</f>
        <v>2485.7075678110123</v>
      </c>
      <c r="M24" s="16">
        <f>'BNEF time series imputed'!M11</f>
        <v>2921.6538705229759</v>
      </c>
      <c r="N24" s="16">
        <f>'BNEF time series imputed'!N11</f>
        <v>3427.1817277669907</v>
      </c>
      <c r="O24" s="16">
        <f>'BNEF time series imputed'!O11</f>
        <v>4010.958186507225</v>
      </c>
    </row>
    <row r="25" spans="1:15" x14ac:dyDescent="0.25">
      <c r="A25" s="17" t="s">
        <v>652</v>
      </c>
      <c r="B25" s="17"/>
      <c r="C25" s="16">
        <f t="shared" ref="C25:O25" si="1">C32</f>
        <v>420.59526253968255</v>
      </c>
      <c r="D25" s="16">
        <f t="shared" si="1"/>
        <v>540.24915658643215</v>
      </c>
      <c r="E25" s="16">
        <f t="shared" si="1"/>
        <v>666.04049371704298</v>
      </c>
      <c r="F25" s="16">
        <f t="shared" si="1"/>
        <v>804.47502210584673</v>
      </c>
      <c r="G25" s="16">
        <f t="shared" si="1"/>
        <v>954.8185887618522</v>
      </c>
      <c r="H25" s="16">
        <f t="shared" si="1"/>
        <v>1120.7978979948073</v>
      </c>
      <c r="I25" s="16">
        <f t="shared" si="1"/>
        <v>1305.1340564669749</v>
      </c>
      <c r="J25" s="16">
        <f t="shared" si="1"/>
        <v>1514.7998332445761</v>
      </c>
      <c r="K25" s="16">
        <f t="shared" si="1"/>
        <v>1677.0141041753191</v>
      </c>
      <c r="L25" s="16">
        <f t="shared" si="1"/>
        <v>1895.7395855744903</v>
      </c>
      <c r="M25" s="16">
        <f t="shared" si="1"/>
        <v>2149.829482206977</v>
      </c>
      <c r="N25" s="16">
        <f t="shared" si="1"/>
        <v>2433.9096611055875</v>
      </c>
      <c r="O25" s="16">
        <f t="shared" si="1"/>
        <v>2755.4719555590573</v>
      </c>
    </row>
    <row r="26" spans="1:15" x14ac:dyDescent="0.25">
      <c r="A26" t="s">
        <v>654</v>
      </c>
      <c r="C26" s="18">
        <f>'EIA - Pacific region'!D6</f>
        <v>380</v>
      </c>
      <c r="D26" s="18">
        <f>'EIA - Pacific region'!E6</f>
        <v>475.72632224430203</v>
      </c>
      <c r="E26" s="18">
        <f>'EIA - Pacific region'!F6</f>
        <v>593.03210080747738</v>
      </c>
      <c r="F26" s="18">
        <f>'EIA - Pacific region'!G6</f>
        <v>734.16391981543075</v>
      </c>
      <c r="G26" s="18">
        <f>'EIA - Pacific region'!H6</f>
        <v>887.10108778333552</v>
      </c>
      <c r="H26" s="16">
        <f>'EIA - Pacific region'!I6</f>
        <v>1049.2372880711791</v>
      </c>
      <c r="I26" s="16">
        <f>'EIA - Pacific region'!J6</f>
        <v>1223.9993967053026</v>
      </c>
      <c r="J26" s="16">
        <f>'EIA - Pacific region'!K6</f>
        <v>1409.3461240364018</v>
      </c>
      <c r="K26" s="16">
        <f>'EIA - Pacific region'!L6</f>
        <v>1592.292689248899</v>
      </c>
      <c r="L26" s="16">
        <f>'EIA - Pacific region'!M6</f>
        <v>1776.8149324167246</v>
      </c>
      <c r="M26" s="16">
        <f>'EIA - Pacific region'!N6</f>
        <v>1962.7490842871246</v>
      </c>
      <c r="N26" s="16">
        <f>'EIA - Pacific region'!O6</f>
        <v>2161.3007700980852</v>
      </c>
      <c r="O26" s="16">
        <f>'EIA - Pacific region'!P6</f>
        <v>2366.563730043315</v>
      </c>
    </row>
    <row r="27" spans="1:15" x14ac:dyDescent="0.25">
      <c r="A27" t="s">
        <v>479</v>
      </c>
      <c r="D27" s="16">
        <f>'RBC extension'!D4</f>
        <v>576.41617474084819</v>
      </c>
      <c r="E27" s="16">
        <f>'RBC extension'!E4</f>
        <v>698.83234948169638</v>
      </c>
      <c r="F27" s="16">
        <f>'RBC extension'!F4</f>
        <v>821.24852422254457</v>
      </c>
      <c r="G27" s="16">
        <f>'RBC extension'!G4</f>
        <v>943.66469896339277</v>
      </c>
      <c r="H27" s="16">
        <f>'RBC extension'!H4</f>
        <v>1066.080873704241</v>
      </c>
      <c r="I27" s="16">
        <f>'RBC extension'!I4</f>
        <v>1188.4970484450891</v>
      </c>
      <c r="J27" s="16">
        <f>'RBC extension'!J4</f>
        <v>1310.9132231859373</v>
      </c>
      <c r="K27" s="16">
        <f>'RBC extension'!K4</f>
        <v>1457.8126328749552</v>
      </c>
      <c r="L27" s="16">
        <f>'RBC extension'!L4</f>
        <v>1605.9362043113815</v>
      </c>
      <c r="M27" s="16">
        <f>'RBC extension'!M4</f>
        <v>1768.8721328914505</v>
      </c>
      <c r="N27" s="16">
        <f>'RBC extension'!N4</f>
        <v>1948.1016543295264</v>
      </c>
      <c r="O27" s="16">
        <f>'RBC extension'!O4</f>
        <v>2145.2541279114098</v>
      </c>
    </row>
    <row r="28" spans="1:15" x14ac:dyDescent="0.25">
      <c r="A28" t="s">
        <v>215</v>
      </c>
      <c r="C28" s="16">
        <f>'JP Morgan'!C12/1000</f>
        <v>388.57142857142856</v>
      </c>
      <c r="D28" s="16">
        <f>'JP Morgan'!D12/1000</f>
        <v>469.57142857142856</v>
      </c>
      <c r="E28" s="16">
        <f>'JP Morgan'!E12/1000</f>
        <v>550.57142857142867</v>
      </c>
      <c r="F28" s="16">
        <f>'JP Morgan'!F12/1000</f>
        <v>631.57142857142867</v>
      </c>
      <c r="G28" s="16">
        <f>'JP Morgan'!G12/1000</f>
        <v>712.57142857142867</v>
      </c>
      <c r="H28" s="16">
        <f>'JP Morgan'!H12/1000</f>
        <v>793.57142857142867</v>
      </c>
      <c r="I28" s="16">
        <f>'JP Morgan'!I12/1000</f>
        <v>874.57142857142867</v>
      </c>
      <c r="J28" s="16">
        <f>'JP Morgan'!J12/1000</f>
        <v>955.57142857142867</v>
      </c>
    </row>
    <row r="29" spans="1:15" x14ac:dyDescent="0.25">
      <c r="A29" t="s">
        <v>655</v>
      </c>
      <c r="C29">
        <f>'CARB minimum compliance'!C8</f>
        <v>375.04166666666669</v>
      </c>
      <c r="D29">
        <f>'CARB minimum compliance'!D8</f>
        <v>454.08333333333337</v>
      </c>
      <c r="E29">
        <f>'CARB minimum compliance'!E8</f>
        <v>533.125</v>
      </c>
      <c r="F29">
        <f>'CARB minimum compliance'!F8</f>
        <v>612.16666666666663</v>
      </c>
      <c r="G29">
        <f>'CARB minimum compliance'!G8</f>
        <v>691.20833333333326</v>
      </c>
      <c r="H29">
        <f>'CARB minimum compliance'!H8</f>
        <v>770.24999999999989</v>
      </c>
      <c r="I29">
        <f>'CARB minimum compliance'!I8</f>
        <v>849.29166666666652</v>
      </c>
      <c r="J29">
        <f>'CARB minimum compliance'!J8</f>
        <v>928.33333333333314</v>
      </c>
      <c r="K29">
        <f>J29</f>
        <v>928.33333333333314</v>
      </c>
      <c r="L29">
        <f t="shared" ref="L29:O29" si="2">K29</f>
        <v>928.33333333333314</v>
      </c>
      <c r="M29">
        <f t="shared" si="2"/>
        <v>928.33333333333314</v>
      </c>
      <c r="N29">
        <f t="shared" si="2"/>
        <v>928.33333333333314</v>
      </c>
      <c r="O29">
        <f t="shared" si="2"/>
        <v>928.33333333333314</v>
      </c>
    </row>
    <row r="31" spans="1:15" x14ac:dyDescent="0.25">
      <c r="A31" t="s">
        <v>433</v>
      </c>
      <c r="C31" s="51">
        <f>AVERAGE(C22:C29)</f>
        <v>420.59526253968249</v>
      </c>
      <c r="D31" s="51">
        <f t="shared" ref="D31:O31" si="3">AVERAGE(D22:D29)</f>
        <v>540.24915658643204</v>
      </c>
      <c r="E31" s="51">
        <f t="shared" si="3"/>
        <v>666.04049371704298</v>
      </c>
      <c r="F31" s="51">
        <f t="shared" si="3"/>
        <v>804.47502210584685</v>
      </c>
      <c r="G31" s="51">
        <f t="shared" si="3"/>
        <v>954.81858876185231</v>
      </c>
      <c r="H31" s="51">
        <f t="shared" si="3"/>
        <v>1120.7978979948073</v>
      </c>
      <c r="I31" s="51">
        <f t="shared" si="3"/>
        <v>1305.1340564669747</v>
      </c>
      <c r="J31" s="51">
        <f t="shared" si="3"/>
        <v>1514.7998332445761</v>
      </c>
      <c r="K31" s="51">
        <f t="shared" si="3"/>
        <v>1677.0141041753193</v>
      </c>
      <c r="L31" s="51">
        <f t="shared" si="3"/>
        <v>1895.7395855744905</v>
      </c>
      <c r="M31" s="51">
        <f t="shared" si="3"/>
        <v>2149.829482206977</v>
      </c>
      <c r="N31" s="51">
        <f t="shared" si="3"/>
        <v>2433.9096611055875</v>
      </c>
      <c r="O31" s="51">
        <f t="shared" si="3"/>
        <v>2755.4719555590568</v>
      </c>
    </row>
    <row r="32" spans="1:15" x14ac:dyDescent="0.25">
      <c r="A32" t="s">
        <v>651</v>
      </c>
      <c r="C32" s="16">
        <v>420.59526253968255</v>
      </c>
      <c r="D32" s="16">
        <v>540.24915658643215</v>
      </c>
      <c r="E32" s="16">
        <v>666.04049371704298</v>
      </c>
      <c r="F32" s="16">
        <v>804.47502210584673</v>
      </c>
      <c r="G32" s="16">
        <v>954.8185887618522</v>
      </c>
      <c r="H32" s="16">
        <v>1120.7978979948073</v>
      </c>
      <c r="I32" s="16">
        <v>1305.1340564669749</v>
      </c>
      <c r="J32" s="16">
        <v>1514.7998332445761</v>
      </c>
      <c r="K32" s="16">
        <v>1677.0141041753191</v>
      </c>
      <c r="L32" s="16">
        <v>1895.7395855744903</v>
      </c>
      <c r="M32" s="16">
        <v>2149.829482206977</v>
      </c>
      <c r="N32" s="16">
        <v>2433.9096611055875</v>
      </c>
      <c r="O32" s="16">
        <v>2755.4719555590573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9"/>
  <sheetViews>
    <sheetView workbookViewId="0">
      <selection activeCell="I45" sqref="I45"/>
    </sheetView>
  </sheetViews>
  <sheetFormatPr defaultRowHeight="15" x14ac:dyDescent="0.25"/>
  <cols>
    <col min="1" max="1" width="17.140625" customWidth="1"/>
  </cols>
  <sheetData>
    <row r="2" spans="1:15" x14ac:dyDescent="0.35">
      <c r="B2">
        <f>'META analysis'!B20</f>
        <v>2017</v>
      </c>
      <c r="C2">
        <f>'META analysis'!C20</f>
        <v>2018</v>
      </c>
      <c r="D2">
        <f>C2+1</f>
        <v>2019</v>
      </c>
      <c r="E2">
        <f t="shared" ref="E2:J2" si="0">D2+1</f>
        <v>2020</v>
      </c>
      <c r="F2">
        <f t="shared" si="0"/>
        <v>2021</v>
      </c>
      <c r="G2">
        <f t="shared" si="0"/>
        <v>2022</v>
      </c>
      <c r="H2">
        <f t="shared" si="0"/>
        <v>2023</v>
      </c>
      <c r="I2">
        <f t="shared" si="0"/>
        <v>2024</v>
      </c>
      <c r="J2">
        <f t="shared" si="0"/>
        <v>2025</v>
      </c>
    </row>
    <row r="3" spans="1:15" x14ac:dyDescent="0.35">
      <c r="A3" t="str">
        <f>'META analysis'!A21</f>
        <v>Actual</v>
      </c>
      <c r="B3">
        <f>'META analysis'!B21</f>
        <v>296</v>
      </c>
      <c r="C3">
        <f>'META analysis'!C21</f>
        <v>454</v>
      </c>
    </row>
    <row r="4" spans="1:15" x14ac:dyDescent="0.35">
      <c r="A4" t="s">
        <v>621</v>
      </c>
      <c r="D4">
        <f>'ARB ZEV credit calculator'!C5</f>
        <v>0</v>
      </c>
      <c r="E4">
        <f>'ARB ZEV credit calculator'!D5</f>
        <v>0</v>
      </c>
      <c r="F4">
        <f>'ARB ZEV credit calculator'!E5</f>
        <v>0</v>
      </c>
      <c r="G4">
        <f>'ARB ZEV credit calculator'!F5</f>
        <v>0</v>
      </c>
      <c r="H4">
        <f>'ARB ZEV credit calculator'!G5</f>
        <v>0</v>
      </c>
      <c r="I4">
        <f>'ARB ZEV credit calculator'!H5</f>
        <v>0</v>
      </c>
      <c r="J4">
        <f>'ARB ZEV credit calculator'!I5</f>
        <v>0</v>
      </c>
    </row>
    <row r="5" spans="1:15" x14ac:dyDescent="0.35">
      <c r="A5" t="s">
        <v>622</v>
      </c>
      <c r="D5">
        <f>C3+D4/1000</f>
        <v>454</v>
      </c>
      <c r="E5">
        <f t="shared" ref="E5:J5" si="1">D5+E4/1000</f>
        <v>454</v>
      </c>
      <c r="F5">
        <f t="shared" si="1"/>
        <v>454</v>
      </c>
      <c r="G5">
        <f t="shared" si="1"/>
        <v>454</v>
      </c>
      <c r="H5">
        <f t="shared" si="1"/>
        <v>454</v>
      </c>
      <c r="I5">
        <f t="shared" si="1"/>
        <v>454</v>
      </c>
      <c r="J5">
        <f t="shared" si="1"/>
        <v>454</v>
      </c>
    </row>
    <row r="6" spans="1:15" x14ac:dyDescent="0.35">
      <c r="N6" t="s">
        <v>431</v>
      </c>
    </row>
    <row r="7" spans="1:15" x14ac:dyDescent="0.35">
      <c r="A7" t="s">
        <v>624</v>
      </c>
      <c r="B7">
        <f>(O11-B3)/8</f>
        <v>79.041666666666671</v>
      </c>
      <c r="O7">
        <v>975</v>
      </c>
    </row>
    <row r="8" spans="1:15" x14ac:dyDescent="0.35">
      <c r="B8">
        <f>B3</f>
        <v>296</v>
      </c>
      <c r="C8">
        <f>B8+$B$7</f>
        <v>375.04166666666669</v>
      </c>
      <c r="D8">
        <f t="shared" ref="D8:J8" si="2">C8+$B$7</f>
        <v>454.08333333333337</v>
      </c>
      <c r="E8">
        <f t="shared" si="2"/>
        <v>533.125</v>
      </c>
      <c r="F8">
        <f t="shared" si="2"/>
        <v>612.16666666666663</v>
      </c>
      <c r="G8">
        <f t="shared" si="2"/>
        <v>691.20833333333326</v>
      </c>
      <c r="H8">
        <f t="shared" si="2"/>
        <v>770.24999999999989</v>
      </c>
      <c r="I8">
        <f t="shared" si="2"/>
        <v>849.29166666666652</v>
      </c>
      <c r="J8">
        <f t="shared" si="2"/>
        <v>928.33333333333314</v>
      </c>
      <c r="O8">
        <v>960</v>
      </c>
    </row>
    <row r="9" spans="1:15" x14ac:dyDescent="0.35">
      <c r="O9">
        <v>850</v>
      </c>
    </row>
    <row r="11" spans="1:15" x14ac:dyDescent="0.35">
      <c r="M11" s="60"/>
      <c r="N11" s="60" t="s">
        <v>432</v>
      </c>
      <c r="O11" s="60">
        <f>(O7+O8+O9)/3</f>
        <v>928.33333333333337</v>
      </c>
    </row>
    <row r="27" spans="2:14" x14ac:dyDescent="0.25">
      <c r="B27" s="1" t="s">
        <v>425</v>
      </c>
    </row>
    <row r="31" spans="2:14" x14ac:dyDescent="0.25">
      <c r="N31" s="47" t="s">
        <v>623</v>
      </c>
    </row>
    <row r="32" spans="2:14" x14ac:dyDescent="0.25">
      <c r="B32" s="1" t="s">
        <v>167</v>
      </c>
    </row>
    <row r="33" spans="2:2" x14ac:dyDescent="0.25">
      <c r="B33" t="s">
        <v>426</v>
      </c>
    </row>
    <row r="34" spans="2:2" x14ac:dyDescent="0.25">
      <c r="B34" t="s">
        <v>427</v>
      </c>
    </row>
    <row r="35" spans="2:2" x14ac:dyDescent="0.25">
      <c r="B35" t="s">
        <v>428</v>
      </c>
    </row>
    <row r="37" spans="2:2" x14ac:dyDescent="0.25">
      <c r="B37" t="s">
        <v>429</v>
      </c>
    </row>
    <row r="39" spans="2:2" x14ac:dyDescent="0.25">
      <c r="B39" s="47" t="s">
        <v>430</v>
      </c>
    </row>
  </sheetData>
  <hyperlinks>
    <hyperlink ref="B39" r:id="rId1"/>
    <hyperlink ref="N31" r:id="rId2"/>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9"/>
  <sheetViews>
    <sheetView workbookViewId="0">
      <selection activeCell="A3" sqref="A3"/>
    </sheetView>
  </sheetViews>
  <sheetFormatPr defaultRowHeight="15" x14ac:dyDescent="0.25"/>
  <cols>
    <col min="1" max="1" width="42.42578125" customWidth="1"/>
    <col min="9" max="9" width="19.85546875" customWidth="1"/>
  </cols>
  <sheetData>
    <row r="1" spans="1:16" ht="14.45" x14ac:dyDescent="0.35">
      <c r="A1" t="s">
        <v>620</v>
      </c>
    </row>
    <row r="5" spans="1:16" ht="14.45" x14ac:dyDescent="0.35">
      <c r="B5" s="51"/>
      <c r="C5" s="51"/>
      <c r="D5" s="51"/>
      <c r="E5" s="51"/>
      <c r="F5" s="51"/>
      <c r="G5" s="51"/>
      <c r="H5" s="51"/>
      <c r="I5" s="51"/>
    </row>
    <row r="6" spans="1:16" ht="14.45" x14ac:dyDescent="0.35">
      <c r="A6" s="190"/>
      <c r="B6" s="191"/>
      <c r="C6" s="191"/>
      <c r="D6" s="191"/>
      <c r="E6" s="191"/>
      <c r="F6" s="191"/>
      <c r="G6" s="191"/>
      <c r="H6" s="191"/>
      <c r="I6" s="191"/>
    </row>
    <row r="7" spans="1:16" ht="14.45" x14ac:dyDescent="0.35">
      <c r="A7" s="298"/>
      <c r="B7" s="299"/>
      <c r="C7" s="299"/>
      <c r="D7" s="299"/>
      <c r="E7" s="191"/>
      <c r="F7" s="191"/>
      <c r="G7" s="191"/>
      <c r="H7" s="191"/>
      <c r="I7" s="191"/>
    </row>
    <row r="8" spans="1:16" ht="14.45" x14ac:dyDescent="0.35">
      <c r="A8" s="190" t="str">
        <f t="shared" ref="A8:I8" si="0">A160</f>
        <v>ZEV + PHEV % of Annual CA LDV Sales</v>
      </c>
      <c r="B8" s="300">
        <f t="shared" si="0"/>
        <v>2.3355179562388428E-2</v>
      </c>
      <c r="C8" s="300">
        <f t="shared" si="0"/>
        <v>3.0832276168732849E-2</v>
      </c>
      <c r="D8" s="300">
        <f t="shared" si="0"/>
        <v>4.2396225289574353E-2</v>
      </c>
      <c r="E8" s="300">
        <f t="shared" si="0"/>
        <v>5.0699810286784948E-2</v>
      </c>
      <c r="F8" s="300">
        <f t="shared" si="0"/>
        <v>5.6578478623361093E-2</v>
      </c>
      <c r="G8" s="300">
        <f t="shared" si="0"/>
        <v>6.3298146163166397E-2</v>
      </c>
      <c r="H8" s="300">
        <f t="shared" si="0"/>
        <v>6.9598265212907795E-2</v>
      </c>
      <c r="I8" s="300">
        <f t="shared" si="0"/>
        <v>7.5536124138948738E-2</v>
      </c>
    </row>
    <row r="10" spans="1:16" thickBot="1" x14ac:dyDescent="0.4">
      <c r="A10" s="73" t="s">
        <v>480</v>
      </c>
      <c r="B10" s="74">
        <v>2018</v>
      </c>
      <c r="C10" s="74">
        <v>2019</v>
      </c>
      <c r="D10" s="74">
        <v>2020</v>
      </c>
      <c r="E10" s="74">
        <v>2021</v>
      </c>
      <c r="F10" s="74">
        <v>2022</v>
      </c>
      <c r="G10" s="74">
        <v>2023</v>
      </c>
      <c r="H10" s="74">
        <v>2024</v>
      </c>
      <c r="I10" s="74">
        <v>2025</v>
      </c>
      <c r="J10" s="75">
        <v>2026</v>
      </c>
    </row>
    <row r="11" spans="1:16" thickBot="1" x14ac:dyDescent="0.4">
      <c r="A11" s="76" t="s">
        <v>481</v>
      </c>
      <c r="B11" s="77">
        <v>15985205.403666668</v>
      </c>
      <c r="C11" s="77">
        <v>16342286.133000001</v>
      </c>
      <c r="D11" s="77">
        <v>16265591.797</v>
      </c>
      <c r="E11" s="77">
        <v>16235905.924666667</v>
      </c>
      <c r="F11" s="77">
        <v>16165185.221333332</v>
      </c>
      <c r="G11" s="77">
        <v>16119274.088666666</v>
      </c>
      <c r="H11" s="77">
        <v>16072083.007666666</v>
      </c>
      <c r="I11" s="77">
        <v>16109706.380333334</v>
      </c>
      <c r="J11" s="78">
        <v>16242619.791666666</v>
      </c>
      <c r="K11" s="79" t="s">
        <v>482</v>
      </c>
      <c r="N11" s="80"/>
      <c r="O11" s="80"/>
    </row>
    <row r="12" spans="1:16" ht="14.45" x14ac:dyDescent="0.35">
      <c r="A12" s="81" t="s">
        <v>483</v>
      </c>
      <c r="B12" s="77">
        <f t="shared" ref="B12:J12" si="1">B11*$K$12</f>
        <v>2557632.8645866667</v>
      </c>
      <c r="C12" s="77">
        <f t="shared" si="1"/>
        <v>2614765.7812800002</v>
      </c>
      <c r="D12" s="77">
        <f t="shared" si="1"/>
        <v>2602494.6875200002</v>
      </c>
      <c r="E12" s="77">
        <f t="shared" si="1"/>
        <v>2597744.9479466667</v>
      </c>
      <c r="F12" s="77">
        <f t="shared" si="1"/>
        <v>2586429.6354133333</v>
      </c>
      <c r="G12" s="77">
        <f t="shared" si="1"/>
        <v>2579083.8541866667</v>
      </c>
      <c r="H12" s="77">
        <f t="shared" si="1"/>
        <v>2571533.2812266666</v>
      </c>
      <c r="I12" s="82">
        <f t="shared" si="1"/>
        <v>2577553.0208533336</v>
      </c>
      <c r="J12" s="78">
        <f t="shared" si="1"/>
        <v>2598819.1666666665</v>
      </c>
      <c r="K12" s="83">
        <v>0.16</v>
      </c>
      <c r="P12" s="84"/>
    </row>
    <row r="13" spans="1:16" thickBot="1" x14ac:dyDescent="0.4">
      <c r="A13" s="81" t="s">
        <v>484</v>
      </c>
      <c r="B13" s="77">
        <f t="shared" ref="B13:J13" si="2">B11*$K$13</f>
        <v>1918224.6484400001</v>
      </c>
      <c r="C13" s="77">
        <f t="shared" si="2"/>
        <v>1961074.3359600001</v>
      </c>
      <c r="D13" s="77">
        <f t="shared" si="2"/>
        <v>1951871.0156399999</v>
      </c>
      <c r="E13" s="77">
        <f t="shared" si="2"/>
        <v>1948308.7109600001</v>
      </c>
      <c r="F13" s="77">
        <f t="shared" si="2"/>
        <v>1939822.2265599999</v>
      </c>
      <c r="G13" s="77">
        <f t="shared" si="2"/>
        <v>1934312.8906399999</v>
      </c>
      <c r="H13" s="77">
        <f t="shared" si="2"/>
        <v>1928649.9609199998</v>
      </c>
      <c r="I13" s="82">
        <f t="shared" si="2"/>
        <v>1933164.7656400001</v>
      </c>
      <c r="J13" s="78">
        <f t="shared" si="2"/>
        <v>1949114.3749999998</v>
      </c>
      <c r="K13" s="85">
        <v>0.12</v>
      </c>
      <c r="P13" s="84"/>
    </row>
    <row r="14" spans="1:16" ht="14.45" x14ac:dyDescent="0.35">
      <c r="A14" s="86" t="s">
        <v>485</v>
      </c>
      <c r="B14" s="87">
        <v>0.9373535351051977</v>
      </c>
      <c r="C14" s="87">
        <v>0.9373535351051977</v>
      </c>
      <c r="D14" s="87">
        <v>0.9373535351051977</v>
      </c>
      <c r="E14" s="87">
        <v>0.9373535351051977</v>
      </c>
      <c r="F14" s="87">
        <v>0.9373535351051977</v>
      </c>
      <c r="G14" s="87">
        <v>0.9373535351051977</v>
      </c>
      <c r="H14" s="87">
        <v>0.9373535351051977</v>
      </c>
      <c r="I14" s="87">
        <v>0.9373535351051977</v>
      </c>
      <c r="J14" s="88">
        <v>0.9373535351051977</v>
      </c>
      <c r="N14" s="89"/>
      <c r="O14" s="89"/>
    </row>
    <row r="15" spans="1:16" ht="14.45" x14ac:dyDescent="0.35">
      <c r="A15" s="86" t="s">
        <v>486</v>
      </c>
      <c r="B15" s="87">
        <v>6.2646464894802301E-2</v>
      </c>
      <c r="C15" s="87">
        <v>6.2646464894802301E-2</v>
      </c>
      <c r="D15" s="87">
        <v>6.2646464894802301E-2</v>
      </c>
      <c r="E15" s="87">
        <v>6.2646464894802301E-2</v>
      </c>
      <c r="F15" s="87">
        <v>6.2646464894802301E-2</v>
      </c>
      <c r="G15" s="87">
        <v>6.2646464894802301E-2</v>
      </c>
      <c r="H15" s="87">
        <v>6.2646464894802301E-2</v>
      </c>
      <c r="I15" s="87">
        <v>6.2646464894802301E-2</v>
      </c>
      <c r="J15" s="88">
        <v>6.2646464894802301E-2</v>
      </c>
      <c r="N15" s="89"/>
      <c r="O15" s="89"/>
    </row>
    <row r="16" spans="1:16" ht="14.45" x14ac:dyDescent="0.35">
      <c r="A16" s="86" t="s">
        <v>487</v>
      </c>
      <c r="B16" s="77">
        <f t="shared" ref="B16:J16" si="3">B13*B14</f>
        <v>1798054.6553411591</v>
      </c>
      <c r="C16" s="77">
        <f t="shared" si="3"/>
        <v>1838219.9614161842</v>
      </c>
      <c r="D16" s="77">
        <f t="shared" si="3"/>
        <v>1829593.1965795264</v>
      </c>
      <c r="E16" s="77">
        <f t="shared" si="3"/>
        <v>1826254.0576946069</v>
      </c>
      <c r="F16" s="77">
        <f t="shared" si="3"/>
        <v>1818299.2215416515</v>
      </c>
      <c r="G16" s="77">
        <f t="shared" si="3"/>
        <v>1813135.0260409575</v>
      </c>
      <c r="H16" s="77">
        <f t="shared" si="3"/>
        <v>1807826.858848863</v>
      </c>
      <c r="I16" s="77">
        <f t="shared" si="3"/>
        <v>1812058.8270134651</v>
      </c>
      <c r="J16" s="90">
        <f t="shared" si="3"/>
        <v>1827009.2497306077</v>
      </c>
    </row>
    <row r="17" spans="1:15" ht="14.45" x14ac:dyDescent="0.35">
      <c r="A17" s="86" t="s">
        <v>488</v>
      </c>
      <c r="B17" s="77">
        <f t="shared" ref="B17:J17" si="4">B13*B15</f>
        <v>120169.99309884095</v>
      </c>
      <c r="C17" s="77">
        <f t="shared" si="4"/>
        <v>122854.37454381588</v>
      </c>
      <c r="D17" s="77">
        <f t="shared" si="4"/>
        <v>122277.81906047337</v>
      </c>
      <c r="E17" s="77">
        <f t="shared" si="4"/>
        <v>122054.65326539316</v>
      </c>
      <c r="F17" s="77">
        <f t="shared" si="4"/>
        <v>121523.00501834827</v>
      </c>
      <c r="G17" s="77">
        <f t="shared" si="4"/>
        <v>121177.86459904231</v>
      </c>
      <c r="H17" s="77">
        <f t="shared" si="4"/>
        <v>120823.1020711366</v>
      </c>
      <c r="I17" s="77">
        <f t="shared" si="4"/>
        <v>121105.93862653499</v>
      </c>
      <c r="J17" s="90">
        <f t="shared" si="4"/>
        <v>122105.12526939201</v>
      </c>
    </row>
    <row r="18" spans="1:15" ht="14.45" x14ac:dyDescent="0.35">
      <c r="A18" s="86" t="s">
        <v>489</v>
      </c>
      <c r="B18" s="87">
        <v>0.92410820014987316</v>
      </c>
      <c r="C18" s="87">
        <v>0.92410820014987316</v>
      </c>
      <c r="D18" s="87">
        <v>0.92410820014987316</v>
      </c>
      <c r="E18" s="87">
        <v>0.92410820014987316</v>
      </c>
      <c r="F18" s="87">
        <v>0.92410820014987316</v>
      </c>
      <c r="G18" s="87">
        <v>0.92410820014987316</v>
      </c>
      <c r="H18" s="87">
        <v>0.92410820014987316</v>
      </c>
      <c r="I18" s="87">
        <v>0.92410820014987316</v>
      </c>
      <c r="J18" s="88">
        <v>0.92410820014987316</v>
      </c>
      <c r="N18" s="89"/>
      <c r="O18" s="89"/>
    </row>
    <row r="19" spans="1:15" ht="14.45" x14ac:dyDescent="0.35">
      <c r="A19" s="86" t="s">
        <v>490</v>
      </c>
      <c r="B19" s="87">
        <v>7.5891799850126854E-2</v>
      </c>
      <c r="C19" s="87">
        <v>7.5891799850126854E-2</v>
      </c>
      <c r="D19" s="87">
        <v>7.5891799850126854E-2</v>
      </c>
      <c r="E19" s="87">
        <v>7.5891799850126854E-2</v>
      </c>
      <c r="F19" s="87">
        <v>7.5891799850126854E-2</v>
      </c>
      <c r="G19" s="87">
        <v>7.5891799850126854E-2</v>
      </c>
      <c r="H19" s="87">
        <v>7.5891799850126854E-2</v>
      </c>
      <c r="I19" s="87">
        <v>7.5891799850126854E-2</v>
      </c>
      <c r="J19" s="88">
        <v>7.5891799850126854E-2</v>
      </c>
      <c r="N19" s="89"/>
      <c r="O19" s="89"/>
    </row>
    <row r="20" spans="1:15" ht="14.45" x14ac:dyDescent="0.35">
      <c r="A20" s="86" t="s">
        <v>491</v>
      </c>
      <c r="B20" s="77">
        <f t="shared" ref="B20:J20" si="5">B12*B18</f>
        <v>2363529.5031373487</v>
      </c>
      <c r="C20" s="77">
        <f t="shared" si="5"/>
        <v>2416326.4999521379</v>
      </c>
      <c r="D20" s="77">
        <f t="shared" si="5"/>
        <v>2404986.6815837137</v>
      </c>
      <c r="E20" s="77">
        <f t="shared" si="5"/>
        <v>2400597.40829542</v>
      </c>
      <c r="F20" s="77">
        <f t="shared" si="5"/>
        <v>2390140.8351961081</v>
      </c>
      <c r="G20" s="77">
        <f t="shared" si="5"/>
        <v>2383352.5385280387</v>
      </c>
      <c r="H20" s="77">
        <f t="shared" si="5"/>
        <v>2376374.9921398726</v>
      </c>
      <c r="I20" s="77">
        <f t="shared" si="5"/>
        <v>2381937.8828916429</v>
      </c>
      <c r="J20" s="90">
        <f t="shared" si="5"/>
        <v>2401590.1026233262</v>
      </c>
      <c r="K20" s="91"/>
    </row>
    <row r="21" spans="1:15" ht="14.45" x14ac:dyDescent="0.35">
      <c r="A21" s="92" t="s">
        <v>492</v>
      </c>
      <c r="B21" s="77">
        <f t="shared" ref="B21:J21" si="6">B12*B19</f>
        <v>194103.36144931792</v>
      </c>
      <c r="C21" s="77">
        <f t="shared" si="6"/>
        <v>198439.28132786235</v>
      </c>
      <c r="D21" s="77">
        <f t="shared" si="6"/>
        <v>197508.00593628627</v>
      </c>
      <c r="E21" s="77">
        <f t="shared" si="6"/>
        <v>197147.53965124662</v>
      </c>
      <c r="F21" s="77">
        <f t="shared" si="6"/>
        <v>196288.80021722527</v>
      </c>
      <c r="G21" s="77">
        <f t="shared" si="6"/>
        <v>195731.31565862827</v>
      </c>
      <c r="H21" s="77">
        <f t="shared" si="6"/>
        <v>195158.28908679416</v>
      </c>
      <c r="I21" s="77">
        <f t="shared" si="6"/>
        <v>195615.13796169104</v>
      </c>
      <c r="J21" s="90">
        <f t="shared" si="6"/>
        <v>197229.06404334013</v>
      </c>
    </row>
    <row r="22" spans="1:15" ht="14.45" x14ac:dyDescent="0.35">
      <c r="A22" s="93" t="s">
        <v>493</v>
      </c>
      <c r="B22" s="94"/>
      <c r="C22" s="94"/>
      <c r="D22" s="94"/>
      <c r="E22" s="94"/>
      <c r="F22" s="94"/>
      <c r="G22" s="94"/>
      <c r="H22" s="94"/>
      <c r="I22" s="94"/>
      <c r="J22" s="95"/>
    </row>
    <row r="23" spans="1:15" x14ac:dyDescent="0.25">
      <c r="A23" s="96" t="s">
        <v>494</v>
      </c>
      <c r="B23" s="97">
        <v>0.02</v>
      </c>
      <c r="C23" s="98">
        <v>0.04</v>
      </c>
      <c r="D23" s="98">
        <v>0.06</v>
      </c>
      <c r="E23" s="98">
        <v>0.08</v>
      </c>
      <c r="F23" s="98">
        <v>0.1</v>
      </c>
      <c r="G23" s="98">
        <v>0.12</v>
      </c>
      <c r="H23" s="98">
        <v>0.14000000000000001</v>
      </c>
      <c r="I23" s="98">
        <v>0.16</v>
      </c>
      <c r="J23" s="99">
        <v>0.16</v>
      </c>
      <c r="N23" s="100"/>
      <c r="O23" s="100"/>
    </row>
    <row r="24" spans="1:15" ht="15.75" thickBot="1" x14ac:dyDescent="0.3">
      <c r="A24" s="101" t="s">
        <v>495</v>
      </c>
      <c r="B24" s="97">
        <v>2.5000000000000001E-2</v>
      </c>
      <c r="C24" s="98">
        <v>0.03</v>
      </c>
      <c r="D24" s="98">
        <v>3.5000000000000003E-2</v>
      </c>
      <c r="E24" s="98">
        <v>0.04</v>
      </c>
      <c r="F24" s="98">
        <v>4.4999999999999998E-2</v>
      </c>
      <c r="G24" s="98">
        <v>0.05</v>
      </c>
      <c r="H24" s="98">
        <v>5.5E-2</v>
      </c>
      <c r="I24" s="98">
        <v>0.06</v>
      </c>
      <c r="J24" s="99">
        <v>0.06</v>
      </c>
      <c r="N24" s="100"/>
      <c r="O24" s="100"/>
    </row>
    <row r="25" spans="1:15" ht="15.75" thickBot="1" x14ac:dyDescent="0.3">
      <c r="A25" s="101" t="s">
        <v>496</v>
      </c>
      <c r="B25" s="97">
        <v>4.4999999999999998E-2</v>
      </c>
      <c r="C25" s="98">
        <v>7.0000000000000007E-2</v>
      </c>
      <c r="D25" s="98">
        <v>9.5000000000000001E-2</v>
      </c>
      <c r="E25" s="98">
        <v>0.12</v>
      </c>
      <c r="F25" s="98">
        <v>0.14500000000000002</v>
      </c>
      <c r="G25" s="98">
        <v>0.16999999999999998</v>
      </c>
      <c r="H25" s="98">
        <v>0.19500000000000001</v>
      </c>
      <c r="I25" s="102">
        <v>0.22</v>
      </c>
      <c r="J25" s="103">
        <v>0.22</v>
      </c>
      <c r="K25" s="104" t="s">
        <v>497</v>
      </c>
      <c r="N25" s="100"/>
      <c r="O25" s="100"/>
    </row>
    <row r="26" spans="1:15" x14ac:dyDescent="0.25">
      <c r="A26" s="101" t="s">
        <v>498</v>
      </c>
      <c r="B26" s="105">
        <f t="shared" ref="B26:J26" si="7">B23*B16</f>
        <v>35961.09310682318</v>
      </c>
      <c r="C26" s="105">
        <f t="shared" si="7"/>
        <v>73528.798456647375</v>
      </c>
      <c r="D26" s="105">
        <f t="shared" si="7"/>
        <v>109775.59179477158</v>
      </c>
      <c r="E26" s="105">
        <f t="shared" si="7"/>
        <v>146100.32461556856</v>
      </c>
      <c r="F26" s="105">
        <f t="shared" si="7"/>
        <v>181829.92215416516</v>
      </c>
      <c r="G26" s="105">
        <f t="shared" si="7"/>
        <v>217576.2031249149</v>
      </c>
      <c r="H26" s="105">
        <f t="shared" si="7"/>
        <v>253095.76023884086</v>
      </c>
      <c r="I26" s="106">
        <f t="shared" si="7"/>
        <v>289929.41232215444</v>
      </c>
      <c r="J26" s="107">
        <f t="shared" si="7"/>
        <v>292321.47995689727</v>
      </c>
      <c r="K26" s="108">
        <f>SUM(B26:I26)</f>
        <v>1307797.105813886</v>
      </c>
    </row>
    <row r="27" spans="1:15" x14ac:dyDescent="0.25">
      <c r="A27" s="109" t="s">
        <v>499</v>
      </c>
      <c r="B27" s="105">
        <f>B24*B16</f>
        <v>44951.366383528977</v>
      </c>
      <c r="C27" s="105">
        <f t="shared" ref="C27:J27" si="8">C24*C16</f>
        <v>55146.598842485524</v>
      </c>
      <c r="D27" s="105">
        <f t="shared" si="8"/>
        <v>64035.761880283433</v>
      </c>
      <c r="E27" s="105">
        <f t="shared" si="8"/>
        <v>73050.162307784281</v>
      </c>
      <c r="F27" s="105">
        <f t="shared" si="8"/>
        <v>81823.464969374312</v>
      </c>
      <c r="G27" s="105">
        <f t="shared" si="8"/>
        <v>90656.75130204788</v>
      </c>
      <c r="H27" s="105">
        <f t="shared" si="8"/>
        <v>99430.477236687468</v>
      </c>
      <c r="I27" s="105">
        <f t="shared" si="8"/>
        <v>108723.52962080791</v>
      </c>
      <c r="J27" s="110">
        <f t="shared" si="8"/>
        <v>109620.55498383645</v>
      </c>
      <c r="K27" s="108">
        <f>SUM(B27:I27)</f>
        <v>617818.11254299968</v>
      </c>
    </row>
    <row r="28" spans="1:15" x14ac:dyDescent="0.25">
      <c r="A28" s="109" t="s">
        <v>500</v>
      </c>
      <c r="B28" s="111">
        <f>SUM(B26:B27)</f>
        <v>80912.459490352165</v>
      </c>
      <c r="C28" s="111">
        <f t="shared" ref="C28:J28" si="9">SUM(C26:C27)</f>
        <v>128675.39729913289</v>
      </c>
      <c r="D28" s="111">
        <f t="shared" si="9"/>
        <v>173811.35367505503</v>
      </c>
      <c r="E28" s="111">
        <f t="shared" si="9"/>
        <v>219150.48692335284</v>
      </c>
      <c r="F28" s="111">
        <f t="shared" si="9"/>
        <v>263653.38712353946</v>
      </c>
      <c r="G28" s="111">
        <f t="shared" si="9"/>
        <v>308232.95442696277</v>
      </c>
      <c r="H28" s="111">
        <f t="shared" si="9"/>
        <v>352526.23747552832</v>
      </c>
      <c r="I28" s="111">
        <f t="shared" si="9"/>
        <v>398652.94194296235</v>
      </c>
      <c r="J28" s="112">
        <f t="shared" si="9"/>
        <v>401942.03494073369</v>
      </c>
      <c r="K28" s="108">
        <f>SUM(B28:I28)</f>
        <v>1925615.2183568859</v>
      </c>
    </row>
    <row r="29" spans="1:15" x14ac:dyDescent="0.25">
      <c r="A29" s="109" t="s">
        <v>501</v>
      </c>
      <c r="B29" s="111">
        <f>B17*B25</f>
        <v>5407.6496894478423</v>
      </c>
      <c r="C29" s="111">
        <f t="shared" ref="C29:J29" si="10">C17*C25</f>
        <v>8599.8062180671132</v>
      </c>
      <c r="D29" s="111">
        <f t="shared" si="10"/>
        <v>11616.39281074497</v>
      </c>
      <c r="E29" s="111">
        <f t="shared" si="10"/>
        <v>14646.558391847178</v>
      </c>
      <c r="F29" s="111">
        <f t="shared" si="10"/>
        <v>17620.835727660502</v>
      </c>
      <c r="G29" s="111">
        <f t="shared" si="10"/>
        <v>20600.236981837192</v>
      </c>
      <c r="H29" s="111">
        <f t="shared" si="10"/>
        <v>23560.504903871639</v>
      </c>
      <c r="I29" s="111">
        <f t="shared" si="10"/>
        <v>26643.306497837697</v>
      </c>
      <c r="J29" s="112">
        <f t="shared" si="10"/>
        <v>26863.127559266242</v>
      </c>
      <c r="K29" s="108">
        <f>SUM(B29:I29)</f>
        <v>128695.29122131412</v>
      </c>
    </row>
    <row r="30" spans="1:15" ht="15.75" thickBot="1" x14ac:dyDescent="0.3">
      <c r="A30" s="113" t="s">
        <v>502</v>
      </c>
      <c r="B30" s="114">
        <f>SUM(B28:B29)</f>
        <v>86320.109179800012</v>
      </c>
      <c r="C30" s="114">
        <f t="shared" ref="C30:J30" si="11">SUM(C28:C29)</f>
        <v>137275.20351720002</v>
      </c>
      <c r="D30" s="114">
        <f t="shared" si="11"/>
        <v>185427.74648579999</v>
      </c>
      <c r="E30" s="114">
        <f t="shared" si="11"/>
        <v>233797.04531520003</v>
      </c>
      <c r="F30" s="114">
        <f t="shared" si="11"/>
        <v>281274.22285119997</v>
      </c>
      <c r="G30" s="114">
        <f t="shared" si="11"/>
        <v>328833.19140879996</v>
      </c>
      <c r="H30" s="114">
        <f t="shared" si="11"/>
        <v>376086.74237939995</v>
      </c>
      <c r="I30" s="115">
        <f t="shared" si="11"/>
        <v>425296.24844080006</v>
      </c>
      <c r="J30" s="116">
        <f t="shared" si="11"/>
        <v>428805.16249999992</v>
      </c>
      <c r="K30" s="117">
        <f>SUM(B30:I30)</f>
        <v>2054310.5095781998</v>
      </c>
    </row>
    <row r="31" spans="1:15" ht="15.75" thickBot="1" x14ac:dyDescent="0.3">
      <c r="A31" s="118" t="s">
        <v>503</v>
      </c>
      <c r="B31" s="119"/>
      <c r="C31" s="120"/>
      <c r="D31" s="120"/>
      <c r="E31" s="120"/>
      <c r="F31" s="120"/>
      <c r="G31" s="120"/>
      <c r="H31" s="120"/>
      <c r="I31" s="121"/>
      <c r="J31" s="122"/>
    </row>
    <row r="32" spans="1:15" ht="15.75" thickBot="1" x14ac:dyDescent="0.3">
      <c r="A32" s="123" t="s">
        <v>504</v>
      </c>
      <c r="B32" s="124">
        <v>0.9</v>
      </c>
      <c r="C32" s="125">
        <f>B32</f>
        <v>0.9</v>
      </c>
      <c r="D32" s="126">
        <f>B32</f>
        <v>0.9</v>
      </c>
      <c r="E32" s="127"/>
      <c r="F32" s="127"/>
      <c r="G32" s="127"/>
      <c r="H32" s="127"/>
      <c r="I32" s="127"/>
      <c r="J32" s="88"/>
    </row>
    <row r="33" spans="1:13" x14ac:dyDescent="0.25">
      <c r="A33" s="128" t="s">
        <v>505</v>
      </c>
      <c r="B33" s="129">
        <v>0.625</v>
      </c>
      <c r="C33" s="130">
        <v>0.75</v>
      </c>
      <c r="D33" s="130">
        <v>0.875</v>
      </c>
      <c r="E33" s="131"/>
      <c r="F33" s="131"/>
      <c r="G33" s="131"/>
      <c r="H33" s="131"/>
      <c r="I33" s="131"/>
      <c r="J33" s="132"/>
    </row>
    <row r="34" spans="1:13" x14ac:dyDescent="0.25">
      <c r="A34" s="133" t="s">
        <v>506</v>
      </c>
      <c r="B34" s="134">
        <f>B33*B23</f>
        <v>1.2500000000000001E-2</v>
      </c>
      <c r="C34" s="130">
        <f>C33*C23</f>
        <v>0.03</v>
      </c>
      <c r="D34" s="130">
        <f>D33*D23</f>
        <v>5.2499999999999998E-2</v>
      </c>
      <c r="E34" s="130">
        <f t="shared" ref="E34:J34" si="12">E23</f>
        <v>0.08</v>
      </c>
      <c r="F34" s="130">
        <f t="shared" si="12"/>
        <v>0.1</v>
      </c>
      <c r="G34" s="130">
        <f t="shared" si="12"/>
        <v>0.12</v>
      </c>
      <c r="H34" s="130">
        <f t="shared" si="12"/>
        <v>0.14000000000000001</v>
      </c>
      <c r="I34" s="130">
        <f t="shared" si="12"/>
        <v>0.16</v>
      </c>
      <c r="J34" s="135">
        <f t="shared" si="12"/>
        <v>0.16</v>
      </c>
    </row>
    <row r="35" spans="1:13" x14ac:dyDescent="0.25">
      <c r="A35" s="128" t="s">
        <v>507</v>
      </c>
      <c r="B35" s="130">
        <v>0.9</v>
      </c>
      <c r="C35" s="130">
        <v>1</v>
      </c>
      <c r="D35" s="130">
        <v>1</v>
      </c>
      <c r="E35" s="131"/>
      <c r="F35" s="131"/>
      <c r="G35" s="131"/>
      <c r="H35" s="131"/>
      <c r="I35" s="131"/>
      <c r="J35" s="132"/>
    </row>
    <row r="36" spans="1:13" ht="15.75" thickBot="1" x14ac:dyDescent="0.3">
      <c r="A36" s="133" t="s">
        <v>508</v>
      </c>
      <c r="B36" s="136">
        <f>B35*B24</f>
        <v>2.2500000000000003E-2</v>
      </c>
      <c r="C36" s="136">
        <f>C35*C24</f>
        <v>0.03</v>
      </c>
      <c r="D36" s="136">
        <f>D35*D24</f>
        <v>3.5000000000000003E-2</v>
      </c>
      <c r="E36" s="136">
        <f t="shared" ref="E36:J36" si="13">E24</f>
        <v>0.04</v>
      </c>
      <c r="F36" s="136">
        <f t="shared" si="13"/>
        <v>4.4999999999999998E-2</v>
      </c>
      <c r="G36" s="136">
        <f t="shared" si="13"/>
        <v>0.05</v>
      </c>
      <c r="H36" s="136">
        <f t="shared" si="13"/>
        <v>5.5E-2</v>
      </c>
      <c r="I36" s="136">
        <f t="shared" si="13"/>
        <v>0.06</v>
      </c>
      <c r="J36" s="137">
        <f t="shared" si="13"/>
        <v>0.06</v>
      </c>
    </row>
    <row r="37" spans="1:13" ht="15.75" thickBot="1" x14ac:dyDescent="0.3">
      <c r="A37" s="138" t="s">
        <v>509</v>
      </c>
      <c r="B37" s="139">
        <f>B34+B36</f>
        <v>3.5000000000000003E-2</v>
      </c>
      <c r="C37" s="139">
        <f t="shared" ref="C37:J37" si="14">C34+C36</f>
        <v>0.06</v>
      </c>
      <c r="D37" s="139">
        <f t="shared" si="14"/>
        <v>8.7499999999999994E-2</v>
      </c>
      <c r="E37" s="139">
        <f t="shared" si="14"/>
        <v>0.12</v>
      </c>
      <c r="F37" s="139">
        <f t="shared" si="14"/>
        <v>0.14500000000000002</v>
      </c>
      <c r="G37" s="139">
        <f t="shared" si="14"/>
        <v>0.16999999999999998</v>
      </c>
      <c r="H37" s="139">
        <f t="shared" si="14"/>
        <v>0.19500000000000001</v>
      </c>
      <c r="I37" s="139">
        <f t="shared" si="14"/>
        <v>0.22</v>
      </c>
      <c r="J37" s="140">
        <f t="shared" si="14"/>
        <v>0.22</v>
      </c>
      <c r="K37" s="141" t="s">
        <v>497</v>
      </c>
    </row>
    <row r="38" spans="1:13" x14ac:dyDescent="0.25">
      <c r="A38" s="142" t="s">
        <v>510</v>
      </c>
      <c r="B38" s="143">
        <f>(B34*B20)*B32+(((1-B32)*B20)*B23)</f>
        <v>31316.765916569871</v>
      </c>
      <c r="C38" s="143">
        <f>(C34*C20)*C32+(((1-C32)*C20)*C23)</f>
        <v>74906.121498516266</v>
      </c>
      <c r="D38" s="143">
        <f>(D34*D20)*D32+(((1-D32)*D20)*D23)</f>
        <v>128065.54079433274</v>
      </c>
      <c r="E38" s="143">
        <f t="shared" ref="E38:J38" si="15">E34*E20</f>
        <v>192047.79266363359</v>
      </c>
      <c r="F38" s="143">
        <f t="shared" si="15"/>
        <v>239014.08351961081</v>
      </c>
      <c r="G38" s="143">
        <f t="shared" si="15"/>
        <v>286002.30462336465</v>
      </c>
      <c r="H38" s="143">
        <f t="shared" si="15"/>
        <v>332692.49889958219</v>
      </c>
      <c r="I38" s="143">
        <f t="shared" si="15"/>
        <v>381110.06126266287</v>
      </c>
      <c r="J38" s="112">
        <f t="shared" si="15"/>
        <v>384254.41641973221</v>
      </c>
      <c r="K38" s="144">
        <f>SUM(B38:I38)</f>
        <v>1665155.1691782731</v>
      </c>
    </row>
    <row r="39" spans="1:13" x14ac:dyDescent="0.25">
      <c r="A39" s="142" t="s">
        <v>511</v>
      </c>
      <c r="B39" s="143">
        <f>(B36*B20*B32)+(((1-B32)*B20)*B24)</f>
        <v>53770.296196374686</v>
      </c>
      <c r="C39" s="143">
        <f>(C36*C20*C32)+(((1-C32)*C20)*C24)</f>
        <v>72489.794998564132</v>
      </c>
      <c r="D39" s="143">
        <f>(D36*D20*D32)+(((1-D32)*D20)*D24)</f>
        <v>84174.533855429996</v>
      </c>
      <c r="E39" s="143">
        <f t="shared" ref="E39:J39" si="16">E36*E20</f>
        <v>96023.896331816795</v>
      </c>
      <c r="F39" s="143">
        <f t="shared" si="16"/>
        <v>107556.33758382486</v>
      </c>
      <c r="G39" s="143">
        <f t="shared" si="16"/>
        <v>119167.62692640194</v>
      </c>
      <c r="H39" s="143">
        <f t="shared" si="16"/>
        <v>130700.624567693</v>
      </c>
      <c r="I39" s="143">
        <f t="shared" si="16"/>
        <v>142916.27297349856</v>
      </c>
      <c r="J39" s="112">
        <f t="shared" si="16"/>
        <v>144095.40615739956</v>
      </c>
      <c r="K39" s="144">
        <f>SUM(B39:I39)</f>
        <v>806799.38343360403</v>
      </c>
    </row>
    <row r="40" spans="1:13" x14ac:dyDescent="0.25">
      <c r="A40" s="142" t="s">
        <v>512</v>
      </c>
      <c r="B40" s="143">
        <f>SUM(B38:B39)</f>
        <v>85087.06211294455</v>
      </c>
      <c r="C40" s="143">
        <f t="shared" ref="C40:J40" si="17">SUM(C38:C39)</f>
        <v>147395.91649708041</v>
      </c>
      <c r="D40" s="143">
        <f t="shared" si="17"/>
        <v>212240.07464976274</v>
      </c>
      <c r="E40" s="143">
        <f t="shared" si="17"/>
        <v>288071.68899545039</v>
      </c>
      <c r="F40" s="143">
        <f t="shared" si="17"/>
        <v>346570.42110343568</v>
      </c>
      <c r="G40" s="143">
        <f t="shared" si="17"/>
        <v>405169.93154976657</v>
      </c>
      <c r="H40" s="143">
        <f t="shared" si="17"/>
        <v>463393.12346727517</v>
      </c>
      <c r="I40" s="143">
        <f t="shared" si="17"/>
        <v>524026.33423616143</v>
      </c>
      <c r="J40" s="112">
        <f t="shared" si="17"/>
        <v>528349.8225771318</v>
      </c>
      <c r="K40" s="144">
        <f>SUM(B40:I40)</f>
        <v>2471954.5526118772</v>
      </c>
    </row>
    <row r="41" spans="1:13" x14ac:dyDescent="0.25">
      <c r="A41" s="142" t="s">
        <v>513</v>
      </c>
      <c r="B41" s="143">
        <f>B21*B25</f>
        <v>8734.6512652193069</v>
      </c>
      <c r="C41" s="143">
        <f t="shared" ref="C41:J41" si="18">C21*C25</f>
        <v>13890.749692950365</v>
      </c>
      <c r="D41" s="143">
        <f t="shared" si="18"/>
        <v>18763.260563947195</v>
      </c>
      <c r="E41" s="143">
        <f t="shared" si="18"/>
        <v>23657.704758149594</v>
      </c>
      <c r="F41" s="143">
        <f t="shared" si="18"/>
        <v>28461.876031497668</v>
      </c>
      <c r="G41" s="143">
        <f t="shared" si="18"/>
        <v>33274.323661966802</v>
      </c>
      <c r="H41" s="143">
        <f t="shared" si="18"/>
        <v>38055.866371924865</v>
      </c>
      <c r="I41" s="143">
        <f t="shared" si="18"/>
        <v>43035.330351572033</v>
      </c>
      <c r="J41" s="112">
        <f t="shared" si="18"/>
        <v>43390.394089534828</v>
      </c>
      <c r="K41" s="144">
        <f>SUM(B41:I41)</f>
        <v>207873.76269722782</v>
      </c>
    </row>
    <row r="42" spans="1:13" ht="15.75" thickBot="1" x14ac:dyDescent="0.3">
      <c r="A42" s="142" t="s">
        <v>514</v>
      </c>
      <c r="B42" s="143">
        <f>SUM(B40:B41)</f>
        <v>93821.713378163855</v>
      </c>
      <c r="C42" s="143">
        <f t="shared" ref="C42:J42" si="19">SUM(C40:C41)</f>
        <v>161286.66619003078</v>
      </c>
      <c r="D42" s="143">
        <f t="shared" si="19"/>
        <v>231003.33521370994</v>
      </c>
      <c r="E42" s="143">
        <f t="shared" si="19"/>
        <v>311729.39375359996</v>
      </c>
      <c r="F42" s="143">
        <f t="shared" si="19"/>
        <v>375032.29713493335</v>
      </c>
      <c r="G42" s="143">
        <f t="shared" si="19"/>
        <v>438444.2552117334</v>
      </c>
      <c r="H42" s="143">
        <f t="shared" si="19"/>
        <v>501448.98983920005</v>
      </c>
      <c r="I42" s="143">
        <f t="shared" si="19"/>
        <v>567061.66458773345</v>
      </c>
      <c r="J42" s="112">
        <f t="shared" si="19"/>
        <v>571740.21666666667</v>
      </c>
      <c r="K42" s="145">
        <f>SUM(B42:I42)</f>
        <v>2679828.3153091045</v>
      </c>
      <c r="M42" s="71"/>
    </row>
    <row r="43" spans="1:13" ht="15.75" thickBot="1" x14ac:dyDescent="0.3">
      <c r="A43" s="146" t="s">
        <v>515</v>
      </c>
      <c r="B43" s="147"/>
      <c r="C43" s="147"/>
      <c r="D43" s="147"/>
      <c r="E43" s="148"/>
    </row>
    <row r="44" spans="1:13" ht="15.75" thickBot="1" x14ac:dyDescent="0.3">
      <c r="A44" s="149" t="s">
        <v>516</v>
      </c>
      <c r="B44" s="150">
        <v>0.1</v>
      </c>
      <c r="C44" s="151">
        <f>B44</f>
        <v>0.1</v>
      </c>
      <c r="D44" s="152">
        <f>C44</f>
        <v>0.1</v>
      </c>
      <c r="E44" s="152">
        <f>D44</f>
        <v>0.1</v>
      </c>
      <c r="M44" s="89"/>
    </row>
    <row r="45" spans="1:13" ht="15.75" thickBot="1" x14ac:dyDescent="0.3">
      <c r="A45" s="149" t="s">
        <v>517</v>
      </c>
      <c r="B45" s="150">
        <v>0</v>
      </c>
      <c r="C45" s="151">
        <f>B45</f>
        <v>0</v>
      </c>
      <c r="D45" s="152">
        <f>B45</f>
        <v>0</v>
      </c>
      <c r="E45" s="152">
        <f>B45</f>
        <v>0</v>
      </c>
    </row>
    <row r="46" spans="1:13" x14ac:dyDescent="0.25">
      <c r="A46" s="153" t="s">
        <v>518</v>
      </c>
      <c r="B46" s="154">
        <v>0.5</v>
      </c>
      <c r="C46" s="152">
        <v>0.5</v>
      </c>
      <c r="D46" s="152">
        <v>0.4</v>
      </c>
      <c r="E46" s="152">
        <v>0.3</v>
      </c>
    </row>
    <row r="47" spans="1:13" x14ac:dyDescent="0.25">
      <c r="A47" s="153" t="s">
        <v>519</v>
      </c>
      <c r="B47" s="155">
        <f>B46*B28*(B44)</f>
        <v>4045.6229745176083</v>
      </c>
      <c r="C47" s="155">
        <f>C46*C28*(C44)</f>
        <v>6433.7698649566446</v>
      </c>
      <c r="D47" s="155">
        <f>D46*D28*(D44)</f>
        <v>6952.4541470022014</v>
      </c>
      <c r="E47" s="155">
        <f>E46*E28*(E44)</f>
        <v>6574.5146077005847</v>
      </c>
    </row>
    <row r="48" spans="1:13" x14ac:dyDescent="0.25">
      <c r="A48" s="153" t="s">
        <v>520</v>
      </c>
      <c r="B48" s="155">
        <f>B46*B26*(B44)</f>
        <v>1798.0546553411591</v>
      </c>
      <c r="C48" s="155">
        <f>C46*C26*(C44)</f>
        <v>3676.4399228323691</v>
      </c>
      <c r="D48" s="155">
        <f>D46*D26*(D44)</f>
        <v>4391.0236717908638</v>
      </c>
      <c r="E48" s="155">
        <f>E46*E26*(E44)</f>
        <v>4383.0097384670571</v>
      </c>
    </row>
    <row r="49" spans="1:10" x14ac:dyDescent="0.25">
      <c r="A49" s="153" t="s">
        <v>521</v>
      </c>
      <c r="B49" s="155">
        <f>B47-B48</f>
        <v>2247.5683191764492</v>
      </c>
      <c r="C49" s="155">
        <f>C47-C48</f>
        <v>2757.3299421242755</v>
      </c>
      <c r="D49" s="155">
        <f>D47-D48</f>
        <v>2561.4304752113376</v>
      </c>
      <c r="E49" s="155">
        <f>E47-E48</f>
        <v>2191.5048692335276</v>
      </c>
    </row>
    <row r="50" spans="1:10" x14ac:dyDescent="0.25">
      <c r="A50" s="153" t="s">
        <v>522</v>
      </c>
      <c r="B50" s="155">
        <f>B29*B46*B45</f>
        <v>0</v>
      </c>
      <c r="C50" s="155">
        <f>C29*C46*C45</f>
        <v>0</v>
      </c>
      <c r="D50" s="155">
        <f>D29*D46*D45</f>
        <v>0</v>
      </c>
      <c r="E50" s="155">
        <f>E29*E46*E45</f>
        <v>0</v>
      </c>
    </row>
    <row r="51" spans="1:10" x14ac:dyDescent="0.25">
      <c r="A51" s="156" t="s">
        <v>523</v>
      </c>
      <c r="B51" s="157"/>
      <c r="C51" s="157"/>
      <c r="D51" s="157"/>
      <c r="E51" s="158"/>
    </row>
    <row r="52" spans="1:10" x14ac:dyDescent="0.25">
      <c r="A52" s="159" t="s">
        <v>518</v>
      </c>
      <c r="B52" s="160">
        <v>0.5</v>
      </c>
      <c r="C52" s="160">
        <v>0.5</v>
      </c>
      <c r="D52" s="160">
        <v>0.4</v>
      </c>
      <c r="E52" s="160">
        <v>0.3</v>
      </c>
    </row>
    <row r="53" spans="1:10" x14ac:dyDescent="0.25">
      <c r="A53" s="159" t="s">
        <v>519</v>
      </c>
      <c r="B53" s="161">
        <f>B52*B40*(B44)</f>
        <v>4254.3531056472275</v>
      </c>
      <c r="C53" s="161">
        <f>C52*C40*(C44)</f>
        <v>7369.7958248540208</v>
      </c>
      <c r="D53" s="161">
        <f>D52*D40*(D44)</f>
        <v>8489.6029859905102</v>
      </c>
      <c r="E53" s="161">
        <f>E52*E40*(E44)</f>
        <v>8642.1506698635112</v>
      </c>
    </row>
    <row r="54" spans="1:10" x14ac:dyDescent="0.25">
      <c r="A54" s="159" t="s">
        <v>520</v>
      </c>
      <c r="B54" s="161">
        <f>B52*B38*(B44)</f>
        <v>1565.8382958284938</v>
      </c>
      <c r="C54" s="161">
        <f>C52*C38*(C44)</f>
        <v>3745.3060749258134</v>
      </c>
      <c r="D54" s="161">
        <f>D52*D38*(D44)</f>
        <v>5122.6216317733106</v>
      </c>
      <c r="E54" s="161">
        <f>E52*E38*(E44)</f>
        <v>5761.4337799090081</v>
      </c>
    </row>
    <row r="55" spans="1:10" x14ac:dyDescent="0.25">
      <c r="A55" s="159" t="s">
        <v>521</v>
      </c>
      <c r="B55" s="161">
        <f>B53-B54</f>
        <v>2688.5148098187337</v>
      </c>
      <c r="C55" s="161">
        <f>C53-C54</f>
        <v>3624.4897499282074</v>
      </c>
      <c r="D55" s="161">
        <f>D53-D54</f>
        <v>3366.9813542171996</v>
      </c>
      <c r="E55" s="161">
        <f>E53-E54</f>
        <v>2880.7168899545031</v>
      </c>
    </row>
    <row r="56" spans="1:10" x14ac:dyDescent="0.25">
      <c r="A56" s="162" t="s">
        <v>522</v>
      </c>
      <c r="B56" s="163">
        <f>B41*B52*(B45)</f>
        <v>0</v>
      </c>
      <c r="C56" s="163">
        <f>C41*C52*(C45)</f>
        <v>0</v>
      </c>
      <c r="D56" s="163">
        <f>D41*D52*(D45)</f>
        <v>0</v>
      </c>
      <c r="E56" s="163">
        <f>E41*E52*(E45)</f>
        <v>0</v>
      </c>
    </row>
    <row r="57" spans="1:10" ht="15.75" thickBot="1" x14ac:dyDescent="0.3">
      <c r="A57" s="164" t="s">
        <v>524</v>
      </c>
      <c r="B57" s="165"/>
      <c r="C57" s="166"/>
      <c r="D57" s="166"/>
      <c r="E57" s="166"/>
      <c r="F57" s="166"/>
      <c r="G57" s="166"/>
      <c r="H57" s="166"/>
      <c r="I57" s="167"/>
    </row>
    <row r="58" spans="1:10" ht="15.75" thickBot="1" x14ac:dyDescent="0.3">
      <c r="A58" s="168" t="s">
        <v>525</v>
      </c>
      <c r="B58" s="169">
        <v>0.75</v>
      </c>
      <c r="C58" s="170">
        <f>$B$58</f>
        <v>0.75</v>
      </c>
      <c r="D58" s="171">
        <f t="shared" ref="D58:I58" si="20">$B$58</f>
        <v>0.75</v>
      </c>
      <c r="E58" s="171">
        <f t="shared" si="20"/>
        <v>0.75</v>
      </c>
      <c r="F58" s="171">
        <f t="shared" si="20"/>
        <v>0.75</v>
      </c>
      <c r="G58" s="171">
        <f t="shared" si="20"/>
        <v>0.75</v>
      </c>
      <c r="H58" s="171">
        <f t="shared" si="20"/>
        <v>0.75</v>
      </c>
      <c r="I58" s="171">
        <f t="shared" si="20"/>
        <v>0.75</v>
      </c>
    </row>
    <row r="59" spans="1:10" ht="15.75" thickBot="1" x14ac:dyDescent="0.3">
      <c r="A59" s="172" t="s">
        <v>526</v>
      </c>
      <c r="B59" s="169">
        <v>0.75</v>
      </c>
      <c r="C59" s="173">
        <f t="shared" ref="C59:I59" si="21">$B$59</f>
        <v>0.75</v>
      </c>
      <c r="D59" s="174">
        <f t="shared" si="21"/>
        <v>0.75</v>
      </c>
      <c r="E59" s="174">
        <f t="shared" si="21"/>
        <v>0.75</v>
      </c>
      <c r="F59" s="174">
        <f t="shared" si="21"/>
        <v>0.75</v>
      </c>
      <c r="G59" s="174">
        <f t="shared" si="21"/>
        <v>0.75</v>
      </c>
      <c r="H59" s="174">
        <f t="shared" si="21"/>
        <v>0.75</v>
      </c>
      <c r="I59" s="174">
        <f t="shared" si="21"/>
        <v>0.75</v>
      </c>
    </row>
    <row r="60" spans="1:10" x14ac:dyDescent="0.25">
      <c r="A60" s="175" t="s">
        <v>527</v>
      </c>
      <c r="B60" s="176">
        <v>0.25</v>
      </c>
      <c r="C60" s="177">
        <v>0.25</v>
      </c>
      <c r="D60" s="177">
        <v>0.25</v>
      </c>
      <c r="E60" s="177">
        <v>0.25</v>
      </c>
      <c r="F60" s="177">
        <v>0.25</v>
      </c>
      <c r="G60" s="177">
        <v>0.25</v>
      </c>
      <c r="H60" s="177">
        <v>0.25</v>
      </c>
      <c r="I60" s="177">
        <v>0.25</v>
      </c>
    </row>
    <row r="61" spans="1:10" x14ac:dyDescent="0.25">
      <c r="A61" s="178" t="s">
        <v>528</v>
      </c>
      <c r="B61" s="179">
        <f>B60*B27*B58</f>
        <v>8428.3811969116832</v>
      </c>
      <c r="C61" s="180">
        <f t="shared" ref="C61:I61" si="22">C60*C27*C58</f>
        <v>10339.987282966036</v>
      </c>
      <c r="D61" s="180">
        <f t="shared" si="22"/>
        <v>12006.705352553145</v>
      </c>
      <c r="E61" s="180">
        <f t="shared" si="22"/>
        <v>13696.905432709553</v>
      </c>
      <c r="F61" s="180">
        <f t="shared" si="22"/>
        <v>15341.899681757684</v>
      </c>
      <c r="G61" s="180">
        <f t="shared" si="22"/>
        <v>16998.140869133978</v>
      </c>
      <c r="H61" s="180">
        <f t="shared" si="22"/>
        <v>18643.214481878902</v>
      </c>
      <c r="I61" s="180">
        <f t="shared" si="22"/>
        <v>20385.661803901483</v>
      </c>
      <c r="J61" s="181">
        <f>SUM(B61:I61)</f>
        <v>115840.89610181245</v>
      </c>
    </row>
    <row r="62" spans="1:10" x14ac:dyDescent="0.25">
      <c r="A62" s="178" t="s">
        <v>529</v>
      </c>
      <c r="B62" s="177">
        <v>1</v>
      </c>
      <c r="C62" s="177">
        <v>1</v>
      </c>
      <c r="D62" s="177">
        <v>0.25</v>
      </c>
      <c r="E62" s="177">
        <v>0.25</v>
      </c>
      <c r="F62" s="177">
        <v>0.25</v>
      </c>
      <c r="G62" s="177">
        <v>0.25</v>
      </c>
      <c r="H62" s="177">
        <v>0.25</v>
      </c>
      <c r="I62" s="177">
        <v>0.25</v>
      </c>
      <c r="J62" s="182"/>
    </row>
    <row r="63" spans="1:10" x14ac:dyDescent="0.25">
      <c r="A63" s="183" t="s">
        <v>530</v>
      </c>
      <c r="B63" s="184">
        <f>B62*B29*B59</f>
        <v>4055.7372670858817</v>
      </c>
      <c r="C63" s="184">
        <f t="shared" ref="C63:I63" si="23">C62*C29*C59</f>
        <v>6449.8546635503353</v>
      </c>
      <c r="D63" s="184">
        <f t="shared" si="23"/>
        <v>2178.073652014682</v>
      </c>
      <c r="E63" s="184">
        <f t="shared" si="23"/>
        <v>2746.2296984713457</v>
      </c>
      <c r="F63" s="184">
        <f t="shared" si="23"/>
        <v>3303.9066989363441</v>
      </c>
      <c r="G63" s="184">
        <f t="shared" si="23"/>
        <v>3862.5444340944732</v>
      </c>
      <c r="H63" s="184">
        <f t="shared" si="23"/>
        <v>4417.5946694759323</v>
      </c>
      <c r="I63" s="184">
        <f t="shared" si="23"/>
        <v>4995.6199683445684</v>
      </c>
      <c r="J63" s="181">
        <f>SUM(B63:I63)</f>
        <v>32009.561051973564</v>
      </c>
    </row>
    <row r="64" spans="1:10" x14ac:dyDescent="0.25">
      <c r="A64" s="185" t="s">
        <v>531</v>
      </c>
      <c r="B64" s="186"/>
      <c r="C64" s="186"/>
      <c r="D64" s="186"/>
      <c r="E64" s="186"/>
      <c r="F64" s="186"/>
      <c r="G64" s="186"/>
      <c r="H64" s="186"/>
      <c r="I64" s="187"/>
      <c r="J64" s="182"/>
    </row>
    <row r="65" spans="1:13" x14ac:dyDescent="0.25">
      <c r="A65" s="188" t="s">
        <v>527</v>
      </c>
      <c r="B65" s="189">
        <f t="shared" ref="B65:I65" si="24">B60</f>
        <v>0.25</v>
      </c>
      <c r="C65" s="189">
        <f t="shared" si="24"/>
        <v>0.25</v>
      </c>
      <c r="D65" s="189">
        <f t="shared" si="24"/>
        <v>0.25</v>
      </c>
      <c r="E65" s="189">
        <f t="shared" si="24"/>
        <v>0.25</v>
      </c>
      <c r="F65" s="189">
        <f t="shared" si="24"/>
        <v>0.25</v>
      </c>
      <c r="G65" s="189">
        <f t="shared" si="24"/>
        <v>0.25</v>
      </c>
      <c r="H65" s="189">
        <f t="shared" si="24"/>
        <v>0.25</v>
      </c>
      <c r="I65" s="189">
        <f t="shared" si="24"/>
        <v>0.25</v>
      </c>
      <c r="J65" s="182"/>
    </row>
    <row r="66" spans="1:13" x14ac:dyDescent="0.25">
      <c r="A66" s="190" t="s">
        <v>528</v>
      </c>
      <c r="B66" s="191">
        <f>B65*B39*B58</f>
        <v>10081.930536820253</v>
      </c>
      <c r="C66" s="191">
        <f t="shared" ref="C66:I66" si="25">C65*C39*C58</f>
        <v>13591.836562230776</v>
      </c>
      <c r="D66" s="191">
        <f t="shared" si="25"/>
        <v>15782.725097893124</v>
      </c>
      <c r="E66" s="191">
        <f t="shared" si="25"/>
        <v>18004.480562215649</v>
      </c>
      <c r="F66" s="191">
        <f t="shared" si="25"/>
        <v>20166.813296967161</v>
      </c>
      <c r="G66" s="191">
        <f t="shared" si="25"/>
        <v>22343.930048700364</v>
      </c>
      <c r="H66" s="191">
        <f t="shared" si="25"/>
        <v>24506.367106442438</v>
      </c>
      <c r="I66" s="191">
        <f t="shared" si="25"/>
        <v>26796.80118253098</v>
      </c>
      <c r="J66" s="182"/>
    </row>
    <row r="67" spans="1:13" x14ac:dyDescent="0.25">
      <c r="A67" s="190" t="s">
        <v>529</v>
      </c>
      <c r="B67" s="192">
        <f>B62</f>
        <v>1</v>
      </c>
      <c r="C67" s="192">
        <f t="shared" ref="C67:I67" si="26">C62</f>
        <v>1</v>
      </c>
      <c r="D67" s="192">
        <f t="shared" si="26"/>
        <v>0.25</v>
      </c>
      <c r="E67" s="192">
        <f t="shared" si="26"/>
        <v>0.25</v>
      </c>
      <c r="F67" s="192">
        <f t="shared" si="26"/>
        <v>0.25</v>
      </c>
      <c r="G67" s="192">
        <f t="shared" si="26"/>
        <v>0.25</v>
      </c>
      <c r="H67" s="192">
        <f t="shared" si="26"/>
        <v>0.25</v>
      </c>
      <c r="I67" s="192">
        <f t="shared" si="26"/>
        <v>0.25</v>
      </c>
      <c r="J67" s="182"/>
      <c r="L67" s="71">
        <v>0</v>
      </c>
    </row>
    <row r="68" spans="1:13" x14ac:dyDescent="0.25">
      <c r="A68" s="190" t="s">
        <v>530</v>
      </c>
      <c r="B68" s="191">
        <f>B41*B67*B59</f>
        <v>6550.9884489144806</v>
      </c>
      <c r="C68" s="191">
        <f t="shared" ref="C68:I68" si="27">C41*C67*C59</f>
        <v>10418.062269712773</v>
      </c>
      <c r="D68" s="191">
        <f t="shared" si="27"/>
        <v>3518.111355740099</v>
      </c>
      <c r="E68" s="191">
        <f t="shared" si="27"/>
        <v>4435.8196421530483</v>
      </c>
      <c r="F68" s="191">
        <f t="shared" si="27"/>
        <v>5336.6017559058128</v>
      </c>
      <c r="G68" s="191">
        <f t="shared" si="27"/>
        <v>6238.9356866187754</v>
      </c>
      <c r="H68" s="191">
        <f t="shared" si="27"/>
        <v>7135.4749447359118</v>
      </c>
      <c r="I68" s="191">
        <f t="shared" si="27"/>
        <v>8069.1244409197561</v>
      </c>
      <c r="J68" s="182"/>
      <c r="L68" s="71">
        <v>0.25</v>
      </c>
    </row>
    <row r="69" spans="1:13" ht="15.75" thickBot="1" x14ac:dyDescent="0.3">
      <c r="A69" s="193" t="s">
        <v>532</v>
      </c>
      <c r="B69" s="194" t="s">
        <v>533</v>
      </c>
      <c r="C69" s="194" t="s">
        <v>534</v>
      </c>
      <c r="D69" s="194" t="s">
        <v>535</v>
      </c>
      <c r="E69" s="194" t="s">
        <v>536</v>
      </c>
      <c r="F69" s="194" t="s">
        <v>537</v>
      </c>
      <c r="G69" s="194" t="s">
        <v>538</v>
      </c>
      <c r="J69" s="182"/>
      <c r="L69" s="71">
        <v>0.5</v>
      </c>
    </row>
    <row r="70" spans="1:13" ht="15.75" thickBot="1" x14ac:dyDescent="0.3">
      <c r="A70" s="195" t="s">
        <v>539</v>
      </c>
      <c r="B70" s="196">
        <v>662900</v>
      </c>
      <c r="C70" s="197">
        <f>IF(((B70-(J26*D70)-E70)&gt;0), (B70-(J26*D70)-E70), 0)</f>
        <v>304288.52004310273</v>
      </c>
      <c r="D70" s="198">
        <v>1</v>
      </c>
      <c r="E70" s="199">
        <f>B70*0.1</f>
        <v>66290</v>
      </c>
      <c r="F70" s="200">
        <f>IF((E70-(J29*G70)&gt;0), (E70-(J29*G70)), 0)</f>
        <v>39426.872440733758</v>
      </c>
      <c r="G70" s="124">
        <v>1</v>
      </c>
      <c r="I70" s="16"/>
      <c r="J70" s="182"/>
      <c r="L70" s="71">
        <v>0.75</v>
      </c>
      <c r="M70" s="201"/>
    </row>
    <row r="71" spans="1:13" ht="15.75" thickBot="1" x14ac:dyDescent="0.3">
      <c r="A71" s="195" t="s">
        <v>540</v>
      </c>
      <c r="B71" s="202">
        <v>208000</v>
      </c>
      <c r="C71" s="197">
        <f>IF(((B71-(J27*D71)-E71)&gt;0), (B71-(J27*D71)-E71), 0)</f>
        <v>98379.445016163547</v>
      </c>
      <c r="D71" s="124">
        <v>1</v>
      </c>
      <c r="E71" s="203"/>
      <c r="F71" s="203"/>
      <c r="G71" s="21"/>
      <c r="J71" s="182"/>
      <c r="L71" s="71">
        <v>1</v>
      </c>
    </row>
    <row r="72" spans="1:13" x14ac:dyDescent="0.25">
      <c r="A72" s="204" t="s">
        <v>541</v>
      </c>
      <c r="B72" s="205">
        <f>C70/K26</f>
        <v>0.23267257488976761</v>
      </c>
      <c r="C72" s="206">
        <f>$B$72</f>
        <v>0.23267257488976761</v>
      </c>
      <c r="D72" s="205">
        <f>$B$72</f>
        <v>0.23267257488976761</v>
      </c>
      <c r="E72" s="206">
        <f>$B$72</f>
        <v>0.23267257488976761</v>
      </c>
      <c r="F72" s="206">
        <f>$B$72</f>
        <v>0.23267257488976761</v>
      </c>
      <c r="G72" s="206">
        <f>$B$72</f>
        <v>0.23267257488976761</v>
      </c>
      <c r="H72" s="206">
        <f>G72</f>
        <v>0.23267257488976761</v>
      </c>
      <c r="I72" s="206">
        <f>H72</f>
        <v>0.23267257488976761</v>
      </c>
      <c r="J72" s="182"/>
      <c r="L72" s="71">
        <v>2</v>
      </c>
    </row>
    <row r="73" spans="1:13" x14ac:dyDescent="0.25">
      <c r="A73" s="204" t="s">
        <v>542</v>
      </c>
      <c r="B73" s="206">
        <f>C71/K27</f>
        <v>0.15923690649214564</v>
      </c>
      <c r="C73" s="206">
        <f>$B$73</f>
        <v>0.15923690649214564</v>
      </c>
      <c r="D73" s="206">
        <f>$B$73</f>
        <v>0.15923690649214564</v>
      </c>
      <c r="E73" s="206">
        <f>$B$73</f>
        <v>0.15923690649214564</v>
      </c>
      <c r="F73" s="206">
        <f>$B$73</f>
        <v>0.15923690649214564</v>
      </c>
      <c r="G73" s="206">
        <f>$B$73</f>
        <v>0.15923690649214564</v>
      </c>
      <c r="H73" s="205">
        <f>G73</f>
        <v>0.15923690649214564</v>
      </c>
      <c r="I73" s="205">
        <f>H73</f>
        <v>0.15923690649214564</v>
      </c>
      <c r="J73" s="182"/>
    </row>
    <row r="74" spans="1:13" x14ac:dyDescent="0.25">
      <c r="A74" s="204" t="s">
        <v>543</v>
      </c>
      <c r="B74" s="207">
        <f>B72*B26</f>
        <v>8367.160129015223</v>
      </c>
      <c r="C74" s="207">
        <f t="shared" ref="C74:G75" si="28">C72*C26</f>
        <v>17108.134865458916</v>
      </c>
      <c r="D74" s="207">
        <f t="shared" si="28"/>
        <v>25541.769602937551</v>
      </c>
      <c r="E74" s="207">
        <f t="shared" si="28"/>
        <v>33993.538720535238</v>
      </c>
      <c r="F74" s="207">
        <f t="shared" si="28"/>
        <v>42306.83617961561</v>
      </c>
      <c r="G74" s="207">
        <f t="shared" si="28"/>
        <v>50624.015415813054</v>
      </c>
      <c r="H74" s="207">
        <f>H72*H26</f>
        <v>58888.442228454369</v>
      </c>
      <c r="I74" s="207">
        <f>I72*I26</f>
        <v>67458.6229012728</v>
      </c>
      <c r="J74" s="208">
        <f>SUM(B74:I74)</f>
        <v>304288.52004310273</v>
      </c>
    </row>
    <row r="75" spans="1:13" x14ac:dyDescent="0.25">
      <c r="A75" s="204" t="s">
        <v>544</v>
      </c>
      <c r="B75" s="207">
        <f>B73*B27</f>
        <v>7157.9165255081825</v>
      </c>
      <c r="C75" s="207">
        <f t="shared" si="28"/>
        <v>8781.3738032407346</v>
      </c>
      <c r="D75" s="207">
        <f t="shared" si="28"/>
        <v>10196.856626683997</v>
      </c>
      <c r="E75" s="207">
        <f t="shared" si="28"/>
        <v>11632.281864640707</v>
      </c>
      <c r="F75" s="207">
        <f t="shared" si="28"/>
        <v>13029.315440191613</v>
      </c>
      <c r="G75" s="207">
        <f t="shared" si="28"/>
        <v>14435.900629965901</v>
      </c>
      <c r="H75" s="207">
        <f>H73*H27</f>
        <v>15833.001606207818</v>
      </c>
      <c r="I75" s="207">
        <f>I73*I27</f>
        <v>17312.798519724616</v>
      </c>
      <c r="J75" s="209"/>
    </row>
    <row r="76" spans="1:13" x14ac:dyDescent="0.25">
      <c r="A76" s="204" t="s">
        <v>545</v>
      </c>
      <c r="B76" s="206">
        <f>$F$70/$K$29</f>
        <v>0.30635831401890484</v>
      </c>
      <c r="C76" s="206">
        <f t="shared" ref="C76:I76" si="29">$F$70/$K$29</f>
        <v>0.30635831401890484</v>
      </c>
      <c r="D76" s="206">
        <f t="shared" si="29"/>
        <v>0.30635831401890484</v>
      </c>
      <c r="E76" s="206">
        <f t="shared" si="29"/>
        <v>0.30635831401890484</v>
      </c>
      <c r="F76" s="206">
        <f t="shared" si="29"/>
        <v>0.30635831401890484</v>
      </c>
      <c r="G76" s="206">
        <f t="shared" si="29"/>
        <v>0.30635831401890484</v>
      </c>
      <c r="H76" s="206">
        <f t="shared" si="29"/>
        <v>0.30635831401890484</v>
      </c>
      <c r="I76" s="206">
        <f t="shared" si="29"/>
        <v>0.30635831401890484</v>
      </c>
      <c r="J76" s="208"/>
    </row>
    <row r="77" spans="1:13" x14ac:dyDescent="0.25">
      <c r="A77" s="204" t="s">
        <v>546</v>
      </c>
      <c r="B77" s="207">
        <f t="shared" ref="B77:I77" si="30">B76*B29</f>
        <v>1656.6784416640953</v>
      </c>
      <c r="C77" s="207">
        <f t="shared" si="30"/>
        <v>2634.622133856335</v>
      </c>
      <c r="D77" s="207">
        <f t="shared" si="30"/>
        <v>3558.7785164811562</v>
      </c>
      <c r="E77" s="207">
        <f t="shared" si="30"/>
        <v>4487.0949351057434</v>
      </c>
      <c r="F77" s="207">
        <f t="shared" si="30"/>
        <v>5398.2895251301534</v>
      </c>
      <c r="G77" s="207">
        <f t="shared" si="30"/>
        <v>6311.0538701455353</v>
      </c>
      <c r="H77" s="207">
        <f t="shared" si="30"/>
        <v>7217.9565597842548</v>
      </c>
      <c r="I77" s="207">
        <f t="shared" si="30"/>
        <v>8162.3984585664894</v>
      </c>
      <c r="J77" s="208">
        <f>SUM(B77:I77)</f>
        <v>39426.872440733765</v>
      </c>
    </row>
    <row r="78" spans="1:13" ht="15.75" thickBot="1" x14ac:dyDescent="0.3">
      <c r="A78" s="210" t="s">
        <v>547</v>
      </c>
      <c r="B78" s="211" t="s">
        <v>533</v>
      </c>
      <c r="C78" s="211" t="s">
        <v>534</v>
      </c>
      <c r="D78" s="211" t="s">
        <v>535</v>
      </c>
      <c r="E78" s="211" t="s">
        <v>536</v>
      </c>
      <c r="F78" s="211" t="s">
        <v>537</v>
      </c>
      <c r="G78" s="211" t="s">
        <v>538</v>
      </c>
      <c r="J78" s="212"/>
    </row>
    <row r="79" spans="1:13" ht="15.75" thickBot="1" x14ac:dyDescent="0.3">
      <c r="A79" s="195" t="s">
        <v>539</v>
      </c>
      <c r="B79" s="196">
        <v>776600</v>
      </c>
      <c r="C79" s="197">
        <f>IF((B79-(J38*D79)-E79)&gt;0, (B79-(I38*D79)-E79), 0)</f>
        <v>379957.93873733713</v>
      </c>
      <c r="D79" s="198">
        <v>1</v>
      </c>
      <c r="E79" s="199">
        <f>B79*0.02</f>
        <v>15532</v>
      </c>
      <c r="F79" s="200">
        <f>IF((E79-(J41/2))&gt;0,(E79-(J41/2)),0)</f>
        <v>0</v>
      </c>
      <c r="G79" s="124">
        <v>1</v>
      </c>
      <c r="J79" s="91"/>
      <c r="M79" s="201"/>
    </row>
    <row r="80" spans="1:13" ht="15.75" thickBot="1" x14ac:dyDescent="0.3">
      <c r="A80" s="195" t="s">
        <v>540</v>
      </c>
      <c r="B80" s="202">
        <v>45000</v>
      </c>
      <c r="C80" s="197">
        <f>IF((B80-(J39*D80)-E80)&gt;0, (B80-(I39*D80)-E80), 0)</f>
        <v>0</v>
      </c>
      <c r="D80" s="124">
        <v>1</v>
      </c>
      <c r="E80" s="203"/>
      <c r="F80" s="203"/>
      <c r="M80" s="201"/>
    </row>
    <row r="81" spans="1:13" x14ac:dyDescent="0.25">
      <c r="A81" s="213" t="s">
        <v>541</v>
      </c>
      <c r="B81" s="214">
        <f>C79/K38</f>
        <v>0.22818170088307158</v>
      </c>
      <c r="C81" s="215">
        <f>$B$81</f>
        <v>0.22818170088307158</v>
      </c>
      <c r="D81" s="216">
        <f t="shared" ref="D81:I81" si="31">$B$81</f>
        <v>0.22818170088307158</v>
      </c>
      <c r="E81" s="215">
        <f t="shared" si="31"/>
        <v>0.22818170088307158</v>
      </c>
      <c r="F81" s="215">
        <f t="shared" si="31"/>
        <v>0.22818170088307158</v>
      </c>
      <c r="G81" s="215">
        <f t="shared" si="31"/>
        <v>0.22818170088307158</v>
      </c>
      <c r="H81" s="215">
        <f t="shared" si="31"/>
        <v>0.22818170088307158</v>
      </c>
      <c r="I81" s="215">
        <f t="shared" si="31"/>
        <v>0.22818170088307158</v>
      </c>
    </row>
    <row r="82" spans="1:13" x14ac:dyDescent="0.25">
      <c r="A82" s="213" t="s">
        <v>542</v>
      </c>
      <c r="B82" s="217">
        <f>C80/K39</f>
        <v>0</v>
      </c>
      <c r="C82" s="215">
        <f>$B$82</f>
        <v>0</v>
      </c>
      <c r="D82" s="215">
        <f t="shared" ref="D82:I82" si="32">$B$82</f>
        <v>0</v>
      </c>
      <c r="E82" s="215">
        <f t="shared" si="32"/>
        <v>0</v>
      </c>
      <c r="F82" s="215">
        <f t="shared" si="32"/>
        <v>0</v>
      </c>
      <c r="G82" s="215">
        <f t="shared" si="32"/>
        <v>0</v>
      </c>
      <c r="H82" s="215">
        <f t="shared" si="32"/>
        <v>0</v>
      </c>
      <c r="I82" s="215">
        <f t="shared" si="32"/>
        <v>0</v>
      </c>
    </row>
    <row r="83" spans="1:13" x14ac:dyDescent="0.25">
      <c r="A83" s="213" t="s">
        <v>543</v>
      </c>
      <c r="B83" s="218">
        <f>B81*B38</f>
        <v>7145.9129129999174</v>
      </c>
      <c r="C83" s="218">
        <f t="shared" ref="C83:I84" si="33">C81*C38</f>
        <v>17092.206210085456</v>
      </c>
      <c r="D83" s="218">
        <f t="shared" si="33"/>
        <v>29222.212922961236</v>
      </c>
      <c r="E83" s="218">
        <f t="shared" si="33"/>
        <v>43821.791980827387</v>
      </c>
      <c r="F83" s="218">
        <f t="shared" si="33"/>
        <v>54538.64011251332</v>
      </c>
      <c r="G83" s="218">
        <f t="shared" si="33"/>
        <v>65260.492325437714</v>
      </c>
      <c r="H83" s="218">
        <f t="shared" si="33"/>
        <v>75914.340269946086</v>
      </c>
      <c r="I83" s="218">
        <f t="shared" si="33"/>
        <v>86962.342002566016</v>
      </c>
      <c r="J83" s="72"/>
    </row>
    <row r="84" spans="1:13" x14ac:dyDescent="0.25">
      <c r="A84" s="213" t="s">
        <v>544</v>
      </c>
      <c r="B84" s="218">
        <f>B82*B39</f>
        <v>0</v>
      </c>
      <c r="C84" s="218">
        <f t="shared" si="33"/>
        <v>0</v>
      </c>
      <c r="D84" s="218">
        <f t="shared" si="33"/>
        <v>0</v>
      </c>
      <c r="E84" s="218">
        <f t="shared" si="33"/>
        <v>0</v>
      </c>
      <c r="F84" s="218">
        <f t="shared" si="33"/>
        <v>0</v>
      </c>
      <c r="G84" s="218">
        <f t="shared" si="33"/>
        <v>0</v>
      </c>
      <c r="H84" s="218">
        <f t="shared" si="33"/>
        <v>0</v>
      </c>
      <c r="I84" s="218">
        <f t="shared" si="33"/>
        <v>0</v>
      </c>
      <c r="J84" s="72"/>
    </row>
    <row r="85" spans="1:13" x14ac:dyDescent="0.25">
      <c r="A85" s="213" t="s">
        <v>545</v>
      </c>
      <c r="B85" s="217">
        <f>F79/K41</f>
        <v>0</v>
      </c>
      <c r="C85" s="217">
        <f>$B$85</f>
        <v>0</v>
      </c>
      <c r="D85" s="217">
        <f t="shared" ref="D85:I85" si="34">$B$85</f>
        <v>0</v>
      </c>
      <c r="E85" s="217">
        <f t="shared" si="34"/>
        <v>0</v>
      </c>
      <c r="F85" s="217">
        <f t="shared" si="34"/>
        <v>0</v>
      </c>
      <c r="G85" s="217">
        <f t="shared" si="34"/>
        <v>0</v>
      </c>
      <c r="H85" s="217">
        <f t="shared" si="34"/>
        <v>0</v>
      </c>
      <c r="I85" s="217">
        <f t="shared" si="34"/>
        <v>0</v>
      </c>
      <c r="J85" s="72"/>
    </row>
    <row r="86" spans="1:13" x14ac:dyDescent="0.25">
      <c r="A86" s="219" t="s">
        <v>546</v>
      </c>
      <c r="B86" s="220">
        <f>B85*B41</f>
        <v>0</v>
      </c>
      <c r="C86" s="220">
        <f t="shared" ref="C86:I86" si="35">C85*C41</f>
        <v>0</v>
      </c>
      <c r="D86" s="220">
        <f t="shared" si="35"/>
        <v>0</v>
      </c>
      <c r="E86" s="220">
        <f t="shared" si="35"/>
        <v>0</v>
      </c>
      <c r="F86" s="220">
        <f t="shared" si="35"/>
        <v>0</v>
      </c>
      <c r="G86" s="220">
        <f t="shared" si="35"/>
        <v>0</v>
      </c>
      <c r="H86" s="220">
        <f t="shared" si="35"/>
        <v>0</v>
      </c>
      <c r="I86" s="220">
        <f t="shared" si="35"/>
        <v>0</v>
      </c>
      <c r="J86" s="72"/>
      <c r="K86" s="72"/>
    </row>
    <row r="87" spans="1:13" x14ac:dyDescent="0.25">
      <c r="A87" s="221" t="s">
        <v>548</v>
      </c>
      <c r="B87" s="222"/>
      <c r="C87" s="222"/>
      <c r="D87" s="222"/>
      <c r="E87" s="222"/>
      <c r="F87" s="222"/>
      <c r="G87" s="222"/>
      <c r="H87" s="222"/>
      <c r="I87" s="223"/>
    </row>
    <row r="88" spans="1:13" x14ac:dyDescent="0.25">
      <c r="A88" s="142" t="s">
        <v>549</v>
      </c>
      <c r="B88" s="143">
        <f>B26-B48-B74</f>
        <v>25795.878322466793</v>
      </c>
      <c r="C88" s="143">
        <f t="shared" ref="C88:I88" si="36">C26-C48-C74</f>
        <v>52744.223668356084</v>
      </c>
      <c r="D88" s="143">
        <f t="shared" si="36"/>
        <v>79842.798520043158</v>
      </c>
      <c r="E88" s="143">
        <f t="shared" si="36"/>
        <v>107723.77615656628</v>
      </c>
      <c r="F88" s="143">
        <f t="shared" si="36"/>
        <v>139523.08597454955</v>
      </c>
      <c r="G88" s="143">
        <f t="shared" si="36"/>
        <v>166952.18770910185</v>
      </c>
      <c r="H88" s="143">
        <f t="shared" si="36"/>
        <v>194207.31801038649</v>
      </c>
      <c r="I88" s="143">
        <f t="shared" si="36"/>
        <v>222470.78942088166</v>
      </c>
    </row>
    <row r="89" spans="1:13" x14ac:dyDescent="0.25">
      <c r="A89" s="142" t="s">
        <v>550</v>
      </c>
      <c r="B89" s="143">
        <f>B27-B49-B61-B75</f>
        <v>27117.50034193266</v>
      </c>
      <c r="C89" s="143">
        <f t="shared" ref="C89:J89" si="37">C27-C49-C61-C75</f>
        <v>33267.907814154474</v>
      </c>
      <c r="D89" s="143">
        <f t="shared" si="37"/>
        <v>39270.769425834951</v>
      </c>
      <c r="E89" s="143">
        <f t="shared" si="37"/>
        <v>45529.470141200494</v>
      </c>
      <c r="F89" s="143">
        <f>F27-F61-F75</f>
        <v>53452.249847425017</v>
      </c>
      <c r="G89" s="143">
        <f t="shared" ref="G89:I89" si="38">G27-G61-G75</f>
        <v>59222.709802948004</v>
      </c>
      <c r="H89" s="143">
        <f t="shared" si="38"/>
        <v>64954.261148600737</v>
      </c>
      <c r="I89" s="143">
        <f t="shared" si="38"/>
        <v>71025.069297181806</v>
      </c>
      <c r="J89" s="143">
        <f t="shared" si="37"/>
        <v>-6220.3411179760005</v>
      </c>
    </row>
    <row r="90" spans="1:13" x14ac:dyDescent="0.25">
      <c r="A90" s="142" t="s">
        <v>551</v>
      </c>
      <c r="B90" s="143">
        <f>SUM(B88:B89)</f>
        <v>52913.378664399454</v>
      </c>
      <c r="C90" s="143">
        <f t="shared" ref="C90:I90" si="39">SUM(C88:C89)</f>
        <v>86012.131482510566</v>
      </c>
      <c r="D90" s="143">
        <f t="shared" si="39"/>
        <v>119113.56794587811</v>
      </c>
      <c r="E90" s="143">
        <f t="shared" si="39"/>
        <v>153253.24629776677</v>
      </c>
      <c r="F90" s="143">
        <f t="shared" si="39"/>
        <v>192975.33582197456</v>
      </c>
      <c r="G90" s="143">
        <f t="shared" si="39"/>
        <v>226174.89751204985</v>
      </c>
      <c r="H90" s="143">
        <f t="shared" si="39"/>
        <v>259161.57915898721</v>
      </c>
      <c r="I90" s="143">
        <f t="shared" si="39"/>
        <v>293495.85871806345</v>
      </c>
    </row>
    <row r="91" spans="1:13" ht="15.75" thickBot="1" x14ac:dyDescent="0.3">
      <c r="A91" s="142" t="s">
        <v>552</v>
      </c>
      <c r="B91" s="224">
        <f>IF((B29-B50-B63-B77&gt;0), (B29-B50-B63-B77), 0)</f>
        <v>0</v>
      </c>
      <c r="C91" s="224">
        <f>IF((C29-C50-C63-C77&gt;0), (C29-C50-C63-C77), 0)</f>
        <v>0</v>
      </c>
      <c r="D91" s="224">
        <f>IF((D29-D50-D63-D77&gt;0), (D29-D50-D63-D77), 0)</f>
        <v>5879.5406422491324</v>
      </c>
      <c r="E91" s="224">
        <f>IF((E29-E50-E63-E77&gt;0), (E29-E50-E63-E77), 0)</f>
        <v>7413.2337582700884</v>
      </c>
      <c r="F91" s="224">
        <f>IF((F29-F63-F77&gt;0), (F29-F63-F77), 0)</f>
        <v>8918.6395035940041</v>
      </c>
      <c r="G91" s="224">
        <f>IF((G29-G63-G77&gt;0), (G29-G63-G77), 0)</f>
        <v>10426.638677597182</v>
      </c>
      <c r="H91" s="224">
        <f>IF((H29-H63-H77&gt;0), (H29-H63-H77), 0)</f>
        <v>11924.95367461145</v>
      </c>
      <c r="I91" s="224">
        <f>IF((I29-I63-I77&gt;0), (I29-I63-I77), 0)</f>
        <v>13485.288070926637</v>
      </c>
    </row>
    <row r="92" spans="1:13" ht="15.75" thickBot="1" x14ac:dyDescent="0.3">
      <c r="A92" s="225" t="s">
        <v>553</v>
      </c>
      <c r="B92" s="124">
        <v>0.1</v>
      </c>
      <c r="C92" s="226">
        <f t="shared" ref="C92:I92" si="40">$B$92</f>
        <v>0.1</v>
      </c>
      <c r="D92" s="227">
        <f t="shared" si="40"/>
        <v>0.1</v>
      </c>
      <c r="E92" s="227">
        <f t="shared" si="40"/>
        <v>0.1</v>
      </c>
      <c r="F92" s="227">
        <f t="shared" si="40"/>
        <v>0.1</v>
      </c>
      <c r="G92" s="227">
        <f t="shared" si="40"/>
        <v>0.1</v>
      </c>
      <c r="H92" s="227">
        <f t="shared" si="40"/>
        <v>0.1</v>
      </c>
      <c r="I92" s="227">
        <f t="shared" si="40"/>
        <v>0.1</v>
      </c>
      <c r="M92" s="89"/>
    </row>
    <row r="93" spans="1:13" ht="15.75" thickBot="1" x14ac:dyDescent="0.3">
      <c r="A93" s="142" t="s">
        <v>554</v>
      </c>
      <c r="B93" s="228">
        <f>1-B92</f>
        <v>0.9</v>
      </c>
      <c r="C93" s="227">
        <f t="shared" ref="C93:I93" si="41">$B$93</f>
        <v>0.9</v>
      </c>
      <c r="D93" s="227">
        <f t="shared" si="41"/>
        <v>0.9</v>
      </c>
      <c r="E93" s="227">
        <f t="shared" si="41"/>
        <v>0.9</v>
      </c>
      <c r="F93" s="227">
        <f t="shared" si="41"/>
        <v>0.9</v>
      </c>
      <c r="G93" s="227">
        <f t="shared" si="41"/>
        <v>0.9</v>
      </c>
      <c r="H93" s="227">
        <f t="shared" si="41"/>
        <v>0.9</v>
      </c>
      <c r="I93" s="227">
        <f t="shared" si="41"/>
        <v>0.9</v>
      </c>
    </row>
    <row r="94" spans="1:13" ht="15.75" thickBot="1" x14ac:dyDescent="0.3">
      <c r="A94" s="225" t="s">
        <v>555</v>
      </c>
      <c r="B94" s="124">
        <v>0.25</v>
      </c>
      <c r="C94" s="226">
        <f t="shared" ref="C94:I94" si="42">$B$94</f>
        <v>0.25</v>
      </c>
      <c r="D94" s="227">
        <f t="shared" si="42"/>
        <v>0.25</v>
      </c>
      <c r="E94" s="227">
        <f t="shared" si="42"/>
        <v>0.25</v>
      </c>
      <c r="F94" s="227">
        <f t="shared" si="42"/>
        <v>0.25</v>
      </c>
      <c r="G94" s="227">
        <f t="shared" si="42"/>
        <v>0.25</v>
      </c>
      <c r="H94" s="227">
        <f t="shared" si="42"/>
        <v>0.25</v>
      </c>
      <c r="I94" s="227">
        <f t="shared" si="42"/>
        <v>0.25</v>
      </c>
      <c r="M94" s="89"/>
    </row>
    <row r="95" spans="1:13" x14ac:dyDescent="0.25">
      <c r="A95" s="142" t="s">
        <v>556</v>
      </c>
      <c r="B95" s="126">
        <f>1-B94</f>
        <v>0.75</v>
      </c>
      <c r="C95" s="227">
        <f t="shared" ref="C95:I95" si="43">$B$95</f>
        <v>0.75</v>
      </c>
      <c r="D95" s="227">
        <f t="shared" si="43"/>
        <v>0.75</v>
      </c>
      <c r="E95" s="227">
        <f t="shared" si="43"/>
        <v>0.75</v>
      </c>
      <c r="F95" s="227">
        <f t="shared" si="43"/>
        <v>0.75</v>
      </c>
      <c r="G95" s="227">
        <f t="shared" si="43"/>
        <v>0.75</v>
      </c>
      <c r="H95" s="227">
        <f t="shared" si="43"/>
        <v>0.75</v>
      </c>
      <c r="I95" s="227">
        <f t="shared" si="43"/>
        <v>0.75</v>
      </c>
    </row>
    <row r="96" spans="1:13" x14ac:dyDescent="0.25">
      <c r="A96" s="142" t="s">
        <v>557</v>
      </c>
      <c r="B96" s="229">
        <f>B90*B92</f>
        <v>5291.3378664399461</v>
      </c>
      <c r="C96" s="229">
        <f t="shared" ref="C96:I96" si="44">C90*C92</f>
        <v>8601.2131482510576</v>
      </c>
      <c r="D96" s="229">
        <f t="shared" si="44"/>
        <v>11911.356794587811</v>
      </c>
      <c r="E96" s="229">
        <f t="shared" si="44"/>
        <v>15325.324629776678</v>
      </c>
      <c r="F96" s="229">
        <f t="shared" si="44"/>
        <v>19297.533582197455</v>
      </c>
      <c r="G96" s="229">
        <f t="shared" si="44"/>
        <v>22617.489751204987</v>
      </c>
      <c r="H96" s="229">
        <f t="shared" si="44"/>
        <v>25916.157915898722</v>
      </c>
      <c r="I96" s="229">
        <f t="shared" si="44"/>
        <v>29349.585871806346</v>
      </c>
    </row>
    <row r="97" spans="1:13" x14ac:dyDescent="0.25">
      <c r="A97" s="142" t="s">
        <v>558</v>
      </c>
      <c r="B97" s="229">
        <f>B93*B88</f>
        <v>23216.290490220115</v>
      </c>
      <c r="C97" s="229">
        <f t="shared" ref="C97:I97" si="45">C93*C88</f>
        <v>47469.801301520478</v>
      </c>
      <c r="D97" s="229">
        <f t="shared" si="45"/>
        <v>71858.518668038843</v>
      </c>
      <c r="E97" s="229">
        <f t="shared" si="45"/>
        <v>96951.398540909649</v>
      </c>
      <c r="F97" s="229">
        <f t="shared" si="45"/>
        <v>125570.77737709461</v>
      </c>
      <c r="G97" s="229">
        <f t="shared" si="45"/>
        <v>150256.96893819168</v>
      </c>
      <c r="H97" s="229">
        <f t="shared" si="45"/>
        <v>174786.58620934785</v>
      </c>
      <c r="I97" s="229">
        <f t="shared" si="45"/>
        <v>200223.71047879351</v>
      </c>
    </row>
    <row r="98" spans="1:13" x14ac:dyDescent="0.25">
      <c r="A98" s="142" t="s">
        <v>559</v>
      </c>
      <c r="B98" s="229">
        <f>SUM(B96:B97)</f>
        <v>28507.628356660061</v>
      </c>
      <c r="C98" s="229">
        <f t="shared" ref="C98:I98" si="46">SUM(C96:C97)</f>
        <v>56071.014449771537</v>
      </c>
      <c r="D98" s="229">
        <f t="shared" si="46"/>
        <v>83769.87546262666</v>
      </c>
      <c r="E98" s="229">
        <f t="shared" si="46"/>
        <v>112276.72317068632</v>
      </c>
      <c r="F98" s="229">
        <f t="shared" si="46"/>
        <v>144868.31095929205</v>
      </c>
      <c r="G98" s="229">
        <f t="shared" si="46"/>
        <v>172874.45868939668</v>
      </c>
      <c r="H98" s="229">
        <f t="shared" si="46"/>
        <v>200702.74412524657</v>
      </c>
      <c r="I98" s="229">
        <f t="shared" si="46"/>
        <v>229573.29635059985</v>
      </c>
    </row>
    <row r="99" spans="1:13" x14ac:dyDescent="0.25">
      <c r="A99" s="142" t="s">
        <v>560</v>
      </c>
      <c r="B99" s="229">
        <f>B93*B89</f>
        <v>24405.750307739396</v>
      </c>
      <c r="C99" s="229">
        <f t="shared" ref="C99:I99" si="47">C93*C89</f>
        <v>29941.117032739028</v>
      </c>
      <c r="D99" s="229">
        <f t="shared" si="47"/>
        <v>35343.692483251456</v>
      </c>
      <c r="E99" s="229">
        <f t="shared" si="47"/>
        <v>40976.523127080443</v>
      </c>
      <c r="F99" s="229">
        <f t="shared" si="47"/>
        <v>48107.02486268252</v>
      </c>
      <c r="G99" s="229">
        <f t="shared" si="47"/>
        <v>53300.438822653203</v>
      </c>
      <c r="H99" s="229">
        <f t="shared" si="47"/>
        <v>58458.835033740666</v>
      </c>
      <c r="I99" s="229">
        <f t="shared" si="47"/>
        <v>63922.56236746363</v>
      </c>
    </row>
    <row r="100" spans="1:13" x14ac:dyDescent="0.25">
      <c r="A100" s="142" t="s">
        <v>561</v>
      </c>
      <c r="B100" s="229">
        <f>B94*B91</f>
        <v>0</v>
      </c>
      <c r="C100" s="229">
        <f t="shared" ref="C100:I100" si="48">C94*C91</f>
        <v>0</v>
      </c>
      <c r="D100" s="229">
        <f t="shared" si="48"/>
        <v>1469.8851605622831</v>
      </c>
      <c r="E100" s="229">
        <f t="shared" si="48"/>
        <v>1853.3084395675221</v>
      </c>
      <c r="F100" s="229">
        <f t="shared" si="48"/>
        <v>2229.659875898501</v>
      </c>
      <c r="G100" s="229">
        <f t="shared" si="48"/>
        <v>2606.6596693992956</v>
      </c>
      <c r="H100" s="229">
        <f t="shared" si="48"/>
        <v>2981.2384186528625</v>
      </c>
      <c r="I100" s="229">
        <f t="shared" si="48"/>
        <v>3371.3220177316593</v>
      </c>
    </row>
    <row r="101" spans="1:13" x14ac:dyDescent="0.25">
      <c r="A101" s="142" t="s">
        <v>562</v>
      </c>
      <c r="B101" s="230">
        <f>B91*B95</f>
        <v>0</v>
      </c>
      <c r="C101" s="230">
        <f t="shared" ref="C101:I101" si="49">C91*C95</f>
        <v>0</v>
      </c>
      <c r="D101" s="230">
        <f t="shared" si="49"/>
        <v>4409.6554816868493</v>
      </c>
      <c r="E101" s="230">
        <f t="shared" si="49"/>
        <v>5559.9253187025661</v>
      </c>
      <c r="F101" s="230">
        <f t="shared" si="49"/>
        <v>6688.979627695503</v>
      </c>
      <c r="G101" s="230">
        <f t="shared" si="49"/>
        <v>7819.9790081978863</v>
      </c>
      <c r="H101" s="230">
        <f t="shared" si="49"/>
        <v>8943.7152559585884</v>
      </c>
      <c r="I101" s="230">
        <f t="shared" si="49"/>
        <v>10113.966053194978</v>
      </c>
    </row>
    <row r="102" spans="1:13" x14ac:dyDescent="0.25">
      <c r="A102" s="142" t="s">
        <v>563</v>
      </c>
      <c r="B102" s="230">
        <f>B98+B100</f>
        <v>28507.628356660061</v>
      </c>
      <c r="C102" s="230">
        <f t="shared" ref="C102:I103" si="50">C98+C100</f>
        <v>56071.014449771537</v>
      </c>
      <c r="D102" s="230">
        <f t="shared" si="50"/>
        <v>85239.760623188937</v>
      </c>
      <c r="E102" s="230">
        <f t="shared" si="50"/>
        <v>114130.03161025385</v>
      </c>
      <c r="F102" s="230">
        <f t="shared" si="50"/>
        <v>147097.97083519056</v>
      </c>
      <c r="G102" s="230">
        <f t="shared" si="50"/>
        <v>175481.11835879597</v>
      </c>
      <c r="H102" s="230">
        <f t="shared" si="50"/>
        <v>203683.98254389942</v>
      </c>
      <c r="I102" s="230">
        <f t="shared" si="50"/>
        <v>232944.61836833152</v>
      </c>
    </row>
    <row r="103" spans="1:13" x14ac:dyDescent="0.25">
      <c r="A103" s="142" t="s">
        <v>564</v>
      </c>
      <c r="B103" s="230">
        <f>B99+B101</f>
        <v>24405.750307739396</v>
      </c>
      <c r="C103" s="230">
        <f t="shared" si="50"/>
        <v>29941.117032739028</v>
      </c>
      <c r="D103" s="230">
        <f t="shared" si="50"/>
        <v>39753.347964938308</v>
      </c>
      <c r="E103" s="230">
        <f t="shared" si="50"/>
        <v>46536.448445783011</v>
      </c>
      <c r="F103" s="230">
        <f t="shared" si="50"/>
        <v>54796.004490378022</v>
      </c>
      <c r="G103" s="230">
        <f t="shared" si="50"/>
        <v>61120.417830851089</v>
      </c>
      <c r="H103" s="230">
        <f t="shared" si="50"/>
        <v>67402.550289699255</v>
      </c>
      <c r="I103" s="230">
        <f t="shared" si="50"/>
        <v>74036.528420658608</v>
      </c>
    </row>
    <row r="104" spans="1:13" x14ac:dyDescent="0.25">
      <c r="A104" s="231" t="s">
        <v>565</v>
      </c>
      <c r="B104" s="232"/>
      <c r="C104" s="232"/>
      <c r="D104" s="232"/>
      <c r="E104" s="232"/>
      <c r="F104" s="232"/>
      <c r="G104" s="232"/>
      <c r="H104" s="232"/>
      <c r="I104" s="232"/>
    </row>
    <row r="105" spans="1:13" x14ac:dyDescent="0.25">
      <c r="A105" s="233" t="s">
        <v>549</v>
      </c>
      <c r="B105" s="234">
        <f>B38-B54-B83</f>
        <v>22605.014707741462</v>
      </c>
      <c r="C105" s="234">
        <f t="shared" ref="C105:I105" si="51">C38-C54-C83</f>
        <v>54068.609213504998</v>
      </c>
      <c r="D105" s="234">
        <f t="shared" si="51"/>
        <v>93720.706239598207</v>
      </c>
      <c r="E105" s="234">
        <f t="shared" si="51"/>
        <v>142464.5669028972</v>
      </c>
      <c r="F105" s="234">
        <f t="shared" si="51"/>
        <v>184475.44340709748</v>
      </c>
      <c r="G105" s="234">
        <f t="shared" si="51"/>
        <v>220741.81229792692</v>
      </c>
      <c r="H105" s="234">
        <f t="shared" si="51"/>
        <v>256778.15862963611</v>
      </c>
      <c r="I105" s="234">
        <f t="shared" si="51"/>
        <v>294147.71926009684</v>
      </c>
    </row>
    <row r="106" spans="1:13" x14ac:dyDescent="0.25">
      <c r="A106" s="233" t="s">
        <v>550</v>
      </c>
      <c r="B106" s="234">
        <f>B39-B55-B66-B84</f>
        <v>40999.850849735696</v>
      </c>
      <c r="C106" s="234">
        <f t="shared" ref="C106:E106" si="52">C39-C55-C66-C84</f>
        <v>55273.468686405147</v>
      </c>
      <c r="D106" s="234">
        <f t="shared" si="52"/>
        <v>65024.827403319665</v>
      </c>
      <c r="E106" s="234">
        <f t="shared" si="52"/>
        <v>75138.698879646632</v>
      </c>
      <c r="F106" s="234">
        <f>F39-F66-F84</f>
        <v>87389.524286857704</v>
      </c>
      <c r="G106" s="234">
        <f t="shared" ref="G106:I106" si="53">G39-G66-G84</f>
        <v>96823.696877701572</v>
      </c>
      <c r="H106" s="234">
        <f t="shared" si="53"/>
        <v>106194.25746125056</v>
      </c>
      <c r="I106" s="234">
        <f t="shared" si="53"/>
        <v>116119.47179096758</v>
      </c>
    </row>
    <row r="107" spans="1:13" x14ac:dyDescent="0.25">
      <c r="A107" s="233" t="s">
        <v>551</v>
      </c>
      <c r="B107" s="234">
        <f>SUM(B105:B106)</f>
        <v>63604.865557477155</v>
      </c>
      <c r="C107" s="234">
        <f t="shared" ref="C107:I107" si="54">SUM(C105:C106)</f>
        <v>109342.07789991015</v>
      </c>
      <c r="D107" s="234">
        <f t="shared" si="54"/>
        <v>158745.53364291787</v>
      </c>
      <c r="E107" s="234">
        <f t="shared" si="54"/>
        <v>217603.26578254384</v>
      </c>
      <c r="F107" s="234">
        <f t="shared" si="54"/>
        <v>271864.96769395517</v>
      </c>
      <c r="G107" s="234">
        <f t="shared" si="54"/>
        <v>317565.50917562848</v>
      </c>
      <c r="H107" s="234">
        <f t="shared" si="54"/>
        <v>362972.41609088669</v>
      </c>
      <c r="I107" s="234">
        <f t="shared" si="54"/>
        <v>410267.19105106441</v>
      </c>
    </row>
    <row r="108" spans="1:13" ht="15.75" thickBot="1" x14ac:dyDescent="0.3">
      <c r="A108" s="233" t="s">
        <v>552</v>
      </c>
      <c r="B108" s="235">
        <f>IF((B41-B56-B68-B86)&gt;0, B41-B56-B68-B86, 0)</f>
        <v>2183.6628163048263</v>
      </c>
      <c r="C108" s="235">
        <f t="shared" ref="C108:I108" si="55">IF((C41-C56-C68-C86)&gt;0, C41-C56-C68-C86, 0)</f>
        <v>3472.6874232375922</v>
      </c>
      <c r="D108" s="235">
        <f t="shared" si="55"/>
        <v>15245.149208207096</v>
      </c>
      <c r="E108" s="235">
        <f t="shared" si="55"/>
        <v>19221.885115996545</v>
      </c>
      <c r="F108" s="235">
        <f t="shared" si="55"/>
        <v>23125.274275591855</v>
      </c>
      <c r="G108" s="235">
        <f t="shared" si="55"/>
        <v>27035.387975348029</v>
      </c>
      <c r="H108" s="235">
        <f t="shared" si="55"/>
        <v>30920.391427188952</v>
      </c>
      <c r="I108" s="235">
        <f t="shared" si="55"/>
        <v>34966.205910652279</v>
      </c>
    </row>
    <row r="109" spans="1:13" ht="15.75" thickBot="1" x14ac:dyDescent="0.3">
      <c r="A109" s="236" t="s">
        <v>553</v>
      </c>
      <c r="B109" s="124">
        <v>0.1</v>
      </c>
      <c r="C109" s="237">
        <f>$B$109</f>
        <v>0.1</v>
      </c>
      <c r="D109" s="238">
        <f t="shared" ref="D109:I109" si="56">$B$109</f>
        <v>0.1</v>
      </c>
      <c r="E109" s="238">
        <f t="shared" si="56"/>
        <v>0.1</v>
      </c>
      <c r="F109" s="238">
        <f t="shared" si="56"/>
        <v>0.1</v>
      </c>
      <c r="G109" s="238">
        <f t="shared" si="56"/>
        <v>0.1</v>
      </c>
      <c r="H109" s="238">
        <f t="shared" si="56"/>
        <v>0.1</v>
      </c>
      <c r="I109" s="238">
        <f t="shared" si="56"/>
        <v>0.1</v>
      </c>
      <c r="M109" s="89"/>
    </row>
    <row r="110" spans="1:13" ht="15.75" thickBot="1" x14ac:dyDescent="0.3">
      <c r="A110" s="233" t="s">
        <v>554</v>
      </c>
      <c r="B110" s="239">
        <f>1-B109</f>
        <v>0.9</v>
      </c>
      <c r="C110" s="238">
        <f>$B$110</f>
        <v>0.9</v>
      </c>
      <c r="D110" s="238">
        <f t="shared" ref="D110:I110" si="57">$B$110</f>
        <v>0.9</v>
      </c>
      <c r="E110" s="238">
        <f t="shared" si="57"/>
        <v>0.9</v>
      </c>
      <c r="F110" s="238">
        <f t="shared" si="57"/>
        <v>0.9</v>
      </c>
      <c r="G110" s="238">
        <f t="shared" si="57"/>
        <v>0.9</v>
      </c>
      <c r="H110" s="238">
        <f t="shared" si="57"/>
        <v>0.9</v>
      </c>
      <c r="I110" s="238">
        <f t="shared" si="57"/>
        <v>0.9</v>
      </c>
    </row>
    <row r="111" spans="1:13" ht="15.75" thickBot="1" x14ac:dyDescent="0.3">
      <c r="A111" s="236" t="s">
        <v>555</v>
      </c>
      <c r="B111" s="124">
        <v>0.5</v>
      </c>
      <c r="C111" s="237">
        <f>$B$111</f>
        <v>0.5</v>
      </c>
      <c r="D111" s="238">
        <f t="shared" ref="D111:I111" si="58">$B$111</f>
        <v>0.5</v>
      </c>
      <c r="E111" s="238">
        <f t="shared" si="58"/>
        <v>0.5</v>
      </c>
      <c r="F111" s="238">
        <f t="shared" si="58"/>
        <v>0.5</v>
      </c>
      <c r="G111" s="238">
        <f t="shared" si="58"/>
        <v>0.5</v>
      </c>
      <c r="H111" s="238">
        <f t="shared" si="58"/>
        <v>0.5</v>
      </c>
      <c r="I111" s="238">
        <f t="shared" si="58"/>
        <v>0.5</v>
      </c>
      <c r="M111" s="89"/>
    </row>
    <row r="112" spans="1:13" x14ac:dyDescent="0.25">
      <c r="A112" s="233" t="s">
        <v>556</v>
      </c>
      <c r="B112" s="240">
        <f>1-B111</f>
        <v>0.5</v>
      </c>
      <c r="C112" s="238">
        <f>$B$112</f>
        <v>0.5</v>
      </c>
      <c r="D112" s="238">
        <f t="shared" ref="D112:I112" si="59">$B$112</f>
        <v>0.5</v>
      </c>
      <c r="E112" s="238">
        <f t="shared" si="59"/>
        <v>0.5</v>
      </c>
      <c r="F112" s="238">
        <f t="shared" si="59"/>
        <v>0.5</v>
      </c>
      <c r="G112" s="238">
        <f t="shared" si="59"/>
        <v>0.5</v>
      </c>
      <c r="H112" s="238">
        <f t="shared" si="59"/>
        <v>0.5</v>
      </c>
      <c r="I112" s="238">
        <f t="shared" si="59"/>
        <v>0.5</v>
      </c>
    </row>
    <row r="113" spans="1:13" x14ac:dyDescent="0.25">
      <c r="A113" s="233" t="s">
        <v>557</v>
      </c>
      <c r="B113" s="241">
        <f>B107*B109</f>
        <v>6360.486555747716</v>
      </c>
      <c r="C113" s="241">
        <f t="shared" ref="C113:I113" si="60">C107*C109</f>
        <v>10934.207789991015</v>
      </c>
      <c r="D113" s="241">
        <f t="shared" si="60"/>
        <v>15874.553364291787</v>
      </c>
      <c r="E113" s="241">
        <f t="shared" si="60"/>
        <v>21760.326578254386</v>
      </c>
      <c r="F113" s="241">
        <f t="shared" si="60"/>
        <v>27186.496769395519</v>
      </c>
      <c r="G113" s="241">
        <f t="shared" si="60"/>
        <v>31756.55091756285</v>
      </c>
      <c r="H113" s="241">
        <f t="shared" si="60"/>
        <v>36297.241609088669</v>
      </c>
      <c r="I113" s="241">
        <f t="shared" si="60"/>
        <v>41026.719105106444</v>
      </c>
    </row>
    <row r="114" spans="1:13" x14ac:dyDescent="0.25">
      <c r="A114" s="233" t="s">
        <v>558</v>
      </c>
      <c r="B114" s="241">
        <f>B110*B105</f>
        <v>20344.513236967316</v>
      </c>
      <c r="C114" s="241">
        <f t="shared" ref="C114:I114" si="61">C110*C105</f>
        <v>48661.748292154502</v>
      </c>
      <c r="D114" s="241">
        <f t="shared" si="61"/>
        <v>84348.635615638384</v>
      </c>
      <c r="E114" s="241">
        <f t="shared" si="61"/>
        <v>128218.11021260748</v>
      </c>
      <c r="F114" s="241">
        <f t="shared" si="61"/>
        <v>166027.89906638773</v>
      </c>
      <c r="G114" s="241">
        <f t="shared" si="61"/>
        <v>198667.63106813424</v>
      </c>
      <c r="H114" s="241">
        <f t="shared" si="61"/>
        <v>231100.34276667249</v>
      </c>
      <c r="I114" s="241">
        <f t="shared" si="61"/>
        <v>264732.94733408716</v>
      </c>
    </row>
    <row r="115" spans="1:13" x14ac:dyDescent="0.25">
      <c r="A115" s="233" t="s">
        <v>559</v>
      </c>
      <c r="B115" s="241">
        <f>SUM(B113:B114)</f>
        <v>26704.999792715033</v>
      </c>
      <c r="C115" s="241">
        <f t="shared" ref="C115:I115" si="62">SUM(C113:C114)</f>
        <v>59595.956082145516</v>
      </c>
      <c r="D115" s="241">
        <f t="shared" si="62"/>
        <v>100223.18897993017</v>
      </c>
      <c r="E115" s="241">
        <f t="shared" si="62"/>
        <v>149978.43679086186</v>
      </c>
      <c r="F115" s="241">
        <f t="shared" si="62"/>
        <v>193214.39583578325</v>
      </c>
      <c r="G115" s="241">
        <f t="shared" si="62"/>
        <v>230424.1819856971</v>
      </c>
      <c r="H115" s="241">
        <f t="shared" si="62"/>
        <v>267397.58437576116</v>
      </c>
      <c r="I115" s="241">
        <f t="shared" si="62"/>
        <v>305759.66643919359</v>
      </c>
    </row>
    <row r="116" spans="1:13" x14ac:dyDescent="0.25">
      <c r="A116" s="233" t="s">
        <v>560</v>
      </c>
      <c r="B116" s="241">
        <f>B110*B106</f>
        <v>36899.865764762129</v>
      </c>
      <c r="C116" s="241">
        <f t="shared" ref="C116:I116" si="63">C110*C106</f>
        <v>49746.121817764637</v>
      </c>
      <c r="D116" s="241">
        <f t="shared" si="63"/>
        <v>58522.3446629877</v>
      </c>
      <c r="E116" s="241">
        <f t="shared" si="63"/>
        <v>67624.828991681978</v>
      </c>
      <c r="F116" s="241">
        <f t="shared" si="63"/>
        <v>78650.571858171941</v>
      </c>
      <c r="G116" s="241">
        <f t="shared" si="63"/>
        <v>87141.327189931413</v>
      </c>
      <c r="H116" s="241">
        <f t="shared" si="63"/>
        <v>95574.831715125503</v>
      </c>
      <c r="I116" s="241">
        <f t="shared" si="63"/>
        <v>104507.52461187083</v>
      </c>
    </row>
    <row r="117" spans="1:13" x14ac:dyDescent="0.25">
      <c r="A117" s="233" t="s">
        <v>561</v>
      </c>
      <c r="B117" s="241">
        <f>B111*B108</f>
        <v>1091.8314081524131</v>
      </c>
      <c r="C117" s="241">
        <f t="shared" ref="C117:I117" si="64">C111*C108</f>
        <v>1736.3437116187961</v>
      </c>
      <c r="D117" s="241">
        <f t="shared" si="64"/>
        <v>7622.5746041035482</v>
      </c>
      <c r="E117" s="241">
        <f t="shared" si="64"/>
        <v>9610.9425579982726</v>
      </c>
      <c r="F117" s="241">
        <f t="shared" si="64"/>
        <v>11562.637137795928</v>
      </c>
      <c r="G117" s="241">
        <f t="shared" si="64"/>
        <v>13517.693987674014</v>
      </c>
      <c r="H117" s="241">
        <f t="shared" si="64"/>
        <v>15460.195713594476</v>
      </c>
      <c r="I117" s="241">
        <f t="shared" si="64"/>
        <v>17483.10295532614</v>
      </c>
    </row>
    <row r="118" spans="1:13" x14ac:dyDescent="0.25">
      <c r="A118" s="233" t="s">
        <v>562</v>
      </c>
      <c r="B118" s="242">
        <f>B108*B112</f>
        <v>1091.8314081524131</v>
      </c>
      <c r="C118" s="242">
        <f t="shared" ref="C118:I118" si="65">C108*C112</f>
        <v>1736.3437116187961</v>
      </c>
      <c r="D118" s="242">
        <f t="shared" si="65"/>
        <v>7622.5746041035482</v>
      </c>
      <c r="E118" s="242">
        <f t="shared" si="65"/>
        <v>9610.9425579982726</v>
      </c>
      <c r="F118" s="242">
        <f t="shared" si="65"/>
        <v>11562.637137795928</v>
      </c>
      <c r="G118" s="242">
        <f t="shared" si="65"/>
        <v>13517.693987674014</v>
      </c>
      <c r="H118" s="242">
        <f t="shared" si="65"/>
        <v>15460.195713594476</v>
      </c>
      <c r="I118" s="242">
        <f t="shared" si="65"/>
        <v>17483.10295532614</v>
      </c>
    </row>
    <row r="119" spans="1:13" x14ac:dyDescent="0.25">
      <c r="A119" s="233" t="s">
        <v>563</v>
      </c>
      <c r="B119" s="242">
        <f>B115+B117</f>
        <v>27796.831200867447</v>
      </c>
      <c r="C119" s="242">
        <f t="shared" ref="C119:I120" si="66">C115+C117</f>
        <v>61332.299793764309</v>
      </c>
      <c r="D119" s="242">
        <f t="shared" si="66"/>
        <v>107845.76358403372</v>
      </c>
      <c r="E119" s="242">
        <f t="shared" si="66"/>
        <v>159589.37934886012</v>
      </c>
      <c r="F119" s="242">
        <f t="shared" si="66"/>
        <v>204777.03297357916</v>
      </c>
      <c r="G119" s="242">
        <f t="shared" si="66"/>
        <v>243941.87597337112</v>
      </c>
      <c r="H119" s="242">
        <f t="shared" si="66"/>
        <v>282857.78008935566</v>
      </c>
      <c r="I119" s="242">
        <f t="shared" si="66"/>
        <v>323242.76939451974</v>
      </c>
    </row>
    <row r="120" spans="1:13" x14ac:dyDescent="0.25">
      <c r="A120" s="243" t="s">
        <v>564</v>
      </c>
      <c r="B120" s="244">
        <f>B116+B118</f>
        <v>37991.697172914544</v>
      </c>
      <c r="C120" s="244">
        <f t="shared" si="66"/>
        <v>51482.465529383437</v>
      </c>
      <c r="D120" s="244">
        <f t="shared" si="66"/>
        <v>66144.919267091245</v>
      </c>
      <c r="E120" s="244">
        <f t="shared" si="66"/>
        <v>77235.771549680256</v>
      </c>
      <c r="F120" s="244">
        <f t="shared" si="66"/>
        <v>90213.208995967871</v>
      </c>
      <c r="G120" s="244">
        <f t="shared" si="66"/>
        <v>100659.02117760543</v>
      </c>
      <c r="H120" s="244">
        <f t="shared" si="66"/>
        <v>111035.02742871997</v>
      </c>
      <c r="I120" s="244">
        <f t="shared" si="66"/>
        <v>121990.62756719696</v>
      </c>
      <c r="K120" s="17"/>
    </row>
    <row r="121" spans="1:13" ht="15.75" thickBot="1" x14ac:dyDescent="0.3">
      <c r="A121" s="245" t="s">
        <v>566</v>
      </c>
      <c r="B121" s="246"/>
      <c r="C121" s="247"/>
      <c r="D121" s="247"/>
      <c r="E121" s="247"/>
      <c r="F121" s="246"/>
      <c r="G121" s="247"/>
      <c r="H121" s="247"/>
      <c r="I121" s="248"/>
      <c r="K121" s="17"/>
    </row>
    <row r="122" spans="1:13" ht="15.75" thickBot="1" x14ac:dyDescent="0.3">
      <c r="A122" s="249" t="s">
        <v>567</v>
      </c>
      <c r="B122" s="124">
        <v>0</v>
      </c>
      <c r="C122" s="250">
        <f>B122</f>
        <v>0</v>
      </c>
      <c r="D122" s="251">
        <f>B122</f>
        <v>0</v>
      </c>
      <c r="E122" s="252">
        <f>B122</f>
        <v>0</v>
      </c>
      <c r="F122" s="124">
        <v>0</v>
      </c>
      <c r="G122" s="250">
        <f>F122</f>
        <v>0</v>
      </c>
      <c r="H122" s="251">
        <f>F122</f>
        <v>0</v>
      </c>
      <c r="I122" s="251">
        <f>F122</f>
        <v>0</v>
      </c>
      <c r="K122" s="17"/>
    </row>
    <row r="123" spans="1:13" x14ac:dyDescent="0.25">
      <c r="A123" s="94" t="s">
        <v>568</v>
      </c>
      <c r="B123" s="251">
        <f>1-B122</f>
        <v>1</v>
      </c>
      <c r="C123" s="253">
        <f t="shared" ref="C123:I123" si="67">1-C122</f>
        <v>1</v>
      </c>
      <c r="D123" s="253">
        <f t="shared" si="67"/>
        <v>1</v>
      </c>
      <c r="E123" s="253">
        <f t="shared" si="67"/>
        <v>1</v>
      </c>
      <c r="F123" s="251">
        <f t="shared" si="67"/>
        <v>1</v>
      </c>
      <c r="G123" s="253">
        <f t="shared" si="67"/>
        <v>1</v>
      </c>
      <c r="H123" s="253">
        <f t="shared" si="67"/>
        <v>1</v>
      </c>
      <c r="I123" s="253">
        <f t="shared" si="67"/>
        <v>1</v>
      </c>
      <c r="K123" s="17"/>
    </row>
    <row r="124" spans="1:13" x14ac:dyDescent="0.25">
      <c r="A124" s="254" t="s">
        <v>569</v>
      </c>
      <c r="B124" s="253">
        <v>0.35</v>
      </c>
      <c r="C124" s="253">
        <v>0.35</v>
      </c>
      <c r="D124" s="253">
        <v>0.35</v>
      </c>
      <c r="E124" s="253">
        <v>0.35</v>
      </c>
      <c r="F124" s="253">
        <v>0.45</v>
      </c>
      <c r="G124" s="253">
        <v>0.45</v>
      </c>
      <c r="H124" s="253">
        <v>0.45</v>
      </c>
      <c r="I124" s="253">
        <v>0.45</v>
      </c>
      <c r="K124" s="17"/>
      <c r="M124" s="89"/>
    </row>
    <row r="125" spans="1:13" ht="15.75" thickBot="1" x14ac:dyDescent="0.3">
      <c r="A125" s="94" t="s">
        <v>570</v>
      </c>
      <c r="B125" s="255">
        <f>1-B124</f>
        <v>0.65</v>
      </c>
      <c r="C125" s="253">
        <f t="shared" ref="C125:I125" si="68">1-C124</f>
        <v>0.65</v>
      </c>
      <c r="D125" s="253">
        <f t="shared" si="68"/>
        <v>0.65</v>
      </c>
      <c r="E125" s="253">
        <f t="shared" si="68"/>
        <v>0.65</v>
      </c>
      <c r="F125" s="255">
        <f t="shared" si="68"/>
        <v>0.55000000000000004</v>
      </c>
      <c r="G125" s="253">
        <f t="shared" si="68"/>
        <v>0.55000000000000004</v>
      </c>
      <c r="H125" s="253">
        <f t="shared" si="68"/>
        <v>0.55000000000000004</v>
      </c>
      <c r="I125" s="253">
        <f t="shared" si="68"/>
        <v>0.55000000000000004</v>
      </c>
      <c r="K125" s="17"/>
    </row>
    <row r="126" spans="1:13" ht="15.75" thickBot="1" x14ac:dyDescent="0.3">
      <c r="A126" s="254" t="s">
        <v>571</v>
      </c>
      <c r="B126" s="124">
        <v>0</v>
      </c>
      <c r="C126" s="256">
        <f>B126</f>
        <v>0</v>
      </c>
      <c r="D126" s="253">
        <f>B126</f>
        <v>0</v>
      </c>
      <c r="E126" s="257">
        <f>B126</f>
        <v>0</v>
      </c>
      <c r="F126" s="124">
        <v>0</v>
      </c>
      <c r="G126" s="256">
        <f>F126</f>
        <v>0</v>
      </c>
      <c r="H126" s="253">
        <f>F126</f>
        <v>0</v>
      </c>
      <c r="I126" s="253">
        <f>F126</f>
        <v>0</v>
      </c>
      <c r="K126" s="17"/>
    </row>
    <row r="127" spans="1:13" x14ac:dyDescent="0.25">
      <c r="A127" s="94" t="s">
        <v>572</v>
      </c>
      <c r="B127" s="258">
        <f>1-B126</f>
        <v>1</v>
      </c>
      <c r="C127" s="253">
        <f t="shared" ref="C127:I127" si="69">1-C126</f>
        <v>1</v>
      </c>
      <c r="D127" s="253">
        <f t="shared" si="69"/>
        <v>1</v>
      </c>
      <c r="E127" s="253">
        <f t="shared" si="69"/>
        <v>1</v>
      </c>
      <c r="F127" s="251">
        <f t="shared" si="69"/>
        <v>1</v>
      </c>
      <c r="G127" s="253">
        <f t="shared" si="69"/>
        <v>1</v>
      </c>
      <c r="H127" s="253">
        <f t="shared" si="69"/>
        <v>1</v>
      </c>
      <c r="I127" s="253">
        <f t="shared" si="69"/>
        <v>1</v>
      </c>
      <c r="K127" s="17"/>
    </row>
    <row r="128" spans="1:13" ht="15.75" thickBot="1" x14ac:dyDescent="0.3">
      <c r="A128" s="94" t="s">
        <v>573</v>
      </c>
      <c r="B128" s="259">
        <v>150</v>
      </c>
      <c r="C128" s="260">
        <v>157.5</v>
      </c>
      <c r="D128" s="260">
        <v>165.375</v>
      </c>
      <c r="E128" s="260">
        <v>173.64375000000001</v>
      </c>
      <c r="F128" s="259">
        <v>182.32593750000001</v>
      </c>
      <c r="G128" s="260">
        <v>191.44223437500003</v>
      </c>
      <c r="H128" s="260">
        <v>201.01434609375005</v>
      </c>
      <c r="I128" s="260">
        <v>211.06506339843756</v>
      </c>
      <c r="K128" s="17"/>
    </row>
    <row r="129" spans="1:11" ht="15.75" thickBot="1" x14ac:dyDescent="0.3">
      <c r="A129" s="254" t="s">
        <v>574</v>
      </c>
      <c r="B129" s="261">
        <v>300</v>
      </c>
      <c r="C129" s="262">
        <f>$B$129</f>
        <v>300</v>
      </c>
      <c r="D129" s="94">
        <f>$B$129</f>
        <v>300</v>
      </c>
      <c r="E129" s="254">
        <f>$B$129</f>
        <v>300</v>
      </c>
      <c r="F129" s="261">
        <v>300</v>
      </c>
      <c r="G129" s="262">
        <f>$F$129</f>
        <v>300</v>
      </c>
      <c r="H129" s="94">
        <f>$F$129</f>
        <v>300</v>
      </c>
      <c r="I129" s="94">
        <f>$F$129</f>
        <v>300</v>
      </c>
      <c r="K129" s="17"/>
    </row>
    <row r="130" spans="1:11" x14ac:dyDescent="0.25">
      <c r="A130" s="94" t="s">
        <v>575</v>
      </c>
      <c r="B130" s="263">
        <f>B128/0.7</f>
        <v>214.28571428571431</v>
      </c>
      <c r="C130" s="260">
        <f t="shared" ref="C130:I131" si="70">C128/0.7</f>
        <v>225.00000000000003</v>
      </c>
      <c r="D130" s="260">
        <f t="shared" si="70"/>
        <v>236.25000000000003</v>
      </c>
      <c r="E130" s="260">
        <f t="shared" si="70"/>
        <v>248.06250000000003</v>
      </c>
      <c r="F130" s="263">
        <f t="shared" si="70"/>
        <v>260.46562500000005</v>
      </c>
      <c r="G130" s="260">
        <f t="shared" si="70"/>
        <v>273.48890625000007</v>
      </c>
      <c r="H130" s="260">
        <f t="shared" si="70"/>
        <v>287.16335156250011</v>
      </c>
      <c r="I130" s="260">
        <f t="shared" si="70"/>
        <v>301.52151914062512</v>
      </c>
      <c r="K130" s="17"/>
    </row>
    <row r="131" spans="1:11" x14ac:dyDescent="0.25">
      <c r="A131" s="94" t="s">
        <v>576</v>
      </c>
      <c r="B131" s="260">
        <f>B129/0.7</f>
        <v>428.57142857142861</v>
      </c>
      <c r="C131" s="260">
        <f t="shared" si="70"/>
        <v>428.57142857142861</v>
      </c>
      <c r="D131" s="260">
        <f t="shared" si="70"/>
        <v>428.57142857142861</v>
      </c>
      <c r="E131" s="260">
        <f t="shared" si="70"/>
        <v>428.57142857142861</v>
      </c>
      <c r="F131" s="260">
        <f t="shared" si="70"/>
        <v>428.57142857142861</v>
      </c>
      <c r="G131" s="260">
        <f t="shared" si="70"/>
        <v>428.57142857142861</v>
      </c>
      <c r="H131" s="260">
        <f t="shared" si="70"/>
        <v>428.57142857142861</v>
      </c>
      <c r="I131" s="260">
        <f t="shared" si="70"/>
        <v>428.57142857142861</v>
      </c>
      <c r="K131" s="17"/>
    </row>
    <row r="132" spans="1:11" x14ac:dyDescent="0.25">
      <c r="A132" s="94" t="s">
        <v>577</v>
      </c>
      <c r="B132" s="264">
        <f>IF(((B130/100)+0.5)&lt;4, (B130/100)+0.5, 4)</f>
        <v>2.6428571428571432</v>
      </c>
      <c r="C132" s="264">
        <f t="shared" ref="C132:I133" si="71">IF(((C130/100)+0.5)&lt;4, (C130/100)+0.5, 4)</f>
        <v>2.7500000000000004</v>
      </c>
      <c r="D132" s="264">
        <f t="shared" si="71"/>
        <v>2.8625000000000003</v>
      </c>
      <c r="E132" s="264">
        <f t="shared" si="71"/>
        <v>2.9806250000000003</v>
      </c>
      <c r="F132" s="264">
        <f t="shared" si="71"/>
        <v>3.1046562500000006</v>
      </c>
      <c r="G132" s="264">
        <f t="shared" si="71"/>
        <v>3.2348890625000006</v>
      </c>
      <c r="H132" s="264">
        <f t="shared" si="71"/>
        <v>3.371633515625001</v>
      </c>
      <c r="I132" s="264">
        <f t="shared" si="71"/>
        <v>3.5152151914062513</v>
      </c>
    </row>
    <row r="133" spans="1:11" x14ac:dyDescent="0.25">
      <c r="A133" s="94" t="s">
        <v>578</v>
      </c>
      <c r="B133" s="265">
        <f>IF(((B131/100)+0.5)&lt;4, (B131/100)+0.5, 4)</f>
        <v>4</v>
      </c>
      <c r="C133" s="265">
        <f t="shared" si="71"/>
        <v>4</v>
      </c>
      <c r="D133" s="265">
        <f t="shared" si="71"/>
        <v>4</v>
      </c>
      <c r="E133" s="265">
        <f t="shared" si="71"/>
        <v>4</v>
      </c>
      <c r="F133" s="265">
        <f t="shared" si="71"/>
        <v>4</v>
      </c>
      <c r="G133" s="265">
        <f t="shared" si="71"/>
        <v>4</v>
      </c>
      <c r="H133" s="265">
        <f t="shared" si="71"/>
        <v>4</v>
      </c>
      <c r="I133" s="265">
        <f t="shared" si="71"/>
        <v>4</v>
      </c>
    </row>
    <row r="134" spans="1:11" x14ac:dyDescent="0.25">
      <c r="A134" s="94" t="s">
        <v>579</v>
      </c>
      <c r="B134" s="253">
        <v>0.65</v>
      </c>
      <c r="C134" s="253">
        <v>0.65</v>
      </c>
      <c r="D134" s="253">
        <v>0.65</v>
      </c>
      <c r="E134" s="253">
        <v>0.65</v>
      </c>
      <c r="F134" s="253">
        <v>0.5</v>
      </c>
      <c r="G134" s="253">
        <v>0.5</v>
      </c>
      <c r="H134" s="253">
        <v>0.5</v>
      </c>
      <c r="I134" s="253">
        <v>0.5</v>
      </c>
    </row>
    <row r="135" spans="1:11" ht="15.75" thickBot="1" x14ac:dyDescent="0.3">
      <c r="A135" s="94" t="s">
        <v>580</v>
      </c>
      <c r="B135" s="266">
        <f>1-B134</f>
        <v>0.35</v>
      </c>
      <c r="C135" s="267">
        <f t="shared" ref="C135:I135" si="72">1-C134</f>
        <v>0.35</v>
      </c>
      <c r="D135" s="267">
        <f t="shared" si="72"/>
        <v>0.35</v>
      </c>
      <c r="E135" s="267">
        <f t="shared" si="72"/>
        <v>0.35</v>
      </c>
      <c r="F135" s="266">
        <f t="shared" si="72"/>
        <v>0.5</v>
      </c>
      <c r="G135" s="267">
        <f t="shared" si="72"/>
        <v>0.5</v>
      </c>
      <c r="H135" s="267">
        <f t="shared" si="72"/>
        <v>0.5</v>
      </c>
      <c r="I135" s="267">
        <f t="shared" si="72"/>
        <v>0.5</v>
      </c>
    </row>
    <row r="136" spans="1:11" ht="15.75" thickBot="1" x14ac:dyDescent="0.3">
      <c r="A136" s="254" t="s">
        <v>581</v>
      </c>
      <c r="B136" s="169">
        <v>1</v>
      </c>
      <c r="C136" s="268">
        <f>$B$136</f>
        <v>1</v>
      </c>
      <c r="D136" s="267">
        <f>$B$136</f>
        <v>1</v>
      </c>
      <c r="E136" s="269">
        <f>$B$136</f>
        <v>1</v>
      </c>
      <c r="F136" s="270">
        <v>0.75</v>
      </c>
      <c r="G136" s="268">
        <f>$F$136</f>
        <v>0.75</v>
      </c>
      <c r="H136" s="267">
        <f>$F$136</f>
        <v>0.75</v>
      </c>
      <c r="I136" s="267">
        <f>$F$136</f>
        <v>0.75</v>
      </c>
    </row>
    <row r="137" spans="1:11" x14ac:dyDescent="0.25">
      <c r="A137" s="94" t="s">
        <v>582</v>
      </c>
      <c r="B137" s="271">
        <f>1-B136</f>
        <v>0</v>
      </c>
      <c r="C137" s="267">
        <f t="shared" ref="C137:I137" si="73">1-C136</f>
        <v>0</v>
      </c>
      <c r="D137" s="267">
        <f t="shared" si="73"/>
        <v>0</v>
      </c>
      <c r="E137" s="267">
        <f t="shared" si="73"/>
        <v>0</v>
      </c>
      <c r="F137" s="271">
        <f t="shared" si="73"/>
        <v>0.25</v>
      </c>
      <c r="G137" s="267">
        <f t="shared" si="73"/>
        <v>0.25</v>
      </c>
      <c r="H137" s="267">
        <f t="shared" si="73"/>
        <v>0.25</v>
      </c>
      <c r="I137" s="267">
        <f t="shared" si="73"/>
        <v>0.25</v>
      </c>
    </row>
    <row r="138" spans="1:11" x14ac:dyDescent="0.25">
      <c r="A138" s="94" t="s">
        <v>583</v>
      </c>
      <c r="B138" s="260">
        <v>20</v>
      </c>
      <c r="C138" s="260">
        <v>21</v>
      </c>
      <c r="D138" s="260">
        <v>22.05</v>
      </c>
      <c r="E138" s="260">
        <v>23.152500000000003</v>
      </c>
      <c r="F138" s="260">
        <v>24.310125000000003</v>
      </c>
      <c r="G138" s="260">
        <v>25.525631250000004</v>
      </c>
      <c r="H138" s="260">
        <v>26.801912812500007</v>
      </c>
      <c r="I138" s="260">
        <v>28.142008453125008</v>
      </c>
    </row>
    <row r="139" spans="1:11" ht="15.75" thickBot="1" x14ac:dyDescent="0.3">
      <c r="A139" s="94" t="s">
        <v>584</v>
      </c>
      <c r="B139" s="259">
        <f>B138/0.7</f>
        <v>28.571428571428573</v>
      </c>
      <c r="C139" s="259">
        <f t="shared" ref="C139:I139" si="74">C138/0.7</f>
        <v>30.000000000000004</v>
      </c>
      <c r="D139" s="259">
        <f t="shared" si="74"/>
        <v>31.500000000000004</v>
      </c>
      <c r="E139" s="259">
        <f t="shared" si="74"/>
        <v>33.07500000000001</v>
      </c>
      <c r="F139" s="259">
        <f t="shared" si="74"/>
        <v>34.728750000000005</v>
      </c>
      <c r="G139" s="259">
        <f t="shared" si="74"/>
        <v>36.465187500000006</v>
      </c>
      <c r="H139" s="259">
        <f t="shared" si="74"/>
        <v>38.288446875000012</v>
      </c>
      <c r="I139" s="259">
        <f t="shared" si="74"/>
        <v>40.202869218750017</v>
      </c>
    </row>
    <row r="140" spans="1:11" ht="15.75" thickBot="1" x14ac:dyDescent="0.3">
      <c r="A140" s="254" t="s">
        <v>585</v>
      </c>
      <c r="B140" s="272" t="s">
        <v>586</v>
      </c>
      <c r="C140" s="272" t="s">
        <v>586</v>
      </c>
      <c r="D140" s="272" t="s">
        <v>586</v>
      </c>
      <c r="E140" s="272" t="s">
        <v>586</v>
      </c>
      <c r="F140" s="272" t="s">
        <v>586</v>
      </c>
      <c r="G140" s="272" t="s">
        <v>586</v>
      </c>
      <c r="H140" s="272" t="s">
        <v>586</v>
      </c>
      <c r="I140" s="272" t="s">
        <v>586</v>
      </c>
    </row>
    <row r="141" spans="1:11" x14ac:dyDescent="0.25">
      <c r="A141" s="94" t="s">
        <v>587</v>
      </c>
      <c r="B141" s="273">
        <f>IF(B140="YES",0.2,0)</f>
        <v>0</v>
      </c>
      <c r="C141" s="273">
        <f t="shared" ref="C141:I141" si="75">IF(C140="YES",0.2,0)</f>
        <v>0</v>
      </c>
      <c r="D141" s="273">
        <f t="shared" si="75"/>
        <v>0</v>
      </c>
      <c r="E141" s="273">
        <f t="shared" si="75"/>
        <v>0</v>
      </c>
      <c r="F141" s="273">
        <f t="shared" si="75"/>
        <v>0</v>
      </c>
      <c r="G141" s="273">
        <f t="shared" si="75"/>
        <v>0</v>
      </c>
      <c r="H141" s="273">
        <f t="shared" si="75"/>
        <v>0</v>
      </c>
      <c r="I141" s="273">
        <f t="shared" si="75"/>
        <v>0</v>
      </c>
    </row>
    <row r="142" spans="1:11" x14ac:dyDescent="0.25">
      <c r="A142" s="94" t="s">
        <v>588</v>
      </c>
      <c r="B142" s="274">
        <f>IF(B141=0.2, B139/100+0.5,B139/100+0.3)</f>
        <v>0.58571428571428574</v>
      </c>
      <c r="C142" s="274">
        <f t="shared" ref="C142:I142" si="76">IF(C141=0.2, C139/100+0.5,C139/100+0.3)</f>
        <v>0.60000000000000009</v>
      </c>
      <c r="D142" s="274">
        <f t="shared" si="76"/>
        <v>0.61499999999999999</v>
      </c>
      <c r="E142" s="274">
        <f t="shared" si="76"/>
        <v>0.63075000000000014</v>
      </c>
      <c r="F142" s="274">
        <f t="shared" si="76"/>
        <v>0.64728750000000002</v>
      </c>
      <c r="G142" s="274">
        <f t="shared" si="76"/>
        <v>0.66465187500000011</v>
      </c>
      <c r="H142" s="274">
        <f t="shared" si="76"/>
        <v>0.6828844687500002</v>
      </c>
      <c r="I142" s="274">
        <f t="shared" si="76"/>
        <v>0.70202869218750008</v>
      </c>
    </row>
    <row r="143" spans="1:11" x14ac:dyDescent="0.25">
      <c r="A143" s="94" t="s">
        <v>589</v>
      </c>
      <c r="B143" s="274">
        <f>IF(B142&gt;1.3, 1.3, B142)</f>
        <v>0.58571428571428574</v>
      </c>
      <c r="C143" s="274">
        <f t="shared" ref="C143:I143" si="77">IF(C142&gt;1.3, 1.3, C142)</f>
        <v>0.60000000000000009</v>
      </c>
      <c r="D143" s="274">
        <f t="shared" si="77"/>
        <v>0.61499999999999999</v>
      </c>
      <c r="E143" s="274">
        <f t="shared" si="77"/>
        <v>0.63075000000000014</v>
      </c>
      <c r="F143" s="274">
        <f t="shared" si="77"/>
        <v>0.64728750000000002</v>
      </c>
      <c r="G143" s="274">
        <f t="shared" si="77"/>
        <v>0.66465187500000011</v>
      </c>
      <c r="H143" s="274">
        <f t="shared" si="77"/>
        <v>0.6828844687500002</v>
      </c>
      <c r="I143" s="274">
        <f t="shared" si="77"/>
        <v>0.70202869218750008</v>
      </c>
    </row>
    <row r="144" spans="1:11" x14ac:dyDescent="0.25">
      <c r="A144" s="94" t="s">
        <v>590</v>
      </c>
      <c r="B144" s="260">
        <v>40</v>
      </c>
      <c r="C144" s="260">
        <v>42</v>
      </c>
      <c r="D144" s="260">
        <v>44.1</v>
      </c>
      <c r="E144" s="260">
        <v>46.305000000000007</v>
      </c>
      <c r="F144" s="260">
        <v>48.620250000000006</v>
      </c>
      <c r="G144" s="260">
        <v>51.051262500000007</v>
      </c>
      <c r="H144" s="260">
        <v>53.603825625000013</v>
      </c>
      <c r="I144" s="260">
        <v>56.284016906250017</v>
      </c>
    </row>
    <row r="145" spans="1:16" ht="15.75" thickBot="1" x14ac:dyDescent="0.3">
      <c r="A145" s="94" t="s">
        <v>591</v>
      </c>
      <c r="B145" s="259">
        <f>B144/0.7</f>
        <v>57.142857142857146</v>
      </c>
      <c r="C145" s="259">
        <f t="shared" ref="C145:I145" si="78">C144/0.7</f>
        <v>60.000000000000007</v>
      </c>
      <c r="D145" s="259">
        <f t="shared" si="78"/>
        <v>63.000000000000007</v>
      </c>
      <c r="E145" s="259">
        <f t="shared" si="78"/>
        <v>66.15000000000002</v>
      </c>
      <c r="F145" s="259">
        <f t="shared" si="78"/>
        <v>69.45750000000001</v>
      </c>
      <c r="G145" s="259">
        <f t="shared" si="78"/>
        <v>72.930375000000012</v>
      </c>
      <c r="H145" s="259">
        <f t="shared" si="78"/>
        <v>76.576893750000025</v>
      </c>
      <c r="I145" s="259">
        <f t="shared" si="78"/>
        <v>80.405738437500034</v>
      </c>
    </row>
    <row r="146" spans="1:16" ht="15.75" thickBot="1" x14ac:dyDescent="0.3">
      <c r="A146" s="254" t="s">
        <v>592</v>
      </c>
      <c r="B146" s="261" t="s">
        <v>593</v>
      </c>
      <c r="C146" s="261" t="s">
        <v>593</v>
      </c>
      <c r="D146" s="261" t="s">
        <v>593</v>
      </c>
      <c r="E146" s="261" t="s">
        <v>593</v>
      </c>
      <c r="F146" s="261" t="s">
        <v>593</v>
      </c>
      <c r="G146" s="261" t="s">
        <v>593</v>
      </c>
      <c r="H146" s="261" t="s">
        <v>593</v>
      </c>
      <c r="I146" s="261" t="s">
        <v>593</v>
      </c>
      <c r="K146" s="20"/>
      <c r="L146" s="20"/>
      <c r="M146" s="20"/>
      <c r="N146" s="20"/>
      <c r="O146" s="20"/>
      <c r="P146" s="20"/>
    </row>
    <row r="147" spans="1:16" x14ac:dyDescent="0.25">
      <c r="A147" s="94" t="s">
        <v>587</v>
      </c>
      <c r="B147" s="275">
        <f>IF(B146="YES",0.2,0)</f>
        <v>0.2</v>
      </c>
      <c r="C147" s="275">
        <f t="shared" ref="C147:I147" si="79">IF(C146="YES",0.2,0)</f>
        <v>0.2</v>
      </c>
      <c r="D147" s="275">
        <f t="shared" si="79"/>
        <v>0.2</v>
      </c>
      <c r="E147" s="275">
        <f t="shared" si="79"/>
        <v>0.2</v>
      </c>
      <c r="F147" s="275">
        <f t="shared" si="79"/>
        <v>0.2</v>
      </c>
      <c r="G147" s="275">
        <f t="shared" si="79"/>
        <v>0.2</v>
      </c>
      <c r="H147" s="275">
        <f t="shared" si="79"/>
        <v>0.2</v>
      </c>
      <c r="I147" s="275">
        <f t="shared" si="79"/>
        <v>0.2</v>
      </c>
      <c r="K147" s="20"/>
      <c r="L147" s="20"/>
      <c r="M147" s="20"/>
      <c r="N147" s="20"/>
      <c r="O147" s="20"/>
      <c r="P147" s="20"/>
    </row>
    <row r="148" spans="1:16" x14ac:dyDescent="0.25">
      <c r="A148" s="94" t="s">
        <v>594</v>
      </c>
      <c r="B148" s="276">
        <f>IF(B147=0.2, B145/100+0.5,B145/100+0.3)</f>
        <v>1.0714285714285716</v>
      </c>
      <c r="C148" s="276">
        <f t="shared" ref="C148:I148" si="80">IF(C147=0.2, C145/100+0.5,C145/100+0.3)</f>
        <v>1.1000000000000001</v>
      </c>
      <c r="D148" s="276">
        <f t="shared" si="80"/>
        <v>1.1300000000000001</v>
      </c>
      <c r="E148" s="276">
        <f t="shared" si="80"/>
        <v>1.1615000000000002</v>
      </c>
      <c r="F148" s="276">
        <f t="shared" si="80"/>
        <v>1.1945749999999999</v>
      </c>
      <c r="G148" s="276">
        <f t="shared" si="80"/>
        <v>1.2293037500000001</v>
      </c>
      <c r="H148" s="276">
        <f t="shared" si="80"/>
        <v>1.2657689375000003</v>
      </c>
      <c r="I148" s="276">
        <f t="shared" si="80"/>
        <v>1.3040573843750003</v>
      </c>
      <c r="K148" s="20"/>
      <c r="L148" s="20"/>
      <c r="M148" s="20"/>
      <c r="N148" s="20"/>
      <c r="O148" s="20"/>
      <c r="P148" s="20"/>
    </row>
    <row r="149" spans="1:16" x14ac:dyDescent="0.25">
      <c r="A149" s="94" t="s">
        <v>595</v>
      </c>
      <c r="B149" s="276">
        <f>IF(B148&gt;1.3, 1.3, B148)</f>
        <v>1.0714285714285716</v>
      </c>
      <c r="C149" s="276">
        <f t="shared" ref="C149:I149" si="81">IF(C148&gt;1.3, 1.3, C148)</f>
        <v>1.1000000000000001</v>
      </c>
      <c r="D149" s="276">
        <f t="shared" si="81"/>
        <v>1.1300000000000001</v>
      </c>
      <c r="E149" s="276">
        <f t="shared" si="81"/>
        <v>1.1615000000000002</v>
      </c>
      <c r="F149" s="276">
        <f t="shared" si="81"/>
        <v>1.1945749999999999</v>
      </c>
      <c r="G149" s="276">
        <f t="shared" si="81"/>
        <v>1.2293037500000001</v>
      </c>
      <c r="H149" s="276">
        <f t="shared" si="81"/>
        <v>1.2657689375000003</v>
      </c>
      <c r="I149" s="276">
        <f t="shared" si="81"/>
        <v>1.3</v>
      </c>
      <c r="K149" s="20"/>
      <c r="L149" s="20"/>
      <c r="M149" s="20"/>
      <c r="N149" s="20"/>
      <c r="O149" s="20"/>
      <c r="P149" s="20"/>
    </row>
    <row r="150" spans="1:16" x14ac:dyDescent="0.25">
      <c r="A150" s="277" t="s">
        <v>596</v>
      </c>
      <c r="B150" s="278"/>
      <c r="C150" s="278"/>
      <c r="D150" s="278"/>
      <c r="E150" s="278"/>
      <c r="F150" s="278"/>
      <c r="G150" s="278"/>
      <c r="H150" s="278"/>
      <c r="I150" s="279"/>
      <c r="K150" s="20"/>
      <c r="L150" s="20"/>
      <c r="M150" s="20"/>
      <c r="N150" s="20"/>
      <c r="O150" s="20"/>
      <c r="P150" s="20"/>
    </row>
    <row r="151" spans="1:16" x14ac:dyDescent="0.25">
      <c r="A151" s="280" t="s">
        <v>597</v>
      </c>
      <c r="B151" s="281">
        <f>((B96*B123)+(B97*B125))/B132</f>
        <v>7712.0803673287091</v>
      </c>
      <c r="C151" s="281">
        <f t="shared" ref="C151:I151" si="82">((C96*C123)+(C97*C125))/C132</f>
        <v>14347.848725177952</v>
      </c>
      <c r="D151" s="281">
        <f t="shared" si="82"/>
        <v>20478.390892161766</v>
      </c>
      <c r="E151" s="281">
        <f t="shared" si="82"/>
        <v>26284.330863952342</v>
      </c>
      <c r="F151" s="281">
        <f t="shared" si="82"/>
        <v>28460.948338354523</v>
      </c>
      <c r="G151" s="281">
        <f t="shared" si="82"/>
        <v>32538.618986168214</v>
      </c>
      <c r="H151" s="281">
        <f t="shared" si="82"/>
        <v>36198.70895381576</v>
      </c>
      <c r="I151" s="281">
        <f t="shared" si="82"/>
        <v>39676.838839373348</v>
      </c>
      <c r="K151" s="20"/>
      <c r="L151" s="282"/>
      <c r="M151" s="282"/>
      <c r="N151" s="282"/>
      <c r="O151" s="20"/>
      <c r="P151" s="20"/>
    </row>
    <row r="152" spans="1:16" x14ac:dyDescent="0.25">
      <c r="A152" s="283" t="s">
        <v>598</v>
      </c>
      <c r="B152" s="284">
        <f>((B96*B122)+(B97*B124))/B133</f>
        <v>2031.4254178942599</v>
      </c>
      <c r="C152" s="284">
        <f t="shared" ref="C152:I152" si="83">((C96*C122)+(C97*C124))/C133</f>
        <v>4153.6076138830413</v>
      </c>
      <c r="D152" s="284">
        <f t="shared" si="83"/>
        <v>6287.6203834533981</v>
      </c>
      <c r="E152" s="284">
        <f t="shared" si="83"/>
        <v>8483.2473723295934</v>
      </c>
      <c r="F152" s="284">
        <f t="shared" si="83"/>
        <v>14126.712454923143</v>
      </c>
      <c r="G152" s="284">
        <f t="shared" si="83"/>
        <v>16903.909005546564</v>
      </c>
      <c r="H152" s="284">
        <f t="shared" si="83"/>
        <v>19663.490948551633</v>
      </c>
      <c r="I152" s="284">
        <f t="shared" si="83"/>
        <v>22525.167428864272</v>
      </c>
      <c r="J152" s="51"/>
      <c r="K152" s="20"/>
      <c r="L152" s="285"/>
      <c r="M152" s="285"/>
      <c r="N152" s="285"/>
      <c r="O152" s="20"/>
      <c r="P152" s="20"/>
    </row>
    <row r="153" spans="1:16" x14ac:dyDescent="0.25">
      <c r="A153" s="283" t="s">
        <v>599</v>
      </c>
      <c r="B153" s="284">
        <f>((B134*B99)/B143)+(B135*B99/B149)</f>
        <v>35056.97532009265</v>
      </c>
      <c r="C153" s="284">
        <f t="shared" ref="C153:I153" si="84">((C134*C99)/C143)+(C135*C99/C149)</f>
        <v>41962.929174672114</v>
      </c>
      <c r="D153" s="284">
        <f t="shared" si="84"/>
        <v>48302.283525387538</v>
      </c>
      <c r="E153" s="284">
        <f t="shared" si="84"/>
        <v>54574.734121105575</v>
      </c>
      <c r="F153" s="284">
        <f t="shared" si="84"/>
        <v>57296.100761322145</v>
      </c>
      <c r="G153" s="284">
        <f t="shared" si="84"/>
        <v>61775.624946778298</v>
      </c>
      <c r="H153" s="284">
        <f t="shared" si="84"/>
        <v>65895.095646304064</v>
      </c>
      <c r="I153" s="284">
        <f t="shared" si="84"/>
        <v>70112.630702096707</v>
      </c>
      <c r="K153" s="285"/>
      <c r="L153" s="282"/>
      <c r="M153" s="282"/>
      <c r="N153" s="282"/>
      <c r="O153" s="20"/>
      <c r="P153" s="20"/>
    </row>
    <row r="154" spans="1:16" x14ac:dyDescent="0.25">
      <c r="A154" s="283" t="s">
        <v>600</v>
      </c>
      <c r="B154" s="284">
        <f>((B100*B127))/B132</f>
        <v>0</v>
      </c>
      <c r="C154" s="284">
        <f t="shared" ref="C154:I154" si="85">((C100*C127))/C132</f>
        <v>0</v>
      </c>
      <c r="D154" s="284">
        <f t="shared" si="85"/>
        <v>513.49699932306828</v>
      </c>
      <c r="E154" s="284">
        <f t="shared" si="85"/>
        <v>621.78517578277103</v>
      </c>
      <c r="F154" s="284">
        <f t="shared" si="85"/>
        <v>718.1664237058452</v>
      </c>
      <c r="G154" s="284">
        <f t="shared" si="85"/>
        <v>805.79569161014933</v>
      </c>
      <c r="H154" s="284">
        <f t="shared" si="85"/>
        <v>884.21188270820392</v>
      </c>
      <c r="I154" s="284">
        <f t="shared" si="85"/>
        <v>959.06561452443316</v>
      </c>
      <c r="J154" s="212"/>
      <c r="K154" s="286"/>
      <c r="L154" s="285"/>
      <c r="M154" s="285"/>
      <c r="N154" s="285"/>
      <c r="O154" s="20"/>
      <c r="P154" s="20"/>
    </row>
    <row r="155" spans="1:16" x14ac:dyDescent="0.25">
      <c r="A155" s="283" t="s">
        <v>601</v>
      </c>
      <c r="B155" s="284">
        <f>((B100*B126))/B133</f>
        <v>0</v>
      </c>
      <c r="C155" s="284">
        <f t="shared" ref="C155:I155" si="86">((C100*C126))/C133</f>
        <v>0</v>
      </c>
      <c r="D155" s="284">
        <f t="shared" si="86"/>
        <v>0</v>
      </c>
      <c r="E155" s="284">
        <f t="shared" si="86"/>
        <v>0</v>
      </c>
      <c r="F155" s="284">
        <f t="shared" si="86"/>
        <v>0</v>
      </c>
      <c r="G155" s="284">
        <f t="shared" si="86"/>
        <v>0</v>
      </c>
      <c r="H155" s="284">
        <f t="shared" si="86"/>
        <v>0</v>
      </c>
      <c r="I155" s="284">
        <f t="shared" si="86"/>
        <v>0</v>
      </c>
      <c r="J155" s="212"/>
      <c r="K155" s="286"/>
      <c r="L155" s="287"/>
      <c r="M155" s="287"/>
      <c r="N155" s="287"/>
      <c r="O155" s="20"/>
      <c r="P155" s="20"/>
    </row>
    <row r="156" spans="1:16" x14ac:dyDescent="0.25">
      <c r="A156" s="283" t="s">
        <v>602</v>
      </c>
      <c r="B156" s="284">
        <f>((B136*B101)/B143)+(B137*B101/B149)</f>
        <v>0</v>
      </c>
      <c r="C156" s="284">
        <f t="shared" ref="C156:I156" si="87">((C136*C101)/C143)+(C137*C101/C149)</f>
        <v>0</v>
      </c>
      <c r="D156" s="284">
        <f t="shared" si="87"/>
        <v>7170.1715149379661</v>
      </c>
      <c r="E156" s="284">
        <f t="shared" si="87"/>
        <v>8814.7844925922545</v>
      </c>
      <c r="F156" s="284">
        <f t="shared" si="87"/>
        <v>9150.262400240008</v>
      </c>
      <c r="G156" s="284">
        <f t="shared" si="87"/>
        <v>10414.471446924386</v>
      </c>
      <c r="H156" s="284">
        <f t="shared" si="87"/>
        <v>11589.184051594741</v>
      </c>
      <c r="I156" s="284">
        <f t="shared" si="87"/>
        <v>12750.071133565996</v>
      </c>
      <c r="J156" s="212"/>
      <c r="K156" s="286"/>
      <c r="L156" s="285"/>
      <c r="M156" s="285"/>
      <c r="N156" s="285"/>
      <c r="O156" s="20"/>
      <c r="P156" s="20"/>
    </row>
    <row r="157" spans="1:16" x14ac:dyDescent="0.25">
      <c r="A157" s="283" t="s">
        <v>603</v>
      </c>
      <c r="B157" s="284">
        <f>B151+B154</f>
        <v>7712.0803673287091</v>
      </c>
      <c r="C157" s="284">
        <f t="shared" ref="C157:I159" si="88">C151+C154</f>
        <v>14347.848725177952</v>
      </c>
      <c r="D157" s="284">
        <f t="shared" si="88"/>
        <v>20991.887891484836</v>
      </c>
      <c r="E157" s="284">
        <f t="shared" si="88"/>
        <v>26906.116039735112</v>
      </c>
      <c r="F157" s="284">
        <f t="shared" si="88"/>
        <v>29179.11476206037</v>
      </c>
      <c r="G157" s="284">
        <f t="shared" si="88"/>
        <v>33344.414677778361</v>
      </c>
      <c r="H157" s="284">
        <f t="shared" si="88"/>
        <v>37082.920836523961</v>
      </c>
      <c r="I157" s="284">
        <f t="shared" si="88"/>
        <v>40635.904453897783</v>
      </c>
      <c r="J157" s="212"/>
      <c r="K157" s="286"/>
      <c r="L157" s="288"/>
      <c r="M157" s="288"/>
      <c r="N157" s="288"/>
      <c r="O157" s="20"/>
      <c r="P157" s="20"/>
    </row>
    <row r="158" spans="1:16" x14ac:dyDescent="0.25">
      <c r="A158" s="283" t="s">
        <v>604</v>
      </c>
      <c r="B158" s="284">
        <f>B152+B155</f>
        <v>2031.4254178942599</v>
      </c>
      <c r="C158" s="284">
        <f t="shared" si="88"/>
        <v>4153.6076138830413</v>
      </c>
      <c r="D158" s="284">
        <f t="shared" si="88"/>
        <v>6287.6203834533981</v>
      </c>
      <c r="E158" s="284">
        <f t="shared" si="88"/>
        <v>8483.2473723295934</v>
      </c>
      <c r="F158" s="284">
        <f t="shared" si="88"/>
        <v>14126.712454923143</v>
      </c>
      <c r="G158" s="284">
        <f t="shared" si="88"/>
        <v>16903.909005546564</v>
      </c>
      <c r="H158" s="284">
        <f t="shared" si="88"/>
        <v>19663.490948551633</v>
      </c>
      <c r="I158" s="284">
        <f t="shared" si="88"/>
        <v>22525.167428864272</v>
      </c>
      <c r="J158" s="212"/>
      <c r="K158" s="20"/>
      <c r="L158" s="285"/>
      <c r="M158" s="285"/>
      <c r="N158" s="285"/>
      <c r="O158" s="20"/>
      <c r="P158" s="20"/>
    </row>
    <row r="159" spans="1:16" x14ac:dyDescent="0.25">
      <c r="A159" s="283" t="s">
        <v>605</v>
      </c>
      <c r="B159" s="284">
        <f>B153+B156</f>
        <v>35056.97532009265</v>
      </c>
      <c r="C159" s="284">
        <f t="shared" si="88"/>
        <v>41962.929174672114</v>
      </c>
      <c r="D159" s="284">
        <f t="shared" si="88"/>
        <v>55472.455040325505</v>
      </c>
      <c r="E159" s="284">
        <f t="shared" si="88"/>
        <v>63389.51861369783</v>
      </c>
      <c r="F159" s="284">
        <f t="shared" si="88"/>
        <v>66446.363161562156</v>
      </c>
      <c r="G159" s="284">
        <f t="shared" si="88"/>
        <v>72190.096393702683</v>
      </c>
      <c r="H159" s="284">
        <f t="shared" si="88"/>
        <v>77484.279697898804</v>
      </c>
      <c r="I159" s="284">
        <f t="shared" si="88"/>
        <v>82862.701835662709</v>
      </c>
      <c r="J159" s="212"/>
      <c r="K159" s="286"/>
      <c r="L159" s="20"/>
      <c r="M159" s="20"/>
      <c r="N159" s="20"/>
      <c r="O159" s="20"/>
      <c r="P159" s="20"/>
    </row>
    <row r="160" spans="1:16" x14ac:dyDescent="0.25">
      <c r="A160" s="283" t="s">
        <v>606</v>
      </c>
      <c r="B160" s="289">
        <f t="shared" ref="B160:I160" si="89">SUM(B157:B159)/(B16+B17)</f>
        <v>2.3355179562388428E-2</v>
      </c>
      <c r="C160" s="289">
        <f t="shared" si="89"/>
        <v>3.0832276168732849E-2</v>
      </c>
      <c r="D160" s="289">
        <f t="shared" si="89"/>
        <v>4.2396225289574353E-2</v>
      </c>
      <c r="E160" s="289">
        <f t="shared" si="89"/>
        <v>5.0699810286784948E-2</v>
      </c>
      <c r="F160" s="289">
        <f t="shared" si="89"/>
        <v>5.6578478623361093E-2</v>
      </c>
      <c r="G160" s="289">
        <f t="shared" si="89"/>
        <v>6.3298146163166397E-2</v>
      </c>
      <c r="H160" s="289">
        <f t="shared" si="89"/>
        <v>6.9598265212907795E-2</v>
      </c>
      <c r="I160" s="289">
        <f t="shared" si="89"/>
        <v>7.5536124138948738E-2</v>
      </c>
      <c r="J160" s="212"/>
      <c r="K160" s="20"/>
      <c r="L160" s="285"/>
      <c r="M160" s="285"/>
      <c r="N160" s="285"/>
      <c r="O160" s="20"/>
      <c r="P160" s="20"/>
    </row>
    <row r="161" spans="1:16" x14ac:dyDescent="0.25">
      <c r="A161" s="95" t="s">
        <v>607</v>
      </c>
      <c r="B161" s="112">
        <f t="shared" ref="B161:I161" si="90">B26/B132</f>
        <v>13606.900094473634</v>
      </c>
      <c r="C161" s="112">
        <f t="shared" si="90"/>
        <v>26737.744893326315</v>
      </c>
      <c r="D161" s="112">
        <f t="shared" si="90"/>
        <v>38349.55171869749</v>
      </c>
      <c r="E161" s="112">
        <f t="shared" si="90"/>
        <v>49016.674226233947</v>
      </c>
      <c r="F161" s="112">
        <f t="shared" si="90"/>
        <v>58566.845251922859</v>
      </c>
      <c r="G161" s="112">
        <f t="shared" si="90"/>
        <v>67259.247201746926</v>
      </c>
      <c r="H161" s="112">
        <f t="shared" si="90"/>
        <v>75066.21317706423</v>
      </c>
      <c r="I161" s="112">
        <f t="shared" si="90"/>
        <v>82478.424942789643</v>
      </c>
      <c r="J161" s="212"/>
      <c r="K161" s="286"/>
      <c r="L161" s="290"/>
      <c r="M161" s="20"/>
      <c r="N161" s="20"/>
      <c r="O161" s="20"/>
      <c r="P161" s="20"/>
    </row>
    <row r="162" spans="1:16" x14ac:dyDescent="0.25">
      <c r="A162" s="95" t="s">
        <v>608</v>
      </c>
      <c r="B162" s="112">
        <f t="shared" ref="B162:I162" si="91">(B27+B29)/((B143+B149)/2)</f>
        <v>60778.122846696147</v>
      </c>
      <c r="C162" s="112">
        <f t="shared" si="91"/>
        <v>74995.770659473681</v>
      </c>
      <c r="D162" s="112">
        <f t="shared" si="91"/>
        <v>86707.340620089861</v>
      </c>
      <c r="E162" s="112">
        <f t="shared" si="91"/>
        <v>97862.151708334713</v>
      </c>
      <c r="F162" s="112">
        <f t="shared" si="91"/>
        <v>107982.3284279199</v>
      </c>
      <c r="G162" s="112">
        <f t="shared" si="91"/>
        <v>117486.37276956798</v>
      </c>
      <c r="H162" s="112">
        <f t="shared" si="91"/>
        <v>126231.76779009012</v>
      </c>
      <c r="I162" s="112">
        <f t="shared" si="91"/>
        <v>135229.66643473841</v>
      </c>
      <c r="J162" s="212"/>
      <c r="K162" s="290"/>
      <c r="L162" s="290"/>
      <c r="M162" s="20"/>
      <c r="N162" s="20"/>
      <c r="O162" s="20"/>
      <c r="P162" s="20"/>
    </row>
    <row r="163" spans="1:16" x14ac:dyDescent="0.25">
      <c r="A163" s="291" t="s">
        <v>609</v>
      </c>
      <c r="B163" s="292">
        <v>2942.7530006208181</v>
      </c>
      <c r="C163" s="292">
        <v>6214.9214183552713</v>
      </c>
      <c r="D163" s="292">
        <v>10625.561413614027</v>
      </c>
      <c r="E163" s="292">
        <v>15422.188286359504</v>
      </c>
      <c r="F163" s="292">
        <v>21638.535191738352</v>
      </c>
      <c r="G163" s="292">
        <v>27766.479055047454</v>
      </c>
      <c r="H163" s="292">
        <v>35174.115178757922</v>
      </c>
      <c r="I163" s="292">
        <v>43588.861173271893</v>
      </c>
      <c r="J163" s="212"/>
      <c r="K163" s="290"/>
      <c r="L163" s="286"/>
      <c r="M163" s="20"/>
      <c r="N163" s="20"/>
      <c r="O163" s="20"/>
      <c r="P163" s="20"/>
    </row>
    <row r="164" spans="1:16" x14ac:dyDescent="0.25">
      <c r="A164" s="291" t="s">
        <v>610</v>
      </c>
      <c r="B164" s="292">
        <v>13872.978431498137</v>
      </c>
      <c r="C164" s="292">
        <v>27250.040065096186</v>
      </c>
      <c r="D164" s="292">
        <v>37672.445011904281</v>
      </c>
      <c r="E164" s="292">
        <v>46266.564859078513</v>
      </c>
      <c r="F164" s="292">
        <v>52550.728322793148</v>
      </c>
      <c r="G164" s="292">
        <v>59499.5979751017</v>
      </c>
      <c r="H164" s="292">
        <v>64230.992935123162</v>
      </c>
      <c r="I164" s="292">
        <v>65383.291759907828</v>
      </c>
      <c r="J164" s="212"/>
      <c r="K164" s="290"/>
      <c r="L164" s="286"/>
      <c r="M164" s="20"/>
      <c r="N164" s="20"/>
      <c r="O164" s="20"/>
      <c r="P164" s="20"/>
    </row>
    <row r="165" spans="1:16" x14ac:dyDescent="0.25">
      <c r="A165" s="291" t="s">
        <v>611</v>
      </c>
      <c r="B165" s="292">
        <v>61259.290151869347</v>
      </c>
      <c r="C165" s="292">
        <v>75263.168617092844</v>
      </c>
      <c r="D165" s="292">
        <v>89095.473277622048</v>
      </c>
      <c r="E165" s="292">
        <v>101895.99722970306</v>
      </c>
      <c r="F165" s="292">
        <v>116390.81417475773</v>
      </c>
      <c r="G165" s="292">
        <v>131157.96439654613</v>
      </c>
      <c r="H165" s="292">
        <v>146905.85625489202</v>
      </c>
      <c r="I165" s="292">
        <v>161682.84737845772</v>
      </c>
      <c r="J165" s="212"/>
      <c r="K165" s="290"/>
      <c r="L165" s="286"/>
      <c r="M165" s="20"/>
      <c r="N165" s="20"/>
      <c r="O165" s="20"/>
      <c r="P165" s="20"/>
    </row>
    <row r="166" spans="1:16" x14ac:dyDescent="0.25">
      <c r="A166" s="293" t="s">
        <v>612</v>
      </c>
      <c r="B166" s="294">
        <f>SUM(B163:B165)</f>
        <v>78075.021583988302</v>
      </c>
      <c r="C166" s="294">
        <f t="shared" ref="C166:I166" si="92">SUM(C163:C165)</f>
        <v>108728.13010054431</v>
      </c>
      <c r="D166" s="294">
        <f t="shared" si="92"/>
        <v>137393.47970314036</v>
      </c>
      <c r="E166" s="294">
        <f t="shared" si="92"/>
        <v>163584.75037514107</v>
      </c>
      <c r="F166" s="294">
        <f t="shared" si="92"/>
        <v>190580.07768928923</v>
      </c>
      <c r="G166" s="294">
        <f t="shared" si="92"/>
        <v>218424.0414266953</v>
      </c>
      <c r="H166" s="294">
        <f t="shared" si="92"/>
        <v>246310.9643687731</v>
      </c>
      <c r="I166" s="294">
        <f t="shared" si="92"/>
        <v>270655.00031163741</v>
      </c>
      <c r="J166" s="212"/>
      <c r="K166" s="290"/>
      <c r="L166" s="286"/>
      <c r="M166" s="20"/>
      <c r="N166" s="20"/>
      <c r="O166" s="20"/>
      <c r="P166" s="20"/>
    </row>
    <row r="167" spans="1:16" x14ac:dyDescent="0.25">
      <c r="A167" s="295" t="s">
        <v>613</v>
      </c>
      <c r="B167" s="296"/>
      <c r="C167" s="296"/>
      <c r="D167" s="296"/>
      <c r="E167" s="296"/>
      <c r="F167" s="296"/>
      <c r="G167" s="296"/>
      <c r="H167" s="296"/>
      <c r="I167" s="297"/>
      <c r="J167" s="212"/>
      <c r="K167" s="286"/>
      <c r="L167" s="286"/>
      <c r="M167" s="20"/>
      <c r="N167" s="20"/>
      <c r="O167" s="20"/>
      <c r="P167" s="20"/>
    </row>
    <row r="168" spans="1:16" x14ac:dyDescent="0.25">
      <c r="A168" s="190" t="s">
        <v>597</v>
      </c>
      <c r="B168" s="191">
        <f>(B115-(B152*B133*1.3))/B132</f>
        <v>6107.6277479813052</v>
      </c>
      <c r="C168" s="191">
        <f t="shared" ref="C168:J168" si="93">(C115-(C152*C133*1.3))/C132</f>
        <v>13817.16235998316</v>
      </c>
      <c r="D168" s="191">
        <f t="shared" si="93"/>
        <v>23590.415016933624</v>
      </c>
      <c r="E168" s="191">
        <f t="shared" si="93"/>
        <v>35517.903276912715</v>
      </c>
      <c r="F168" s="191">
        <f t="shared" si="93"/>
        <v>38572.866503395628</v>
      </c>
      <c r="G168" s="191">
        <f t="shared" si="93"/>
        <v>44058.344012177367</v>
      </c>
      <c r="H168" s="191">
        <f t="shared" si="93"/>
        <v>48981.430122211605</v>
      </c>
      <c r="I168" s="191">
        <f t="shared" si="93"/>
        <v>53660.66813498237</v>
      </c>
      <c r="J168" s="191" t="e">
        <f t="shared" si="93"/>
        <v>#DIV/0!</v>
      </c>
      <c r="K168" s="286"/>
      <c r="L168" s="286"/>
      <c r="M168" s="20"/>
      <c r="N168" s="20"/>
      <c r="O168" s="20"/>
      <c r="P168" s="20"/>
    </row>
    <row r="169" spans="1:16" x14ac:dyDescent="0.25">
      <c r="A169" s="190" t="s">
        <v>599</v>
      </c>
      <c r="B169" s="191">
        <f>(B116*B134)/B142+(B135*B116)/B149</f>
        <v>53003.807181448559</v>
      </c>
      <c r="C169" s="191">
        <f t="shared" ref="C169:I169" si="94">(C116*C134)/C142+(C135*C116)/C149</f>
        <v>69719.943456715584</v>
      </c>
      <c r="D169" s="191">
        <f t="shared" si="94"/>
        <v>79979.27454302118</v>
      </c>
      <c r="E169" s="191">
        <f t="shared" si="94"/>
        <v>90066.379003425958</v>
      </c>
      <c r="F169" s="191">
        <f t="shared" si="94"/>
        <v>93673.86785993287</v>
      </c>
      <c r="G169" s="191">
        <f t="shared" si="94"/>
        <v>100997.478909344</v>
      </c>
      <c r="H169" s="191">
        <f t="shared" si="94"/>
        <v>107732.43554396261</v>
      </c>
      <c r="I169" s="191">
        <f t="shared" si="94"/>
        <v>114627.71840372833</v>
      </c>
      <c r="J169" s="91"/>
      <c r="K169" s="91"/>
      <c r="L169" s="91"/>
    </row>
    <row r="170" spans="1:16" x14ac:dyDescent="0.25">
      <c r="A170" s="190" t="s">
        <v>600</v>
      </c>
      <c r="B170" s="191">
        <f>(B117-(B155*B133*1.3))/B132</f>
        <v>413.12539767929138</v>
      </c>
      <c r="C170" s="191">
        <f t="shared" ref="C170:I170" si="95">(C117-(C155*C133*1.3))/C132</f>
        <v>631.39771331592578</v>
      </c>
      <c r="D170" s="191">
        <f t="shared" si="95"/>
        <v>2662.9081586387938</v>
      </c>
      <c r="E170" s="191">
        <f t="shared" si="95"/>
        <v>3224.4722358559939</v>
      </c>
      <c r="F170" s="191">
        <f t="shared" si="95"/>
        <v>3724.2890055206353</v>
      </c>
      <c r="G170" s="191">
        <f t="shared" si="95"/>
        <v>4178.7194943950299</v>
      </c>
      <c r="H170" s="191">
        <f t="shared" si="95"/>
        <v>4585.3725329126146</v>
      </c>
      <c r="I170" s="191">
        <f t="shared" si="95"/>
        <v>4973.5512631111715</v>
      </c>
      <c r="J170" s="91"/>
      <c r="K170" s="91"/>
      <c r="L170" s="91"/>
    </row>
    <row r="171" spans="1:16" x14ac:dyDescent="0.25">
      <c r="A171" s="190" t="s">
        <v>602</v>
      </c>
      <c r="B171" s="191">
        <f t="shared" ref="B171:I171" si="96">(B118*B136)/B143+(B118*B137)/B149</f>
        <v>1864.1024041626565</v>
      </c>
      <c r="C171" s="191">
        <f t="shared" si="96"/>
        <v>2893.9061860313263</v>
      </c>
      <c r="D171" s="191">
        <f t="shared" si="96"/>
        <v>12394.430250574875</v>
      </c>
      <c r="E171" s="191">
        <f t="shared" si="96"/>
        <v>15237.324705506573</v>
      </c>
      <c r="F171" s="191">
        <f t="shared" si="96"/>
        <v>15817.23517463359</v>
      </c>
      <c r="G171" s="191">
        <f t="shared" si="96"/>
        <v>18002.559586836429</v>
      </c>
      <c r="H171" s="191">
        <f t="shared" si="96"/>
        <v>20033.179553558908</v>
      </c>
      <c r="I171" s="191">
        <f t="shared" si="96"/>
        <v>22039.900583357128</v>
      </c>
      <c r="J171" s="91"/>
      <c r="K171" s="212"/>
      <c r="L171" s="91"/>
    </row>
    <row r="172" spans="1:16" x14ac:dyDescent="0.25">
      <c r="A172" s="190" t="s">
        <v>603</v>
      </c>
      <c r="B172" s="191">
        <f>B168+B170</f>
        <v>6520.7531456605966</v>
      </c>
      <c r="C172" s="191">
        <f t="shared" ref="C172:I173" si="97">C168+C170</f>
        <v>14448.560073299086</v>
      </c>
      <c r="D172" s="191">
        <f t="shared" si="97"/>
        <v>26253.323175572419</v>
      </c>
      <c r="E172" s="191">
        <f t="shared" si="97"/>
        <v>38742.375512768711</v>
      </c>
      <c r="F172" s="191">
        <f t="shared" si="97"/>
        <v>42297.155508916265</v>
      </c>
      <c r="G172" s="191">
        <f t="shared" si="97"/>
        <v>48237.063506572398</v>
      </c>
      <c r="H172" s="191">
        <f t="shared" si="97"/>
        <v>53566.802655124222</v>
      </c>
      <c r="I172" s="191">
        <f t="shared" si="97"/>
        <v>58634.219398093541</v>
      </c>
      <c r="J172" s="91"/>
      <c r="K172" s="212"/>
      <c r="L172" s="91"/>
    </row>
    <row r="173" spans="1:16" x14ac:dyDescent="0.25">
      <c r="A173" s="298" t="s">
        <v>605</v>
      </c>
      <c r="B173" s="299">
        <f>B169+B171</f>
        <v>54867.909585611218</v>
      </c>
      <c r="C173" s="299">
        <f t="shared" si="97"/>
        <v>72613.849642746907</v>
      </c>
      <c r="D173" s="299">
        <f t="shared" si="97"/>
        <v>92373.704793596058</v>
      </c>
      <c r="E173" s="191">
        <f t="shared" si="97"/>
        <v>105303.70370893253</v>
      </c>
      <c r="F173" s="191">
        <f t="shared" si="97"/>
        <v>109491.10303456646</v>
      </c>
      <c r="G173" s="191">
        <f t="shared" si="97"/>
        <v>119000.03849618044</v>
      </c>
      <c r="H173" s="191">
        <f t="shared" si="97"/>
        <v>127765.61509752151</v>
      </c>
      <c r="I173" s="191">
        <f t="shared" si="97"/>
        <v>136667.61898708547</v>
      </c>
      <c r="J173" s="212"/>
      <c r="K173" s="212"/>
      <c r="L173" s="91"/>
    </row>
    <row r="174" spans="1:16" x14ac:dyDescent="0.25">
      <c r="A174" s="190" t="s">
        <v>614</v>
      </c>
      <c r="B174" s="300">
        <f t="shared" ref="B174:I174" si="98">(SUM(B172:B173))/B12</f>
        <v>2.400214025291417E-2</v>
      </c>
      <c r="C174" s="300">
        <f t="shared" si="98"/>
        <v>3.3296446794338318E-2</v>
      </c>
      <c r="D174" s="300">
        <f t="shared" si="98"/>
        <v>4.5582044235491573E-2</v>
      </c>
      <c r="E174" s="300">
        <f t="shared" si="98"/>
        <v>5.5450431858431473E-2</v>
      </c>
      <c r="F174" s="300">
        <f t="shared" si="98"/>
        <v>5.868640556278875E-2</v>
      </c>
      <c r="G174" s="300">
        <f t="shared" si="98"/>
        <v>6.4843607830460517E-2</v>
      </c>
      <c r="H174" s="300">
        <f t="shared" si="98"/>
        <v>7.0515291043072553E-2</v>
      </c>
      <c r="I174" s="300">
        <f t="shared" si="98"/>
        <v>7.5770250623407809E-2</v>
      </c>
      <c r="J174" s="212"/>
      <c r="K174" s="212"/>
      <c r="L174" s="91"/>
    </row>
    <row r="175" spans="1:16" x14ac:dyDescent="0.25">
      <c r="A175" s="301" t="s">
        <v>615</v>
      </c>
      <c r="B175" s="302">
        <f>B38/B132</f>
        <v>11849.587103566977</v>
      </c>
      <c r="C175" s="302">
        <f t="shared" ref="C175:I175" si="99">C38/C132</f>
        <v>27238.589635824093</v>
      </c>
      <c r="D175" s="302">
        <f t="shared" si="99"/>
        <v>44739.053552605321</v>
      </c>
      <c r="E175" s="112">
        <f t="shared" si="99"/>
        <v>64432.054573666115</v>
      </c>
      <c r="F175" s="112">
        <f t="shared" si="99"/>
        <v>76985.683526029898</v>
      </c>
      <c r="G175" s="112">
        <f t="shared" si="99"/>
        <v>88411.781392693301</v>
      </c>
      <c r="H175" s="112">
        <f t="shared" si="99"/>
        <v>98673.98024067597</v>
      </c>
      <c r="I175" s="112">
        <f t="shared" si="99"/>
        <v>108417.27760916991</v>
      </c>
      <c r="J175" s="212"/>
      <c r="K175" s="212"/>
      <c r="L175" s="91"/>
    </row>
    <row r="176" spans="1:16" x14ac:dyDescent="0.25">
      <c r="A176" s="303" t="s">
        <v>616</v>
      </c>
      <c r="B176" s="90">
        <f>(B41+B39)/((B143+B149)/2)</f>
        <v>75437.005557096185</v>
      </c>
      <c r="C176" s="90">
        <f t="shared" ref="C176:I176" si="100">(C41+C39)/((C143+C149)/2)</f>
        <v>101624.17022531117</v>
      </c>
      <c r="D176" s="90">
        <f t="shared" si="100"/>
        <v>117980.280136822</v>
      </c>
      <c r="E176" s="90">
        <f t="shared" si="100"/>
        <v>133554.58344535236</v>
      </c>
      <c r="F176" s="90">
        <f t="shared" si="100"/>
        <v>147696.38191268084</v>
      </c>
      <c r="G176" s="90">
        <f t="shared" si="100"/>
        <v>160977.32024568287</v>
      </c>
      <c r="H176" s="90">
        <f t="shared" si="100"/>
        <v>173203.18779969579</v>
      </c>
      <c r="I176" s="90">
        <f t="shared" si="100"/>
        <v>185763.17517397023</v>
      </c>
      <c r="J176" s="212"/>
      <c r="K176" s="91"/>
      <c r="L176" s="91"/>
    </row>
    <row r="177" spans="1:12" x14ac:dyDescent="0.25">
      <c r="A177" s="291" t="s">
        <v>617</v>
      </c>
      <c r="B177" s="291">
        <v>0</v>
      </c>
      <c r="C177" s="291">
        <v>0</v>
      </c>
      <c r="D177" s="291">
        <v>0</v>
      </c>
      <c r="E177" s="291">
        <v>0</v>
      </c>
      <c r="F177" s="291">
        <v>0</v>
      </c>
      <c r="G177" s="291">
        <v>0</v>
      </c>
      <c r="H177" s="291">
        <v>0</v>
      </c>
      <c r="I177" s="291">
        <v>0</v>
      </c>
      <c r="J177" s="91"/>
      <c r="K177" s="91"/>
      <c r="L177" s="91"/>
    </row>
    <row r="178" spans="1:12" x14ac:dyDescent="0.25">
      <c r="A178" s="291" t="s">
        <v>618</v>
      </c>
      <c r="B178" s="292">
        <v>27745.956862996274</v>
      </c>
      <c r="C178" s="292">
        <v>54500.080130192371</v>
      </c>
      <c r="D178" s="292">
        <v>75344.890023808563</v>
      </c>
      <c r="E178" s="292">
        <v>92533.129718157026</v>
      </c>
      <c r="F178" s="292">
        <v>105101.4566455863</v>
      </c>
      <c r="G178" s="292">
        <v>118999.1959502034</v>
      </c>
      <c r="H178" s="292">
        <v>128461.98587024632</v>
      </c>
      <c r="I178" s="292">
        <v>130766.58351981566</v>
      </c>
      <c r="J178" s="91"/>
      <c r="K178" s="91"/>
      <c r="L178" s="91"/>
    </row>
    <row r="179" spans="1:12" x14ac:dyDescent="0.25">
      <c r="A179" s="291" t="s">
        <v>619</v>
      </c>
      <c r="B179" s="292">
        <v>122518.58030373869</v>
      </c>
      <c r="C179" s="292">
        <v>150526.33723418569</v>
      </c>
      <c r="D179" s="292">
        <v>178190.9465552441</v>
      </c>
      <c r="E179" s="292">
        <v>203791.99445940612</v>
      </c>
      <c r="F179" s="292">
        <v>232781.62834951546</v>
      </c>
      <c r="G179" s="292">
        <v>262315.92879309226</v>
      </c>
      <c r="H179" s="292">
        <v>293811.71250978403</v>
      </c>
      <c r="I179" s="292">
        <v>323365.69475691544</v>
      </c>
    </row>
  </sheetData>
  <dataValidations count="11">
    <dataValidation allowBlank="1" showInputMessage="1" showErrorMessage="1" promptTitle="Travel Provision Accounting" prompt="See CCR 1962.2 (e)(5)(D) for how the travel provision works for FCEVs.  For the purposes of this calculator, FCEVs are assumed to be placed in CA, and to travel to the S177 state for complaince, and credits are taken into account in this final number.  " sqref="A168"/>
    <dataValidation allowBlank="1" showInputMessage="1" showErrorMessage="1" prompt="Input for this cell can be found on the &quot;Scenarios&quot; tab" sqref="B144:I144 B138:I138 B134:I134 B124:I124 B128:I128"/>
    <dataValidation allowBlank="1" showInputMessage="1" showErrorMessage="1" prompt="See &quot;Sales-Mkt Shares Reference&quot; tab for data sources for cells A1-J12." sqref="A10"/>
    <dataValidation allowBlank="1" showInputMessage="1" showErrorMessage="1" promptTitle="S177 State Optional Compliance " prompt="See CCR 1962.1 and 1962.2 (d)(5)(E) for details regarding requirements and rules for the S177 States Optional Compliance Path." sqref="A32"/>
    <dataValidation allowBlank="1" showInputMessage="1" showErrorMessage="1" promptTitle=" PZEV, AT PZEV and NEV Credits" prompt="See CCR 1962.2 (g)(6)(A) for more information about the cap related to historical PZEV and AT PZEV credits, as well as historical and new NEV credits." sqref="A57"/>
    <dataValidation allowBlank="1" showInputMessage="1" showErrorMessage="1" promptTitle="GHG-ZEV Over Compliance" prompt="See CCR 1962.2 (g)(6)(C) for more information related to the GHG-ZEV Over Compliance provision, which allows manufacturers to overcomply with GHG fleet standards and have a lessened ZEV requirement for 2018-2021 model years.  " sqref="A43"/>
    <dataValidation allowBlank="1" showInputMessage="1" showErrorMessage="1" promptTitle="ZEV Credit % Requirement" prompt="See CCR 1962.2(b)(1)(A), (b)(2)(E), and (b)(3) for annual credit percentage requirements for large and intermediate volume manufacturers." sqref="A22"/>
    <dataValidation type="list" allowBlank="1" showInputMessage="1" showErrorMessage="1" sqref="D70:D71 G70">
      <formula1>$L$68:$L$73</formula1>
    </dataValidation>
    <dataValidation allowBlank="1" showInputMessage="1" showErrorMessage="1" promptTitle="IVM ZEV Credits" prompt="IVM (only) MY 2014 ZEV + BEVx credits, found here: http://www.arb.ca.gov/msprog/zevprog/zevcredits/2014zevcredits.htm " sqref="E70"/>
    <dataValidation type="list" allowBlank="1" showInputMessage="1" showErrorMessage="1" sqref="D79:D80 G79">
      <formula1>$L$67:$L$72</formula1>
    </dataValidation>
    <dataValidation type="list" allowBlank="1" showInputMessage="1" showErrorMessage="1" sqref="B146:I146 B140:I140">
      <formula1>"YES,NO"</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opLeftCell="A4" zoomScale="175" zoomScaleNormal="175" workbookViewId="0">
      <selection activeCell="C23" sqref="C23"/>
    </sheetView>
  </sheetViews>
  <sheetFormatPr defaultRowHeight="15" x14ac:dyDescent="0.25"/>
  <cols>
    <col min="1" max="1" width="23.85546875" customWidth="1"/>
    <col min="2" max="2" width="18.140625" customWidth="1"/>
    <col min="3" max="10" width="11.28515625" bestFit="1" customWidth="1"/>
  </cols>
  <sheetData>
    <row r="1" spans="1:11" ht="14.45" x14ac:dyDescent="0.35">
      <c r="B1">
        <v>2025</v>
      </c>
    </row>
    <row r="2" spans="1:11" ht="14.45" x14ac:dyDescent="0.35">
      <c r="B2" t="s">
        <v>198</v>
      </c>
    </row>
    <row r="3" spans="1:11" ht="14.45" x14ac:dyDescent="0.35">
      <c r="A3" t="s">
        <v>69</v>
      </c>
      <c r="B3">
        <v>664</v>
      </c>
    </row>
    <row r="4" spans="1:11" ht="14.45" x14ac:dyDescent="0.35">
      <c r="A4" t="s">
        <v>60</v>
      </c>
      <c r="B4">
        <v>1224</v>
      </c>
    </row>
    <row r="5" spans="1:11" ht="14.45" x14ac:dyDescent="0.35">
      <c r="A5" t="s">
        <v>197</v>
      </c>
      <c r="B5">
        <f>B3+B4</f>
        <v>1888</v>
      </c>
    </row>
    <row r="7" spans="1:11" ht="14.45" x14ac:dyDescent="0.35">
      <c r="A7" t="s">
        <v>473</v>
      </c>
      <c r="B7">
        <f>B5/2*1000</f>
        <v>944000</v>
      </c>
    </row>
    <row r="9" spans="1:11" ht="14.45" x14ac:dyDescent="0.35">
      <c r="A9" t="s">
        <v>471</v>
      </c>
      <c r="C9">
        <f>(B7-B12)/8</f>
        <v>81000</v>
      </c>
    </row>
    <row r="11" spans="1:11" ht="14.45" x14ac:dyDescent="0.35">
      <c r="B11">
        <v>2017</v>
      </c>
      <c r="C11">
        <v>2018</v>
      </c>
      <c r="D11">
        <f>C11+1</f>
        <v>2019</v>
      </c>
      <c r="E11">
        <f t="shared" ref="E11:I11" si="0">D11+1</f>
        <v>2020</v>
      </c>
      <c r="F11">
        <f t="shared" si="0"/>
        <v>2021</v>
      </c>
      <c r="G11">
        <f t="shared" si="0"/>
        <v>2022</v>
      </c>
      <c r="H11">
        <f t="shared" si="0"/>
        <v>2023</v>
      </c>
      <c r="I11">
        <f t="shared" si="0"/>
        <v>2024</v>
      </c>
      <c r="J11">
        <f>I11+1</f>
        <v>2025</v>
      </c>
    </row>
    <row r="12" spans="1:11" ht="14.45" x14ac:dyDescent="0.35">
      <c r="B12" s="44">
        <f>'META analysis'!$B$21*1000</f>
        <v>296000</v>
      </c>
      <c r="C12" s="44">
        <f>B12+($B$7-$B$12)/7</f>
        <v>388571.42857142858</v>
      </c>
      <c r="D12" s="44">
        <f>C12+$C$9</f>
        <v>469571.42857142858</v>
      </c>
      <c r="E12" s="44">
        <f t="shared" ref="E12:I12" si="1">D12+$C$9</f>
        <v>550571.42857142864</v>
      </c>
      <c r="F12" s="44">
        <f t="shared" si="1"/>
        <v>631571.42857142864</v>
      </c>
      <c r="G12" s="44">
        <f t="shared" si="1"/>
        <v>712571.42857142864</v>
      </c>
      <c r="H12" s="44">
        <f t="shared" si="1"/>
        <v>793571.42857142864</v>
      </c>
      <c r="I12" s="44">
        <f t="shared" si="1"/>
        <v>874571.42857142864</v>
      </c>
      <c r="J12" s="44">
        <f>I12+$C$9</f>
        <v>955571.42857142864</v>
      </c>
    </row>
    <row r="16" spans="1:11" x14ac:dyDescent="0.25">
      <c r="K16">
        <v>2019</v>
      </c>
    </row>
    <row r="17" spans="1:1" x14ac:dyDescent="0.25">
      <c r="A17" s="47" t="s">
        <v>196</v>
      </c>
    </row>
    <row r="57" spans="2:15" x14ac:dyDescent="0.25">
      <c r="B57" s="50" t="s">
        <v>201</v>
      </c>
    </row>
    <row r="59" spans="2:15" x14ac:dyDescent="0.25">
      <c r="B59" t="s">
        <v>203</v>
      </c>
    </row>
    <row r="62" spans="2:15" x14ac:dyDescent="0.25">
      <c r="L62" t="s">
        <v>406</v>
      </c>
    </row>
    <row r="63" spans="2:15" x14ac:dyDescent="0.25">
      <c r="L63" t="s">
        <v>407</v>
      </c>
      <c r="O63">
        <v>1</v>
      </c>
    </row>
  </sheetData>
  <hyperlinks>
    <hyperlink ref="A17" r:id="rId1"/>
    <hyperlink ref="B57" r:id="rId2" display="http://www.edisonfoundation.net/iei/publications/Documents/IEI_EEI EV Forecast Report_Nov2018.pdf"/>
  </hyperlink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activeCell="P6" sqref="P6"/>
    </sheetView>
  </sheetViews>
  <sheetFormatPr defaultRowHeight="15" x14ac:dyDescent="0.25"/>
  <sheetData>
    <row r="1" spans="1:16" x14ac:dyDescent="0.35">
      <c r="A1" t="s">
        <v>453</v>
      </c>
    </row>
    <row r="4" spans="1:16" x14ac:dyDescent="0.35">
      <c r="A4" t="s">
        <v>383</v>
      </c>
    </row>
    <row r="5" spans="1:16" x14ac:dyDescent="0.35">
      <c r="E5">
        <f t="shared" ref="E5:I5" si="0">F5-1</f>
        <v>2019</v>
      </c>
      <c r="F5">
        <f t="shared" si="0"/>
        <v>2020</v>
      </c>
      <c r="G5">
        <f t="shared" si="0"/>
        <v>2021</v>
      </c>
      <c r="H5">
        <f t="shared" si="0"/>
        <v>2022</v>
      </c>
      <c r="I5">
        <f t="shared" si="0"/>
        <v>2023</v>
      </c>
      <c r="J5">
        <f>K5-1</f>
        <v>2024</v>
      </c>
      <c r="K5">
        <v>2025</v>
      </c>
      <c r="P5">
        <v>2030</v>
      </c>
    </row>
    <row r="6" spans="1:16" x14ac:dyDescent="0.35">
      <c r="B6" t="str">
        <f>'AEO 2019 Table 39.9 - Pacific'!B109</f>
        <v>Cumulative</v>
      </c>
      <c r="C6">
        <f>'AEO 2019 Table 39.9 - Pacific'!C109</f>
        <v>0</v>
      </c>
      <c r="D6">
        <f>'AEO 2019 Table 39.9 - Pacific'!D109</f>
        <v>380</v>
      </c>
      <c r="E6">
        <f>'AEO 2019 Table 39.9 - Pacific'!E109</f>
        <v>475.72632224430203</v>
      </c>
      <c r="F6">
        <f>'AEO 2019 Table 39.9 - Pacific'!F109</f>
        <v>593.03210080747738</v>
      </c>
      <c r="G6">
        <f>'AEO 2019 Table 39.9 - Pacific'!G109</f>
        <v>734.16391981543075</v>
      </c>
      <c r="H6">
        <f>'AEO 2019 Table 39.9 - Pacific'!H109</f>
        <v>887.10108778333552</v>
      </c>
      <c r="I6">
        <f>'AEO 2019 Table 39.9 - Pacific'!I109</f>
        <v>1049.2372880711791</v>
      </c>
      <c r="J6">
        <f>'AEO 2019 Table 39.9 - Pacific'!J109</f>
        <v>1223.9993967053026</v>
      </c>
      <c r="K6">
        <f>'AEO 2019 Table 39.9 - Pacific'!K109</f>
        <v>1409.3461240364018</v>
      </c>
      <c r="L6">
        <f>'AEO 2019 Table 39.9 - Pacific'!L109</f>
        <v>1592.292689248899</v>
      </c>
      <c r="M6">
        <f>'AEO 2019 Table 39.9 - Pacific'!M109</f>
        <v>1776.8149324167246</v>
      </c>
      <c r="N6">
        <f>'AEO 2019 Table 39.9 - Pacific'!N109</f>
        <v>1962.7490842871246</v>
      </c>
      <c r="O6">
        <f>'AEO 2019 Table 39.9 - Pacific'!O109</f>
        <v>2161.3007700980852</v>
      </c>
      <c r="P6">
        <f>'AEO 2019 Table 39.9 - Pacific'!P109</f>
        <v>2366.563730043315</v>
      </c>
    </row>
    <row r="7" spans="1:16" x14ac:dyDescent="0.35">
      <c r="K7" t="s">
        <v>382</v>
      </c>
      <c r="P7" t="s">
        <v>381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Charts</vt:lpstr>
      </vt:variant>
      <vt:variant>
        <vt:i4>1</vt:i4>
      </vt:variant>
    </vt:vector>
  </HeadingPairs>
  <TitlesOfParts>
    <vt:vector size="33" baseType="lpstr">
      <vt:lpstr>About</vt:lpstr>
      <vt:lpstr>E3 CA Pathways Data</vt:lpstr>
      <vt:lpstr>MPNVbT-LDVs-psgr</vt:lpstr>
      <vt:lpstr>LDV psg calculations</vt:lpstr>
      <vt:lpstr>META analysis</vt:lpstr>
      <vt:lpstr>CARB minimum compliance</vt:lpstr>
      <vt:lpstr>ARB ZEV credit calculator</vt:lpstr>
      <vt:lpstr>JP Morgan</vt:lpstr>
      <vt:lpstr>EIA - Pacific region</vt:lpstr>
      <vt:lpstr>Next 10</vt:lpstr>
      <vt:lpstr>RBC extension</vt:lpstr>
      <vt:lpstr>RBC Capital Markets</vt:lpstr>
      <vt:lpstr>Acceture</vt:lpstr>
      <vt:lpstr>BNEF</vt:lpstr>
      <vt:lpstr>BNEF time series imputed</vt:lpstr>
      <vt:lpstr>Empirical trends</vt:lpstr>
      <vt:lpstr>BP outlook</vt:lpstr>
      <vt:lpstr>IEA</vt:lpstr>
      <vt:lpstr>AEO 2019 Table 39.9 - Pacific</vt:lpstr>
      <vt:lpstr>AEO 2019 US national</vt:lpstr>
      <vt:lpstr>Data</vt:lpstr>
      <vt:lpstr>MPNVbT-LDVs-frgt</vt:lpstr>
      <vt:lpstr>MPNVbT-HDVs-psgr</vt:lpstr>
      <vt:lpstr>MPNVbT-HDVs-frgt</vt:lpstr>
      <vt:lpstr>MPNVbT-aircraft-psgr</vt:lpstr>
      <vt:lpstr>MPNVbT-aircraft-frgt</vt:lpstr>
      <vt:lpstr>MPNVbT-rail-psgr</vt:lpstr>
      <vt:lpstr>MPNVbT-rail-frgt</vt:lpstr>
      <vt:lpstr>MPNVbT-ships-psgr</vt:lpstr>
      <vt:lpstr>MPNVbT-ships-frgt</vt:lpstr>
      <vt:lpstr>MPNVbT-motorbikes-psgr</vt:lpstr>
      <vt:lpstr>MPNVbT-motorbikes-frgt</vt:lpstr>
      <vt:lpstr>Chart composite and inputs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2017-07-01T03:43:09Z</dcterms:created>
  <dcterms:modified xsi:type="dcterms:W3CDTF">2019-05-16T23:04:13Z</dcterms:modified>
</cp:coreProperties>
</file>