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465" windowWidth="15240" windowHeight="7155"/>
  </bookViews>
  <sheets>
    <sheet name="About" sheetId="1" r:id="rId1"/>
    <sheet name="CtIEPpUESoS" sheetId="3" r:id="rId2"/>
    <sheet name="About (US model data)" sheetId="74" r:id="rId3"/>
    <sheet name="early retirement" sheetId="75" r:id="rId4"/>
    <sheet name="substitute fuels for coal" sheetId="82" r:id="rId5"/>
    <sheet name="cogen and WHR + eqpt stds" sheetId="76" r:id="rId6"/>
    <sheet name="California cost adjustment" sheetId="78" r:id="rId7"/>
    <sheet name="Natural gas fuel switch" sheetId="44" r:id="rId8"/>
    <sheet name="Method" sheetId="55" r:id="rId9"/>
    <sheet name="Calculate cost solar steam Btu" sheetId="51" r:id="rId10"/>
    <sheet name="Lazard finance model" sheetId="53" r:id="rId11"/>
    <sheet name="Production and earnings" sheetId="47" r:id="rId12"/>
    <sheet name="Thermal EOR natural gas price" sheetId="61" r:id="rId13"/>
    <sheet name="Debt" sheetId="48" r:id="rId14"/>
    <sheet name="Equity" sheetId="49" r:id="rId15"/>
    <sheet name="Adjust state corporate tax" sheetId="52" r:id="rId16"/>
    <sheet name="Cost to adminster policy" sheetId="45" r:id="rId17"/>
    <sheet name="Taxes" sheetId="50" r:id="rId18"/>
    <sheet name="Price natural gas steam EOR" sheetId="62" r:id="rId19"/>
    <sheet name="Average price calculation" sheetId="63" r:id="rId20"/>
    <sheet name="SoCal Gas" sheetId="64" r:id="rId21"/>
    <sheet name="PG&amp;E calcs- backbone level" sheetId="65" r:id="rId22"/>
    <sheet name="PG&amp;E calcs - distribution level" sheetId="66" r:id="rId23"/>
    <sheet name="PG&amp;E noncore rates" sheetId="67" r:id="rId24"/>
    <sheet name="PGE electric gen rates" sheetId="68" r:id="rId25"/>
    <sheet name="EIA California citygate - month" sheetId="69" r:id="rId26"/>
    <sheet name="PG&amp;E Schedule G-SUR" sheetId="70" r:id="rId27"/>
    <sheet name="BAU prices in EPS" sheetId="71" r:id="rId28"/>
    <sheet name="EIA annual data" sheetId="72" r:id="rId29"/>
  </sheets>
  <externalReferences>
    <externalReference r:id="rId30"/>
    <externalReference r:id="rId31"/>
    <externalReference r:id="rId32"/>
  </externalReferences>
  <definedNames>
    <definedName name="_xlnm.Print_Area" localSheetId="23">'PG&amp;E noncore rates'!$A$1:$M$61</definedName>
    <definedName name="Results_EnergyFunctionalUnit">#REF!</definedName>
    <definedName name="Results_EnergyUnit_Emission">#REF!</definedName>
    <definedName name="Results_EnergyUnit_Energy">#REF!</definedName>
    <definedName name="Results_ServiceFunctionalUnit">#REF!</definedName>
    <definedName name="Results_ServiceUnit_Emission">#REF!</definedName>
    <definedName name="Results_ServiceUnit_Energy">#REF!</definedName>
    <definedName name="Veh_Type_Option">[1]Inputs!$E$16</definedName>
  </definedNames>
  <calcPr calcId="145621"/>
</workbook>
</file>

<file path=xl/calcChain.xml><?xml version="1.0" encoding="utf-8"?>
<calcChain xmlns="http://schemas.openxmlformats.org/spreadsheetml/2006/main">
  <c r="B6" i="3" l="1"/>
  <c r="A28" i="82"/>
  <c r="A27" i="82"/>
  <c r="B2" i="3"/>
  <c r="A23" i="82"/>
  <c r="A17" i="82"/>
  <c r="B11" i="82"/>
  <c r="A20" i="82" s="1"/>
  <c r="A26" i="82" s="1"/>
  <c r="A23" i="75"/>
  <c r="B4" i="3"/>
  <c r="B5" i="3"/>
  <c r="C30" i="76"/>
  <c r="C29" i="76"/>
  <c r="I28" i="78"/>
  <c r="G28" i="78"/>
  <c r="A28" i="78"/>
  <c r="G27" i="78"/>
  <c r="AS12" i="78"/>
  <c r="AR12" i="78"/>
  <c r="AQ12" i="78"/>
  <c r="AP12" i="78"/>
  <c r="D26" i="76" l="1"/>
  <c r="E26" i="76" s="1"/>
  <c r="B30" i="76" s="1"/>
  <c r="E25" i="76"/>
  <c r="B29" i="76" s="1"/>
  <c r="D25" i="76"/>
  <c r="B5" i="76"/>
  <c r="B4" i="76"/>
  <c r="A17" i="75"/>
  <c r="D13" i="75"/>
  <c r="D14" i="75" s="1"/>
  <c r="A20" i="75" s="1"/>
  <c r="D12" i="75"/>
  <c r="D11" i="75"/>
  <c r="B29" i="47" l="1"/>
  <c r="B1" i="63"/>
  <c r="B21" i="63"/>
  <c r="A22" i="63"/>
  <c r="B22" i="63"/>
  <c r="A23" i="63"/>
  <c r="B23" i="63"/>
  <c r="A25" i="63"/>
  <c r="C27" i="63"/>
  <c r="B28" i="63"/>
  <c r="B29" i="63"/>
  <c r="A18" i="63"/>
  <c r="B18" i="63"/>
  <c r="O34" i="72"/>
  <c r="O35" i="72"/>
  <c r="O36" i="72"/>
  <c r="O37" i="72"/>
  <c r="O38" i="72"/>
  <c r="O39" i="72"/>
  <c r="O40" i="72"/>
  <c r="E41" i="72"/>
  <c r="O41" i="72"/>
  <c r="E42" i="72"/>
  <c r="O42" i="72"/>
  <c r="E43" i="72"/>
  <c r="O43" i="72"/>
  <c r="E44" i="72"/>
  <c r="O44" i="72"/>
  <c r="E45" i="72"/>
  <c r="O45" i="72"/>
  <c r="E46" i="72"/>
  <c r="O46" i="72"/>
  <c r="E47" i="72"/>
  <c r="O47" i="72"/>
  <c r="E48" i="72"/>
  <c r="O48" i="72"/>
  <c r="E49" i="72"/>
  <c r="O49" i="72"/>
  <c r="T57" i="72" s="1"/>
  <c r="T58" i="72" s="1"/>
  <c r="E50" i="72"/>
  <c r="O50" i="72"/>
  <c r="E51" i="72"/>
  <c r="O51" i="72"/>
  <c r="E52" i="72"/>
  <c r="O52" i="72"/>
  <c r="E53" i="72"/>
  <c r="O53" i="72"/>
  <c r="C19" i="70"/>
  <c r="G28" i="70"/>
  <c r="B8" i="66" s="1"/>
  <c r="D8" i="66" s="1"/>
  <c r="B25" i="68"/>
  <c r="C25" i="68"/>
  <c r="K31" i="68"/>
  <c r="L31" i="68"/>
  <c r="K32" i="68"/>
  <c r="K33" i="68" s="1"/>
  <c r="B7" i="65" s="1"/>
  <c r="D7" i="65" s="1"/>
  <c r="L32" i="68"/>
  <c r="L33" i="68"/>
  <c r="Q26" i="67"/>
  <c r="R26" i="67"/>
  <c r="Q27" i="67"/>
  <c r="R27" i="67"/>
  <c r="R28" i="67" s="1"/>
  <c r="B6" i="66" s="1"/>
  <c r="D6" i="66" s="1"/>
  <c r="Q28" i="67"/>
  <c r="B44" i="67"/>
  <c r="C44" i="67"/>
  <c r="D44" i="67"/>
  <c r="E44" i="67"/>
  <c r="F44" i="67"/>
  <c r="G44" i="67"/>
  <c r="H44" i="67"/>
  <c r="I44" i="67"/>
  <c r="J44" i="67"/>
  <c r="K44" i="67"/>
  <c r="L44" i="67"/>
  <c r="M44" i="67"/>
  <c r="B45" i="67"/>
  <c r="C45" i="67"/>
  <c r="D45" i="67"/>
  <c r="E45" i="67"/>
  <c r="F45" i="67"/>
  <c r="G45" i="67"/>
  <c r="H45" i="67"/>
  <c r="I45" i="67"/>
  <c r="J45" i="67"/>
  <c r="K45" i="67"/>
  <c r="L45" i="67"/>
  <c r="M45" i="67"/>
  <c r="B46" i="67"/>
  <c r="C46" i="67"/>
  <c r="D46" i="67"/>
  <c r="E46" i="67"/>
  <c r="F46" i="67"/>
  <c r="G46" i="67"/>
  <c r="H46" i="67"/>
  <c r="I46" i="67"/>
  <c r="J46" i="67"/>
  <c r="K46" i="67"/>
  <c r="L46" i="67"/>
  <c r="M46" i="67"/>
  <c r="B47" i="67"/>
  <c r="C47" i="67"/>
  <c r="D47" i="67"/>
  <c r="E47" i="67"/>
  <c r="F47" i="67"/>
  <c r="G47" i="67"/>
  <c r="H47" i="67"/>
  <c r="I47" i="67"/>
  <c r="J47" i="67"/>
  <c r="K47" i="67"/>
  <c r="L47" i="67"/>
  <c r="M47" i="67"/>
  <c r="B48" i="67"/>
  <c r="C48" i="67"/>
  <c r="D48" i="67"/>
  <c r="E48" i="67"/>
  <c r="F48" i="67"/>
  <c r="G48" i="67"/>
  <c r="H48" i="67"/>
  <c r="I48" i="67"/>
  <c r="J48" i="67"/>
  <c r="K48" i="67"/>
  <c r="L48" i="67"/>
  <c r="M48" i="67"/>
  <c r="B49" i="67"/>
  <c r="C49" i="67"/>
  <c r="D49" i="67"/>
  <c r="E49" i="67"/>
  <c r="F49" i="67"/>
  <c r="G49" i="67"/>
  <c r="H49" i="67"/>
  <c r="I49" i="67"/>
  <c r="J49" i="67"/>
  <c r="K49" i="67"/>
  <c r="L49" i="67"/>
  <c r="M49" i="67"/>
  <c r="B50" i="67"/>
  <c r="C50" i="67"/>
  <c r="D50" i="67"/>
  <c r="E50" i="67"/>
  <c r="F50" i="67"/>
  <c r="G50" i="67"/>
  <c r="H50" i="67"/>
  <c r="I50" i="67"/>
  <c r="J50" i="67"/>
  <c r="K50" i="67"/>
  <c r="L50" i="67"/>
  <c r="M50" i="67"/>
  <c r="B51" i="67"/>
  <c r="C51" i="67"/>
  <c r="D51" i="67"/>
  <c r="E51" i="67"/>
  <c r="F51" i="67"/>
  <c r="G51" i="67"/>
  <c r="H51" i="67"/>
  <c r="I51" i="67"/>
  <c r="J51" i="67"/>
  <c r="K51" i="67"/>
  <c r="L51" i="67"/>
  <c r="M51" i="67"/>
  <c r="B52" i="67"/>
  <c r="C52" i="67"/>
  <c r="D52" i="67"/>
  <c r="E52" i="67"/>
  <c r="F52" i="67"/>
  <c r="G52" i="67"/>
  <c r="H52" i="67"/>
  <c r="I52" i="67"/>
  <c r="J52" i="67"/>
  <c r="K52" i="67"/>
  <c r="L52" i="67"/>
  <c r="M52" i="67"/>
  <c r="B53" i="67"/>
  <c r="C53" i="67"/>
  <c r="D53" i="67"/>
  <c r="E53" i="67"/>
  <c r="F53" i="67"/>
  <c r="G53" i="67"/>
  <c r="H53" i="67"/>
  <c r="I53" i="67"/>
  <c r="J53" i="67"/>
  <c r="K53" i="67"/>
  <c r="L53" i="67"/>
  <c r="M53" i="67"/>
  <c r="B54" i="67"/>
  <c r="C54" i="67"/>
  <c r="D54" i="67"/>
  <c r="E54" i="67"/>
  <c r="F54" i="67"/>
  <c r="G54" i="67"/>
  <c r="H54" i="67"/>
  <c r="I54" i="67"/>
  <c r="J54" i="67"/>
  <c r="K54" i="67"/>
  <c r="L54" i="67"/>
  <c r="M54" i="67"/>
  <c r="B15" i="66"/>
  <c r="B16" i="66"/>
  <c r="B17" i="66" s="1"/>
  <c r="D5" i="66" s="1"/>
  <c r="D9" i="66" s="1"/>
  <c r="C7" i="65"/>
  <c r="E7" i="65" s="1"/>
  <c r="C9" i="65"/>
  <c r="E9" i="65" s="1"/>
  <c r="B16" i="65"/>
  <c r="B17" i="65"/>
  <c r="B18" i="65" s="1"/>
  <c r="E22" i="64"/>
  <c r="B15" i="63" s="1"/>
  <c r="A37" i="64"/>
  <c r="A40" i="64"/>
  <c r="A41" i="64" s="1"/>
  <c r="A42" i="64" s="1"/>
  <c r="B8" i="63"/>
  <c r="B27" i="62"/>
  <c r="D6" i="65" l="1"/>
  <c r="D10" i="65" s="1"/>
  <c r="C10" i="66" s="1"/>
  <c r="D11" i="66" s="1"/>
  <c r="B14" i="63" s="1"/>
  <c r="B16" i="63" s="1"/>
  <c r="E6" i="65"/>
  <c r="E10" i="65" s="1"/>
  <c r="E12" i="65" s="1"/>
  <c r="B9" i="63" s="1"/>
  <c r="B10" i="63" s="1"/>
  <c r="C15" i="51" l="1"/>
  <c r="B1" i="45"/>
  <c r="N53" i="45" l="1"/>
  <c r="O53" i="45"/>
  <c r="B56" i="45"/>
  <c r="H52" i="45" s="1"/>
  <c r="I52" i="45" l="1"/>
  <c r="H53" i="45"/>
  <c r="I53" i="45" l="1"/>
  <c r="J52" i="45"/>
  <c r="B15" i="45"/>
  <c r="B5" i="45" s="1"/>
  <c r="B9" i="45"/>
  <c r="K52" i="45" l="1"/>
  <c r="J53" i="45"/>
  <c r="L52" i="45" l="1"/>
  <c r="K53" i="45"/>
  <c r="M52" i="45" l="1"/>
  <c r="M53" i="45" s="1"/>
  <c r="L53" i="45"/>
  <c r="A29" i="47" l="1"/>
  <c r="B13" i="50"/>
  <c r="D38" i="47" l="1"/>
  <c r="D40" i="47" s="1"/>
  <c r="H38" i="47"/>
  <c r="H40" i="47" s="1"/>
  <c r="L38" i="47"/>
  <c r="L40" i="47" s="1"/>
  <c r="P38" i="47"/>
  <c r="P40" i="47" s="1"/>
  <c r="T38" i="47"/>
  <c r="T40" i="47" s="1"/>
  <c r="X38" i="47"/>
  <c r="X40" i="47" s="1"/>
  <c r="AB38" i="47"/>
  <c r="AB40" i="47" s="1"/>
  <c r="AF38" i="47"/>
  <c r="AF40" i="47" s="1"/>
  <c r="B38" i="47"/>
  <c r="B40" i="47" s="1"/>
  <c r="U38" i="47"/>
  <c r="U40" i="47" s="1"/>
  <c r="AC38" i="47"/>
  <c r="AC40" i="47" s="1"/>
  <c r="AG38" i="47"/>
  <c r="AG40" i="47" s="1"/>
  <c r="F38" i="47"/>
  <c r="F40" i="47" s="1"/>
  <c r="R38" i="47"/>
  <c r="R40" i="47" s="1"/>
  <c r="V38" i="47"/>
  <c r="V40" i="47" s="1"/>
  <c r="AD38" i="47"/>
  <c r="AD40" i="47" s="1"/>
  <c r="K38" i="47"/>
  <c r="K40" i="47" s="1"/>
  <c r="S38" i="47"/>
  <c r="S40" i="47" s="1"/>
  <c r="AE38" i="47"/>
  <c r="AE40" i="47" s="1"/>
  <c r="AI38" i="47"/>
  <c r="AI40" i="47" s="1"/>
  <c r="E38" i="47"/>
  <c r="E40" i="47" s="1"/>
  <c r="I38" i="47"/>
  <c r="I40" i="47" s="1"/>
  <c r="M38" i="47"/>
  <c r="M40" i="47" s="1"/>
  <c r="Q38" i="47"/>
  <c r="Q40" i="47" s="1"/>
  <c r="Y38" i="47"/>
  <c r="Y40" i="47" s="1"/>
  <c r="N38" i="47"/>
  <c r="N40" i="47" s="1"/>
  <c r="Z38" i="47"/>
  <c r="Z40" i="47" s="1"/>
  <c r="G38" i="47"/>
  <c r="G40" i="47" s="1"/>
  <c r="W38" i="47"/>
  <c r="W40" i="47" s="1"/>
  <c r="J38" i="47"/>
  <c r="J40" i="47" s="1"/>
  <c r="AH38" i="47"/>
  <c r="AH40" i="47" s="1"/>
  <c r="C38" i="47"/>
  <c r="C40" i="47" s="1"/>
  <c r="O38" i="47"/>
  <c r="O40" i="47" s="1"/>
  <c r="AA38" i="47"/>
  <c r="AA40" i="47" s="1"/>
  <c r="B5" i="48"/>
  <c r="B4" i="49"/>
  <c r="B30" i="47"/>
  <c r="C25" i="45" l="1"/>
  <c r="C26" i="45" s="1"/>
  <c r="C9" i="49"/>
  <c r="D9" i="49"/>
  <c r="E9" i="49"/>
  <c r="F9" i="49"/>
  <c r="G9" i="49"/>
  <c r="H9" i="49"/>
  <c r="I9" i="49"/>
  <c r="J9" i="49"/>
  <c r="K9" i="49"/>
  <c r="L9" i="49"/>
  <c r="M9" i="49"/>
  <c r="B9" i="49"/>
  <c r="C13" i="48"/>
  <c r="D13" i="48"/>
  <c r="E13" i="48"/>
  <c r="F13" i="48"/>
  <c r="G13" i="48"/>
  <c r="H13" i="48"/>
  <c r="I13" i="48"/>
  <c r="J13" i="48"/>
  <c r="K13" i="48"/>
  <c r="L13" i="48"/>
  <c r="M13" i="48"/>
  <c r="B13" i="48"/>
  <c r="C28" i="45" l="1"/>
  <c r="D46" i="55" l="1"/>
  <c r="A19" i="47"/>
  <c r="B19" i="47"/>
  <c r="B20" i="47" s="1"/>
  <c r="B28" i="47" l="1"/>
  <c r="A15" i="51"/>
  <c r="B14" i="50"/>
  <c r="B15" i="50" s="1"/>
  <c r="B2" i="52"/>
  <c r="B4" i="52"/>
  <c r="B33" i="52"/>
  <c r="B40" i="52"/>
  <c r="B43" i="52"/>
  <c r="B51" i="52"/>
  <c r="B38" i="52"/>
  <c r="B39" i="52"/>
  <c r="B42" i="52"/>
  <c r="B44" i="52"/>
  <c r="B45" i="52"/>
  <c r="B46" i="52"/>
  <c r="B48" i="52"/>
  <c r="B50" i="52"/>
  <c r="B52" i="52"/>
  <c r="B54" i="52"/>
  <c r="B55" i="52"/>
  <c r="B16" i="52"/>
  <c r="B18" i="52"/>
  <c r="B19" i="52"/>
  <c r="B20" i="52"/>
  <c r="B26" i="52"/>
  <c r="B27" i="52"/>
  <c r="B28" i="52"/>
  <c r="B29" i="52"/>
  <c r="B31" i="52"/>
  <c r="B32" i="52"/>
  <c r="B35" i="52"/>
  <c r="B36" i="52"/>
  <c r="B15" i="52"/>
  <c r="B13" i="52"/>
  <c r="B12" i="52"/>
  <c r="B9" i="52"/>
  <c r="B7" i="52"/>
  <c r="A7" i="52"/>
  <c r="A8" i="52"/>
  <c r="A9" i="52"/>
  <c r="A10" i="52"/>
  <c r="A11" i="52"/>
  <c r="A12" i="52"/>
  <c r="A13" i="52"/>
  <c r="A14" i="52"/>
  <c r="A15" i="52"/>
  <c r="A16" i="52"/>
  <c r="A17" i="52"/>
  <c r="A18" i="52"/>
  <c r="A19" i="52"/>
  <c r="A20" i="52"/>
  <c r="A21" i="52"/>
  <c r="A22" i="52"/>
  <c r="A23" i="52"/>
  <c r="A24" i="52"/>
  <c r="A25" i="52"/>
  <c r="A26" i="52"/>
  <c r="A27" i="52"/>
  <c r="A28" i="52"/>
  <c r="A29" i="52"/>
  <c r="A30" i="52"/>
  <c r="A31" i="52"/>
  <c r="A32" i="52"/>
  <c r="A33" i="52"/>
  <c r="A34" i="52"/>
  <c r="A35" i="52"/>
  <c r="A36" i="52"/>
  <c r="A37" i="52"/>
  <c r="A38" i="52"/>
  <c r="A39" i="52"/>
  <c r="A40" i="52"/>
  <c r="A41" i="52"/>
  <c r="A42" i="52"/>
  <c r="A43" i="52"/>
  <c r="A44" i="52"/>
  <c r="A45" i="52"/>
  <c r="A46" i="52"/>
  <c r="A47" i="52"/>
  <c r="A48" i="52"/>
  <c r="A49" i="52"/>
  <c r="A50" i="52"/>
  <c r="A51" i="52"/>
  <c r="A52" i="52"/>
  <c r="A53" i="52"/>
  <c r="A54" i="52"/>
  <c r="A55" i="52"/>
  <c r="A56" i="52"/>
  <c r="A1" i="51" l="1"/>
  <c r="A3" i="51"/>
  <c r="D10" i="49"/>
  <c r="E10" i="49" s="1"/>
  <c r="C11" i="49"/>
  <c r="C10" i="49"/>
  <c r="B11" i="49"/>
  <c r="B10" i="49"/>
  <c r="B8" i="49"/>
  <c r="B17" i="48"/>
  <c r="B16" i="48"/>
  <c r="A5" i="50"/>
  <c r="A4" i="50"/>
  <c r="B1" i="47"/>
  <c r="B12" i="48" s="1"/>
  <c r="B3" i="50" l="1"/>
  <c r="B6" i="50"/>
  <c r="F10" i="49"/>
  <c r="E11" i="49"/>
  <c r="D11" i="49"/>
  <c r="R5" i="50"/>
  <c r="U5" i="50"/>
  <c r="Q5" i="50"/>
  <c r="T5" i="50"/>
  <c r="S5" i="50"/>
  <c r="G10" i="49" l="1"/>
  <c r="F11" i="49"/>
  <c r="G11" i="49" l="1"/>
  <c r="H10" i="49"/>
  <c r="I10" i="49" l="1"/>
  <c r="H11" i="49"/>
  <c r="J10" i="49" l="1"/>
  <c r="I11" i="49"/>
  <c r="K10" i="49" l="1"/>
  <c r="J11" i="49"/>
  <c r="K11" i="49" l="1"/>
  <c r="L10" i="49"/>
  <c r="M10" i="49" l="1"/>
  <c r="L11" i="49"/>
  <c r="M11" i="49" l="1"/>
  <c r="B15" i="49" l="1"/>
  <c r="B3" i="51" l="1"/>
  <c r="B3" i="49"/>
  <c r="B3" i="48"/>
  <c r="B9" i="48" s="1"/>
  <c r="B23" i="48" s="1"/>
  <c r="B18" i="48" l="1"/>
  <c r="C16" i="48" s="1"/>
  <c r="C17" i="48" l="1"/>
  <c r="C6" i="50" l="1"/>
  <c r="C18" i="48"/>
  <c r="D16" i="48" s="1"/>
  <c r="D17" i="48" s="1"/>
  <c r="D18" i="48" l="1"/>
  <c r="E16" i="48" s="1"/>
  <c r="E17" i="48" s="1"/>
  <c r="D6" i="50"/>
  <c r="E18" i="48" l="1"/>
  <c r="F16" i="48" s="1"/>
  <c r="F17" i="48" s="1"/>
  <c r="E6" i="50"/>
  <c r="F18" i="48" l="1"/>
  <c r="G16" i="48" s="1"/>
  <c r="G17" i="48" s="1"/>
  <c r="F6" i="50"/>
  <c r="G18" i="48" l="1"/>
  <c r="H16" i="48" s="1"/>
  <c r="H17" i="48" s="1"/>
  <c r="G6" i="50"/>
  <c r="H18" i="48" l="1"/>
  <c r="I16" i="48" s="1"/>
  <c r="I17" i="48" s="1"/>
  <c r="H6" i="50"/>
  <c r="I18" i="48" l="1"/>
  <c r="J16" i="48" s="1"/>
  <c r="J17" i="48" s="1"/>
  <c r="I6" i="50"/>
  <c r="J18" i="48" l="1"/>
  <c r="K16" i="48" s="1"/>
  <c r="K17" i="48" s="1"/>
  <c r="J6" i="50"/>
  <c r="K18" i="48" l="1"/>
  <c r="L16" i="48" s="1"/>
  <c r="L17" i="48" s="1"/>
  <c r="K6" i="50"/>
  <c r="L18" i="48" l="1"/>
  <c r="M16" i="48" s="1"/>
  <c r="M17" i="48" s="1"/>
  <c r="L6" i="50"/>
  <c r="M18" i="48" l="1"/>
  <c r="M6" i="50"/>
  <c r="N6" i="50" l="1"/>
  <c r="O6" i="50" l="1"/>
  <c r="P6" i="50" l="1"/>
  <c r="Q6" i="50" l="1"/>
  <c r="R6" i="50" l="1"/>
  <c r="S6" i="50" l="1"/>
  <c r="T6" i="50" l="1"/>
  <c r="B24" i="48" l="1"/>
  <c r="U6" i="50"/>
  <c r="B5" i="51" l="1"/>
  <c r="B23" i="50"/>
  <c r="B22" i="50" s="1"/>
  <c r="B48" i="47"/>
  <c r="B49" i="47" s="1"/>
  <c r="G23" i="47"/>
  <c r="O28" i="50" l="1"/>
  <c r="O5" i="50" s="1"/>
  <c r="P28" i="50"/>
  <c r="P5" i="50" s="1"/>
  <c r="N28" i="50"/>
  <c r="N5" i="50" s="1"/>
  <c r="C28" i="50"/>
  <c r="C5" i="50" s="1"/>
  <c r="D28" i="50"/>
  <c r="D5" i="50" s="1"/>
  <c r="K28" i="50"/>
  <c r="K5" i="50" s="1"/>
  <c r="L28" i="50"/>
  <c r="L5" i="50" s="1"/>
  <c r="E28" i="50"/>
  <c r="E5" i="50" s="1"/>
  <c r="H28" i="50"/>
  <c r="H5" i="50" s="1"/>
  <c r="F28" i="50"/>
  <c r="F5" i="50" s="1"/>
  <c r="B28" i="50"/>
  <c r="B5" i="50" s="1"/>
  <c r="J28" i="50"/>
  <c r="J5" i="50" s="1"/>
  <c r="G28" i="50"/>
  <c r="G5" i="50" s="1"/>
  <c r="M28" i="50"/>
  <c r="M5" i="50" s="1"/>
  <c r="I28" i="50"/>
  <c r="I5" i="50" s="1"/>
  <c r="J24" i="47"/>
  <c r="J25" i="47" s="1"/>
  <c r="F14" i="47" s="1"/>
  <c r="N24" i="47"/>
  <c r="N25" i="47" s="1"/>
  <c r="J14" i="47" s="1"/>
  <c r="R24" i="47"/>
  <c r="R25" i="47" s="1"/>
  <c r="N14" i="47" s="1"/>
  <c r="V24" i="47"/>
  <c r="V25" i="47" s="1"/>
  <c r="R14" i="47" s="1"/>
  <c r="G24" i="47"/>
  <c r="K24" i="47"/>
  <c r="K25" i="47" s="1"/>
  <c r="G14" i="47" s="1"/>
  <c r="O24" i="47"/>
  <c r="O25" i="47" s="1"/>
  <c r="K14" i="47" s="1"/>
  <c r="S24" i="47"/>
  <c r="S25" i="47" s="1"/>
  <c r="O14" i="47" s="1"/>
  <c r="W24" i="47"/>
  <c r="W25" i="47" s="1"/>
  <c r="S14" i="47" s="1"/>
  <c r="I24" i="47"/>
  <c r="I25" i="47" s="1"/>
  <c r="E14" i="47" s="1"/>
  <c r="M24" i="47"/>
  <c r="M25" i="47" s="1"/>
  <c r="I14" i="47" s="1"/>
  <c r="U24" i="47"/>
  <c r="U25" i="47" s="1"/>
  <c r="Q14" i="47" s="1"/>
  <c r="H24" i="47"/>
  <c r="H25" i="47" s="1"/>
  <c r="D14" i="47" s="1"/>
  <c r="L24" i="47"/>
  <c r="L25" i="47" s="1"/>
  <c r="H14" i="47" s="1"/>
  <c r="P24" i="47"/>
  <c r="T24" i="47"/>
  <c r="T25" i="47" s="1"/>
  <c r="P14" i="47" s="1"/>
  <c r="X24" i="47"/>
  <c r="X25" i="47" s="1"/>
  <c r="T14" i="47" s="1"/>
  <c r="Q24" i="47"/>
  <c r="Q25" i="47" s="1"/>
  <c r="M14" i="47" s="1"/>
  <c r="Y24" i="47"/>
  <c r="Y25" i="47" s="1"/>
  <c r="U14" i="47" s="1"/>
  <c r="H23" i="47"/>
  <c r="C8" i="49"/>
  <c r="C1" i="47"/>
  <c r="P25" i="47"/>
  <c r="L14" i="47" s="1"/>
  <c r="F24" i="47"/>
  <c r="G25" i="47"/>
  <c r="C14" i="47" s="1"/>
  <c r="C15" i="47" l="1"/>
  <c r="C2" i="47" s="1"/>
  <c r="C4" i="50" s="1"/>
  <c r="C7" i="50" s="1"/>
  <c r="C8" i="50" s="1"/>
  <c r="T15" i="47"/>
  <c r="T2" i="47" s="1"/>
  <c r="T4" i="50" s="1"/>
  <c r="T7" i="50" s="1"/>
  <c r="T8" i="50" s="1"/>
  <c r="S15" i="47"/>
  <c r="S2" i="47" s="1"/>
  <c r="S4" i="50" s="1"/>
  <c r="S7" i="50" s="1"/>
  <c r="S8" i="50" s="1"/>
  <c r="Q15" i="47"/>
  <c r="Q2" i="47" s="1"/>
  <c r="Q4" i="50" s="1"/>
  <c r="Q7" i="50" s="1"/>
  <c r="Q8" i="50" s="1"/>
  <c r="L15" i="47"/>
  <c r="L2" i="47" s="1"/>
  <c r="L4" i="50" s="1"/>
  <c r="L7" i="50" s="1"/>
  <c r="L8" i="50" s="1"/>
  <c r="U15" i="47"/>
  <c r="U2" i="47" s="1"/>
  <c r="U4" i="50" s="1"/>
  <c r="U7" i="50" s="1"/>
  <c r="U8" i="50" s="1"/>
  <c r="I15" i="47"/>
  <c r="I2" i="47" s="1"/>
  <c r="I4" i="50" s="1"/>
  <c r="I7" i="50" s="1"/>
  <c r="I8" i="50" s="1"/>
  <c r="K15" i="47"/>
  <c r="K2" i="47" s="1"/>
  <c r="K4" i="50" s="1"/>
  <c r="K7" i="50" s="1"/>
  <c r="K8" i="50" s="1"/>
  <c r="N15" i="47"/>
  <c r="N2" i="47" s="1"/>
  <c r="N4" i="50" s="1"/>
  <c r="N7" i="50" s="1"/>
  <c r="N8" i="50" s="1"/>
  <c r="D15" i="47"/>
  <c r="D2" i="47" s="1"/>
  <c r="D4" i="50" s="1"/>
  <c r="D7" i="50" s="1"/>
  <c r="D8" i="50" s="1"/>
  <c r="F15" i="47"/>
  <c r="F2" i="47" s="1"/>
  <c r="F4" i="50" s="1"/>
  <c r="F7" i="50" s="1"/>
  <c r="F8" i="50" s="1"/>
  <c r="P15" i="47"/>
  <c r="P2" i="47" s="1"/>
  <c r="P4" i="50" s="1"/>
  <c r="P7" i="50" s="1"/>
  <c r="P8" i="50" s="1"/>
  <c r="O15" i="47"/>
  <c r="O2" i="47" s="1"/>
  <c r="O4" i="50" s="1"/>
  <c r="O7" i="50" s="1"/>
  <c r="O8" i="50" s="1"/>
  <c r="R15" i="47"/>
  <c r="R2" i="47" s="1"/>
  <c r="R4" i="50" s="1"/>
  <c r="R7" i="50" s="1"/>
  <c r="R8" i="50" s="1"/>
  <c r="M15" i="47"/>
  <c r="M2" i="47" s="1"/>
  <c r="M4" i="50" s="1"/>
  <c r="M7" i="50" s="1"/>
  <c r="M8" i="50" s="1"/>
  <c r="M9" i="50" s="1"/>
  <c r="B1" i="50" s="1"/>
  <c r="B4" i="51" s="1"/>
  <c r="H15" i="47"/>
  <c r="H2" i="47" s="1"/>
  <c r="H4" i="50" s="1"/>
  <c r="H7" i="50" s="1"/>
  <c r="H8" i="50" s="1"/>
  <c r="E15" i="47"/>
  <c r="E2" i="47" s="1"/>
  <c r="E4" i="50" s="1"/>
  <c r="E7" i="50" s="1"/>
  <c r="E8" i="50" s="1"/>
  <c r="G15" i="47"/>
  <c r="G2" i="47" s="1"/>
  <c r="G4" i="50" s="1"/>
  <c r="G7" i="50" s="1"/>
  <c r="G8" i="50" s="1"/>
  <c r="J15" i="47"/>
  <c r="J2" i="47" s="1"/>
  <c r="J4" i="50" s="1"/>
  <c r="J7" i="50" s="1"/>
  <c r="J8" i="50" s="1"/>
  <c r="F25" i="47"/>
  <c r="C12" i="48"/>
  <c r="C3" i="50"/>
  <c r="I23" i="47"/>
  <c r="D8" i="49"/>
  <c r="D1" i="47"/>
  <c r="B14" i="47" l="1"/>
  <c r="B15" i="47" s="1"/>
  <c r="B2" i="47" s="1"/>
  <c r="B4" i="47" s="1"/>
  <c r="B11" i="51"/>
  <c r="B7" i="51"/>
  <c r="D12" i="48"/>
  <c r="D3" i="50"/>
  <c r="J23" i="47"/>
  <c r="E8" i="49"/>
  <c r="E1" i="47"/>
  <c r="B4" i="50" l="1"/>
  <c r="B7" i="50" s="1"/>
  <c r="B8" i="50" s="1"/>
  <c r="B1" i="51"/>
  <c r="B9" i="51" s="1"/>
  <c r="B13" i="51" s="1"/>
  <c r="K23" i="47"/>
  <c r="F8" i="49"/>
  <c r="F1" i="47"/>
  <c r="E3" i="50"/>
  <c r="E12" i="48"/>
  <c r="L23" i="47" l="1"/>
  <c r="G8" i="49"/>
  <c r="G1" i="47"/>
  <c r="F12" i="48"/>
  <c r="F3" i="50"/>
  <c r="M23" i="47" l="1"/>
  <c r="H8" i="49"/>
  <c r="H1" i="47"/>
  <c r="G12" i="48"/>
  <c r="G3" i="50"/>
  <c r="N23" i="47" l="1"/>
  <c r="I8" i="49"/>
  <c r="I1" i="47"/>
  <c r="H12" i="48"/>
  <c r="H3" i="50"/>
  <c r="O23" i="47" l="1"/>
  <c r="J8" i="49"/>
  <c r="J1" i="47"/>
  <c r="I3" i="50"/>
  <c r="I12" i="48"/>
  <c r="P23" i="47" l="1"/>
  <c r="K8" i="49"/>
  <c r="K1" i="47"/>
  <c r="J12" i="48"/>
  <c r="J3" i="50"/>
  <c r="Q23" i="47" l="1"/>
  <c r="L8" i="49"/>
  <c r="L1" i="47"/>
  <c r="K12" i="48"/>
  <c r="K3" i="50"/>
  <c r="R23" i="47" l="1"/>
  <c r="M8" i="49"/>
  <c r="M1" i="47"/>
  <c r="L12" i="48"/>
  <c r="L3" i="50"/>
  <c r="S23" i="47" l="1"/>
  <c r="N1" i="47"/>
  <c r="M3" i="50"/>
  <c r="M12" i="48"/>
  <c r="T23" i="47" l="1"/>
  <c r="O1" i="47"/>
  <c r="N3" i="50"/>
  <c r="U23" i="47" l="1"/>
  <c r="P1" i="47"/>
  <c r="O3" i="50"/>
  <c r="V23" i="47" l="1"/>
  <c r="Q1" i="47"/>
  <c r="P3" i="50"/>
  <c r="W23" i="47" l="1"/>
  <c r="R1" i="47"/>
  <c r="Q3" i="50"/>
  <c r="X23" i="47" l="1"/>
  <c r="S1" i="47"/>
  <c r="R3" i="50"/>
  <c r="F53" i="45"/>
  <c r="G53" i="45"/>
  <c r="E53" i="45"/>
  <c r="B3" i="45" l="1"/>
  <c r="D19" i="45" s="1"/>
  <c r="D20" i="45" s="1"/>
  <c r="C17" i="51" s="1"/>
  <c r="B7" i="3" s="1"/>
  <c r="Y23" i="47"/>
  <c r="T1" i="47"/>
  <c r="S3" i="50"/>
  <c r="B19" i="45" l="1"/>
  <c r="T3" i="50"/>
  <c r="U1" i="47"/>
  <c r="U3" i="50" l="1"/>
</calcChain>
</file>

<file path=xl/sharedStrings.xml><?xml version="1.0" encoding="utf-8"?>
<sst xmlns="http://schemas.openxmlformats.org/spreadsheetml/2006/main" count="1046" uniqueCount="703">
  <si>
    <t>Notes:</t>
  </si>
  <si>
    <t>About:</t>
  </si>
  <si>
    <t>Average</t>
  </si>
  <si>
    <t>BTU per GJ</t>
  </si>
  <si>
    <t>Capital Cost Multipliers by State</t>
  </si>
  <si>
    <t>E3</t>
  </si>
  <si>
    <t>2014 WECC Capital Cost Model</t>
  </si>
  <si>
    <t>https://www.wecc.biz/Reliability/2014_TEPPC_GenCapCostCalculator.xlsm</t>
  </si>
  <si>
    <t>Cost Multipliers</t>
  </si>
  <si>
    <t>Biomass</t>
  </si>
  <si>
    <t>Biogas - Landfill</t>
  </si>
  <si>
    <t>Biogas - Other</t>
  </si>
  <si>
    <t>CHP (&lt;5 MW)</t>
  </si>
  <si>
    <t>CHP (&gt;5 MW)</t>
  </si>
  <si>
    <t>Coal - PC</t>
  </si>
  <si>
    <t>Coal - IGCC with CCS</t>
  </si>
  <si>
    <t>Gas CT - Aero</t>
  </si>
  <si>
    <t>Gas CT - Frame</t>
  </si>
  <si>
    <t>Gas CCGT - Conventional, Wet Cooled</t>
  </si>
  <si>
    <t>Gas CCGT - Conventional, Dry Cooled</t>
  </si>
  <si>
    <t>Gas CCGT - Advanced, Wet Cooled</t>
  </si>
  <si>
    <t>Gas CCGT - Advanced, Dry Cooled</t>
  </si>
  <si>
    <t>Gas Reciprocating Engine</t>
  </si>
  <si>
    <t>Geothermal</t>
  </si>
  <si>
    <t>Geothermal - EGS</t>
  </si>
  <si>
    <t>Hydro - Small</t>
  </si>
  <si>
    <t>Hydro - Large</t>
  </si>
  <si>
    <t>Nuclear</t>
  </si>
  <si>
    <t>Solar Thermal - No Storage</t>
  </si>
  <si>
    <t>Solar Thermal - Six Hour Storage</t>
  </si>
  <si>
    <t>Solar PV - Residential Rooftop</t>
  </si>
  <si>
    <t>Solar PV - Commercial Rooftop</t>
  </si>
  <si>
    <t>Solar PV - Fixed Tilt (1-20 MW)</t>
  </si>
  <si>
    <t>Solar PV - Tracking (1-20 MW)</t>
  </si>
  <si>
    <t>Solar PV - Fixed Tilt (&gt;20 MW)</t>
  </si>
  <si>
    <t>Solar PV - Tracking (&gt;20 MW)</t>
  </si>
  <si>
    <t>Storage - Battery</t>
  </si>
  <si>
    <t>Storage - Pumped Storage</t>
  </si>
  <si>
    <t>Wind - Onshore</t>
  </si>
  <si>
    <t>Wind - Offshore</t>
  </si>
  <si>
    <t>Fixed O&amp;M</t>
  </si>
  <si>
    <t>Regional Multipliers</t>
  </si>
  <si>
    <t>US Average</t>
  </si>
  <si>
    <t>%</t>
  </si>
  <si>
    <t>Alberta</t>
  </si>
  <si>
    <t>Arizona</t>
  </si>
  <si>
    <t>British Columbia</t>
  </si>
  <si>
    <t>min (no battery)</t>
  </si>
  <si>
    <t>max (no battery)</t>
  </si>
  <si>
    <t>average (no battery)</t>
  </si>
  <si>
    <t>average (w/ battery)</t>
  </si>
  <si>
    <t>California</t>
  </si>
  <si>
    <t>CFE</t>
  </si>
  <si>
    <t>Colorado</t>
  </si>
  <si>
    <t>Idaho</t>
  </si>
  <si>
    <t>Montana</t>
  </si>
  <si>
    <t>New Mexico</t>
  </si>
  <si>
    <t>Nevada</t>
  </si>
  <si>
    <t>Oregon</t>
  </si>
  <si>
    <t>Texas</t>
  </si>
  <si>
    <t>Utah</t>
  </si>
  <si>
    <t>Washington</t>
  </si>
  <si>
    <t>Wyoming</t>
  </si>
  <si>
    <t>Calculations</t>
  </si>
  <si>
    <t>Without battery storage:</t>
  </si>
  <si>
    <t>With battery storage:</t>
  </si>
  <si>
    <t>Min</t>
  </si>
  <si>
    <t>Max</t>
  </si>
  <si>
    <t>Overall average</t>
  </si>
  <si>
    <t>Method</t>
  </si>
  <si>
    <t>$/Btu</t>
  </si>
  <si>
    <t>Kovscek says that under current oil field procedures, which call for heating 24 hours a day, solar steam could displace the one-third of natural gas burned during the day. </t>
  </si>
  <si>
    <t>Btu</t>
  </si>
  <si>
    <t>https://www.technologyreview.com/s/423112/where-solar-power-meets-the-oil-field/</t>
  </si>
  <si>
    <t>https://www1.eere.energy.gov/manufacturing/resources/petroleum_refining/pdfs/cpi_profile.pdf</t>
  </si>
  <si>
    <t xml:space="preserve">Of this amount, steam for oil recovery that is not generated through cogeneration is assumed to be generated via once-through steam generators (OTSGs), estimated to be responsible for 58 percent of California steam generation, or 301,330 MMBtu per day. </t>
  </si>
  <si>
    <t>Based on data from the California Department of Conservation, between January 2011 and June 2012, average natural gas consumption for steam injection was 522,103 million BTU (MMBtu) per day.</t>
  </si>
  <si>
    <t>More than 60% of the cost of operating a heavy oil field in California is fuel purchase for thermal enhanced oil recovery. GlassPoint offers steam for less cost than steam made from natural gas, delivering significant savings</t>
  </si>
  <si>
    <t>The partnership, between Belridge field operator Aera Energy and solar thermal power company GlassPoint, will feature a 26.5-megawatt photovoltaic array and 850 megawatts-thermal of solar collectors for steam generation. It's slated to come on-line in 2020.</t>
  </si>
  <si>
    <t>Aera, which is jointly owned by majors Shell and Exxon, produces almost a quarter of California’s oil and gas. GlassPoint currently has two running projects in Oman that are tied to oil extraction operations.</t>
  </si>
  <si>
    <t>When implemented, by 2021, 300-400,000 tons of carbon dioxide abated annually.</t>
  </si>
  <si>
    <t>https://www.glasspoint.com/markets/california/</t>
  </si>
  <si>
    <t xml:space="preserve">In speaking with CARB, they say their LCFS planning is only anticipating 1.5-2.25 MMT in annual emission reductions through 2030. </t>
  </si>
  <si>
    <t>https://www.greentechmedia.com/articles/read/california-glasspoint-solar-enhanced-oil-recovery#gs.ZMm1nqY</t>
  </si>
  <si>
    <t>"One of California’s Biggest Solar Projects Will Be Located at an Oil Field"</t>
  </si>
  <si>
    <t xml:space="preserve">Prior work has found:   The potential for carbon reductions from steam generation in enhanced oil recovery is assessed on the basis of natural gas consumption in steam flooding and cyclic steam injection for California onshore wells. </t>
  </si>
  <si>
    <t>GlassPoint says "less than natural gas," thought their graph makes the two options look relatively equal.</t>
  </si>
  <si>
    <t xml:space="preserve">This seems to be primarily about uncertainty with regard to future price impacts of the LCFS and lack of a strong, reliable carbon price. </t>
  </si>
  <si>
    <t xml:space="preserve">There are high upfront costs and so far utilities have not wanted to finance themselves.   Financing for projects appears to be the main practical hurdle. </t>
  </si>
  <si>
    <t>https://www.seia.org/sites/default/files/resources/Solar_Powered_Oil_Production_California_Economy_0.pdf</t>
  </si>
  <si>
    <t xml:space="preserve">ICF report 2015 explore impacts of a 30% substitution of solar steam for natural gas. </t>
  </si>
  <si>
    <t>Policy</t>
  </si>
  <si>
    <t>early eqpt retirement</t>
  </si>
  <si>
    <t>proper installation and use of eqpt</t>
  </si>
  <si>
    <t>cogeneration and waste heat recovery</t>
  </si>
  <si>
    <t>eqpt efficiency stds</t>
  </si>
  <si>
    <t>substitute other fuels for coal</t>
  </si>
  <si>
    <t>substitute other fuels for natural gas</t>
  </si>
  <si>
    <t>research and development</t>
  </si>
  <si>
    <t>Currency Year Adjustment</t>
  </si>
  <si>
    <t>We adjust 2012 dollars to 2017 dollars using the following conversion factor:</t>
  </si>
  <si>
    <t>See "cpi.xlsx" in the InputData folder for source information.</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</si>
  <si>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</si>
  <si>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</si>
  <si>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</si>
  <si>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</si>
  <si>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</si>
  <si>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</si>
  <si>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Conversion factor</t>
  </si>
  <si>
    <t>International Energy Agency unit converter</t>
  </si>
  <si>
    <t>https://iea.org/statistics/resources/unitconverter/</t>
  </si>
  <si>
    <t>Cost per Unit Energy (2017$/BTU)</t>
  </si>
  <si>
    <t>Sum</t>
  </si>
  <si>
    <t>Biomass industry variable represents solar steam for industry within Vensim processing (and carries zero fuel cost, per solar).</t>
  </si>
  <si>
    <t>CtIEPpUESoS Cost to Implement Efficiency Policy per Unit Energy Saved or Shifted</t>
  </si>
  <si>
    <t>Code</t>
  </si>
  <si>
    <t>Program</t>
  </si>
  <si>
    <t>Positions</t>
  </si>
  <si>
    <t>Administration</t>
  </si>
  <si>
    <t>$-</t>
  </si>
  <si>
    <t>Administration - Distributed</t>
  </si>
  <si>
    <t>-</t>
  </si>
  <si>
    <t>Totals, Positions and Expenditures (excluding Infrastructure)</t>
  </si>
  <si>
    <t>Infrastructure Expenditures</t>
  </si>
  <si>
    <t>Totals, Positions and All Expenditures</t>
  </si>
  <si>
    <t>Dollars*</t>
  </si>
  <si>
    <t>Mobile Source</t>
  </si>
  <si>
    <t>Stationary Source</t>
  </si>
  <si>
    <t>Climate Change</t>
  </si>
  <si>
    <t>Subvention</t>
  </si>
  <si>
    <t>Zero/Near Zero Emission Warehouse Program</t>
  </si>
  <si>
    <t>Community Air Protection</t>
  </si>
  <si>
    <t>http://www.ebudget.ca.gov/budget/publication/#/e/2018-19/Department/3900</t>
  </si>
  <si>
    <t>AIR RESOURCES BOARD</t>
  </si>
  <si>
    <t>From their marketing materials:</t>
  </si>
  <si>
    <t xml:space="preserve">This is the line for code 3510 from the budget detail below. </t>
  </si>
  <si>
    <t>Source</t>
  </si>
  <si>
    <t>BAU industry natural gas use</t>
  </si>
  <si>
    <t>intended policy schedule</t>
  </si>
  <si>
    <t>Sum of Btu's shifted</t>
  </si>
  <si>
    <t>Estimated program implementation cost ($/Btu)</t>
  </si>
  <si>
    <t>Estimated as 10 years of cost divided by 10 years of Btu's shifted</t>
  </si>
  <si>
    <t>https://www.lazard.com/media/450773/lazards-levelized-cost-of-energy-version-120-vfinal.pdf</t>
  </si>
  <si>
    <t>49 million MMBtu of steam</t>
  </si>
  <si>
    <t>Output</t>
  </si>
  <si>
    <t>per year</t>
  </si>
  <si>
    <t>Production (Btu)</t>
  </si>
  <si>
    <t>MMBtu per year</t>
  </si>
  <si>
    <t>Btu per year</t>
  </si>
  <si>
    <t>Revenue</t>
  </si>
  <si>
    <t>Use output from Exhibit 3, ICF, Accelerated Scenario.</t>
  </si>
  <si>
    <t xml:space="preserve">Use natural gas price with carbon price in the "Planned Scenario," which reaches approximately $28 per metric ton in 2030. </t>
  </si>
  <si>
    <t>Project year</t>
  </si>
  <si>
    <t xml:space="preserve">Debt at </t>
  </si>
  <si>
    <t>Debt amount</t>
  </si>
  <si>
    <t>Total capital cost (including labor to install)</t>
  </si>
  <si>
    <t>Interest rate</t>
  </si>
  <si>
    <t>Number of years</t>
  </si>
  <si>
    <t>Times compounding per year</t>
  </si>
  <si>
    <t>Annual debt payment</t>
  </si>
  <si>
    <t>Equity %</t>
  </si>
  <si>
    <t>i.e. "levelized debt service per Lazard terminology"</t>
  </si>
  <si>
    <t>Earnings before interest, taxes, depreciation, and amortization</t>
  </si>
  <si>
    <t>Operating costs</t>
  </si>
  <si>
    <t>https://www.irs.gov/pub/irs-pdf/p946.pdf</t>
  </si>
  <si>
    <t>Total capital cost (installed)</t>
  </si>
  <si>
    <t>Depreciation</t>
  </si>
  <si>
    <t>Years</t>
  </si>
  <si>
    <t>Salvage value</t>
  </si>
  <si>
    <t>Principal payments</t>
  </si>
  <si>
    <t>Interest payment</t>
  </si>
  <si>
    <t>Debt at beginning of period</t>
  </si>
  <si>
    <t>Principal payment</t>
  </si>
  <si>
    <t>Check sums</t>
  </si>
  <si>
    <t>Interest payments</t>
  </si>
  <si>
    <t>Taxable income</t>
  </si>
  <si>
    <t>Tax rate</t>
  </si>
  <si>
    <t>IRR</t>
  </si>
  <si>
    <t>Equity outstanding</t>
  </si>
  <si>
    <t>Return on equity</t>
  </si>
  <si>
    <t>Equity costs</t>
  </si>
  <si>
    <t>Sum of costs for equity include equal base payments plus interest</t>
  </si>
  <si>
    <t>Debt costs</t>
  </si>
  <si>
    <t>sum of earnings</t>
  </si>
  <si>
    <t>Sum of gross costs</t>
  </si>
  <si>
    <t>Net costs</t>
  </si>
  <si>
    <t>Btus of steam</t>
  </si>
  <si>
    <t>Adjusted to reflect the capacity factor of natural gas for steam generation (need more than one Btu of natural gas to generate a Btu of steam)</t>
  </si>
  <si>
    <t>cost per Btu</t>
  </si>
  <si>
    <t>https://www.taxpolicycenter.org/statistics/state-corporate-income-tax-rates</t>
  </si>
  <si>
    <t>California corporate tax rate</t>
  </si>
  <si>
    <t>State Corporate Income Tax, 2018</t>
  </si>
  <si>
    <t>Rate (%)</t>
  </si>
  <si>
    <t>Minimum</t>
  </si>
  <si>
    <t>Formulas for tax year 2018–as of January 1, 2018</t>
  </si>
  <si>
    <t>Special formula for Manufacturing</t>
  </si>
  <si>
    <t>Throwback Rule for Nowhere</t>
  </si>
  <si>
    <t>Addback Rule for Related Entity Income</t>
  </si>
  <si>
    <t>NOL Carryforward</t>
  </si>
  <si>
    <t>NOL Carryback</t>
  </si>
  <si>
    <t>Combined Reporting</t>
  </si>
  <si>
    <t>Joyce or Finnegan (1)</t>
  </si>
  <si>
    <t>Worldwide (2)</t>
  </si>
  <si>
    <t>Notes</t>
  </si>
  <si>
    <t>Sales</t>
  </si>
  <si>
    <t>Payroll</t>
  </si>
  <si>
    <t>Property</t>
  </si>
  <si>
    <t>Alabama</t>
  </si>
  <si>
    <t>Yes</t>
  </si>
  <si>
    <t>Alaska</t>
  </si>
  <si>
    <t>0 to 9.4</t>
  </si>
  <si>
    <t>No</t>
  </si>
  <si>
    <t>Joyce</t>
  </si>
  <si>
    <t>Oil and gas corporations required to file worldwide</t>
  </si>
  <si>
    <t>90% sales, 
5% payroll, 
5% property</t>
  </si>
  <si>
    <t>Finnegan</t>
  </si>
  <si>
    <t>Single sales factor being phased in</t>
  </si>
  <si>
    <t>Arkansas</t>
  </si>
  <si>
    <t>1.0 to 6.5</t>
  </si>
  <si>
    <t>Yes (4)</t>
  </si>
  <si>
    <t>Connecticut</t>
  </si>
  <si>
    <t>7.5 + 20% surcharge</t>
  </si>
  <si>
    <t>33% sales, 33% payroll, 33% property</t>
  </si>
  <si>
    <t>Delaware (3)</t>
  </si>
  <si>
    <t>Florida</t>
  </si>
  <si>
    <t>Georgia</t>
  </si>
  <si>
    <t>Hawaii</t>
  </si>
  <si>
    <t>4.4 to 6.4</t>
  </si>
  <si>
    <t>Illinois</t>
  </si>
  <si>
    <t>Indiana</t>
  </si>
  <si>
    <t>Iowa</t>
  </si>
  <si>
    <t>6 to 12</t>
  </si>
  <si>
    <t>Kansas</t>
  </si>
  <si>
    <t>4 to 7</t>
  </si>
  <si>
    <t>Kentucky</t>
  </si>
  <si>
    <t>4 to 6</t>
  </si>
  <si>
    <t>Louisiana</t>
  </si>
  <si>
    <t>4 to 8</t>
  </si>
  <si>
    <t>Maine</t>
  </si>
  <si>
    <t>3.5 - 8.93</t>
  </si>
  <si>
    <t>Maryland</t>
  </si>
  <si>
    <t>100% sales</t>
  </si>
  <si>
    <t>Massachusetts</t>
  </si>
  <si>
    <t>No (5)</t>
  </si>
  <si>
    <t>Michigan</t>
  </si>
  <si>
    <t>Minnesota</t>
  </si>
  <si>
    <t>Mississippi</t>
  </si>
  <si>
    <t>3 to 5</t>
  </si>
  <si>
    <t>Missouri</t>
  </si>
  <si>
    <t>Nebraska</t>
  </si>
  <si>
    <t>5.58 to 7.81</t>
  </si>
  <si>
    <t>********************************************************************************************************************************************************************************</t>
  </si>
  <si>
    <t>New Hampshire</t>
  </si>
  <si>
    <t>New Jersey</t>
  </si>
  <si>
    <t>4.8 to 5.9</t>
  </si>
  <si>
    <t>Only large retailers are required to file combined returns.</t>
  </si>
  <si>
    <t>New York</t>
  </si>
  <si>
    <t>$25 to $250,000</t>
  </si>
  <si>
    <t>Yes (Royalty)</t>
  </si>
  <si>
    <t>North Carolina</t>
  </si>
  <si>
    <t>North Dakota</t>
  </si>
  <si>
    <t>1.41 to 4.31</t>
  </si>
  <si>
    <t>$50 (banks)</t>
  </si>
  <si>
    <t>Ohio</t>
  </si>
  <si>
    <t>Corporate franchise                          gross receipts tax</t>
  </si>
  <si>
    <t>Oklahoma</t>
  </si>
  <si>
    <t>6.6 to 7.6</t>
  </si>
  <si>
    <t>$150 to $100,000</t>
  </si>
  <si>
    <t>Pennsylvania</t>
  </si>
  <si>
    <t>Rhode Island</t>
  </si>
  <si>
    <t>South Carolina</t>
  </si>
  <si>
    <t xml:space="preserve">South Dakota </t>
  </si>
  <si>
    <t>Tennessee</t>
  </si>
  <si>
    <t>Only financial institutions, REITs and hospital companies are required to file combined returns</t>
  </si>
  <si>
    <t>Gross receipts tax</t>
  </si>
  <si>
    <t>Vermont</t>
  </si>
  <si>
    <t>6 to 8.5</t>
  </si>
  <si>
    <t>Virginia</t>
  </si>
  <si>
    <t>West Virginia</t>
  </si>
  <si>
    <t>Wisconsin</t>
  </si>
  <si>
    <t>District of Columbia</t>
  </si>
  <si>
    <r>
      <t xml:space="preserve">(1) Joyce and Finnigan are methods of determining the sales factor for apportionment. States using </t>
    </r>
    <r>
      <rPr>
        <i/>
        <sz val="9"/>
        <rFont val="Avenir LT Std 55 Roman"/>
        <family val="2"/>
      </rPr>
      <t>Joyce</t>
    </r>
    <r>
      <rPr>
        <sz val="9"/>
        <rFont val="Avenir LT Std 55 Roman"/>
        <family val="2"/>
      </rPr>
      <t xml:space="preserve"> only include entities with nexus.</t>
    </r>
  </si>
  <si>
    <t>(2) Worldwide reporting includes foreign affiliates in the combined entity income; water's edge reporting excludes this income.</t>
  </si>
  <si>
    <t>(3) Delaware is phasing in a single sales factor for businesses through Jan. 1, 2020.</t>
  </si>
  <si>
    <t>(4) Corporations can elect to file water's edge.</t>
  </si>
  <si>
    <t>(4) Corporations can elect to file worldwide.</t>
  </si>
  <si>
    <t>Source: Compiled by Tax Policy Center from state sources, CCH, Federation of Tax Administrators.</t>
  </si>
  <si>
    <t>midpoint</t>
  </si>
  <si>
    <t>exclude</t>
  </si>
  <si>
    <t>Average without California</t>
  </si>
  <si>
    <t>Difference in California</t>
  </si>
  <si>
    <t>California adjustment</t>
  </si>
  <si>
    <t>Adjusted for California</t>
  </si>
  <si>
    <t>Tax liability</t>
  </si>
  <si>
    <t>natural gas efficiency</t>
  </si>
  <si>
    <t xml:space="preserve">The tab "solar steam agency cost" shows these calculations for the fuel switching policy leading to increasing use of solar thermal steam for industry. </t>
  </si>
  <si>
    <t xml:space="preserve">Natural gas fuel switching </t>
  </si>
  <si>
    <t>Lazard</t>
  </si>
  <si>
    <t>Levelized Cost of Energy, 12.0</t>
  </si>
  <si>
    <t>https://www.lazard.com/media/450784/lazards-levelized-cost-of-energy-version-120-vfinal.pdf</t>
  </si>
  <si>
    <t>The Impact of Solar Powered Oil Production on California’s Economy An economic analysis of Innovative Crude Production Methods under the LCFS</t>
  </si>
  <si>
    <t>ICF International</t>
  </si>
  <si>
    <t>2015 (January)</t>
  </si>
  <si>
    <t>https://www.glasspoint.com/media/2015/02/ICF_Impact-of-Solar-Powered-Oil-Production-on-Californias-Economy_January-2015.pdf</t>
  </si>
  <si>
    <t>Tabs to the right of the green "solar steam fuel switch" tab calculate these costs and provide futher explanation.</t>
  </si>
  <si>
    <t>The potential for this policy is taken from the ICF report, which models a 30 percent</t>
  </si>
  <si>
    <t xml:space="preserve">substitution in its Accelerated Sceanio. </t>
  </si>
  <si>
    <t>Policy potential</t>
  </si>
  <si>
    <t>This reflects the policy potential (ie. 492 million MMBtu) and the efficiency of steam production</t>
  </si>
  <si>
    <t xml:space="preserve">from natural gas using Department of Energy estimate of 81.7% conversion efficiency. </t>
  </si>
  <si>
    <t>Capital costs are taken from the ICF report ("Exhibit 3" of the report).</t>
  </si>
  <si>
    <t>Operating costs are not included in the ICF modeling.  These are assumed to be 1%</t>
  </si>
  <si>
    <t>based on personal communication with people in the industry (Seven Geiger, Solar Lite, June 2019).</t>
  </si>
  <si>
    <t>Sales price assumed to equal what is being replaced, natural gas, using the carbon price</t>
  </si>
  <si>
    <t xml:space="preserve">reflected in the "planned scenario" reaching $28.3 dollar per metric ton in 2030 ($2017 dollars). </t>
  </si>
  <si>
    <t>Production and earnings</t>
  </si>
  <si>
    <t>1% estimate of yearly O&amp;M</t>
  </si>
  <si>
    <t>These are assumed to be one percent of the installed capital costs.</t>
  </si>
  <si>
    <t>Revenue before accounting for operating costs</t>
  </si>
  <si>
    <t>Natural gas efficiency</t>
  </si>
  <si>
    <t>Dept of Energy, "Benchmark the Fuel Cost of Steam Generation"</t>
  </si>
  <si>
    <t>The framework below is used as a model, with adjustments noted on the "Method" tab</t>
  </si>
  <si>
    <t>Finance model</t>
  </si>
  <si>
    <t>The approach used in the Lazard levelized cost analysis (pictured at the "Finance Model" tab) is used.</t>
  </si>
  <si>
    <t>60 percent debt.  Reflecting higher risk for a new technology, a 10% rate of interest is used instead of the 8% rate used in Lazard.</t>
  </si>
  <si>
    <t>Taxes</t>
  </si>
  <si>
    <t>The tab "adjust state corporate tax" shows efforts to account for higher state tax rates in California.</t>
  </si>
  <si>
    <t>Based on the IRS excerpt shown, it seems that depreciation over a 15 year time period would be possible,</t>
  </si>
  <si>
    <t xml:space="preserve">and this is the schedule used. </t>
  </si>
  <si>
    <t>Substitute Other Fuels for Coal</t>
  </si>
  <si>
    <t>Methodology Notes:</t>
  </si>
  <si>
    <t>We estimate the cost of converting coal equipment to use other fuel types</t>
  </si>
  <si>
    <t>availability of data.</t>
  </si>
  <si>
    <t>Estimate</t>
  </si>
  <si>
    <t>Low</t>
  </si>
  <si>
    <t>High</t>
  </si>
  <si>
    <t>Industrial Boiler Capacity Factor</t>
  </si>
  <si>
    <t>Hours per Year</t>
  </si>
  <si>
    <t>Investment Cost per Unit Annual Energy Converted ($/kWh)</t>
  </si>
  <si>
    <t>kWh per BTU (pure unit conversion, no efficiency loss)</t>
  </si>
  <si>
    <t>Grinding raw materials for cement is an electricity-intensive step, generally requiring about 25 to 35 kilowatt-hours (kWh)/tonne raw material.</t>
  </si>
  <si>
    <t>2012-2017 CPI conversion</t>
  </si>
  <si>
    <t>see "CPI.xls"</t>
  </si>
  <si>
    <t>Babcock and Wilcox</t>
  </si>
  <si>
    <t>Natural Gas Conversions of Existing Coal-Fired Boilers</t>
  </si>
  <si>
    <t>http://www.babcock.com/library/Documents/MS-14.pdf</t>
  </si>
  <si>
    <t>Page 2, "Financial Considerations," paragraph 1</t>
  </si>
  <si>
    <t>Energy and Environmental Analysis, Inc.</t>
  </si>
  <si>
    <t>Characterization of the U.S. Industrial/Commercial Boiler Population</t>
  </si>
  <si>
    <t>http://www1.eere.energy.gov/manufacturing/distributedenergy/pdfs/characterization_industrial_commerical_boiler_population.pdf</t>
  </si>
  <si>
    <t>Page ES-4, Section ES-5, Paragraph 2, last sentence</t>
  </si>
  <si>
    <t>Year</t>
  </si>
  <si>
    <t>Cost to administer policy</t>
  </si>
  <si>
    <t>The line item for the Stationary Source Program in the Air Resource Board is used to very roughly estimate program implementation cost for new industry program costs</t>
  </si>
  <si>
    <t>Annual cost estimate - adjusted to 80%</t>
  </si>
  <si>
    <t xml:space="preserve">In order to reflect anticipated concerns about the "social license to operate" over the long run, a 15-year time horizon is used instead of the 20-year horizon below. </t>
  </si>
  <si>
    <t xml:space="preserve">Equity portion of financing </t>
  </si>
  <si>
    <t>Annual equity paymets</t>
  </si>
  <si>
    <t>Two years worth of extra startup costs</t>
  </si>
  <si>
    <t>Imputed total administrative cost.</t>
  </si>
  <si>
    <t>40 percent equity.  Reflecting higher risk for a new technology, a 15% rate of return for equity investors is assumed compared to the 12% rate used in Lazard.</t>
  </si>
  <si>
    <t>As sum of equal annual payments</t>
  </si>
  <si>
    <t>As sum of calculated interest and principal</t>
  </si>
  <si>
    <t>equal payments over 12 years</t>
  </si>
  <si>
    <t>Project horizon in years</t>
  </si>
  <si>
    <t>12 year project.</t>
  </si>
  <si>
    <t>project length</t>
  </si>
  <si>
    <t>Cost as Basis The basis of property you buy is its cost plus amounts you paid for items such as sales tax (see Exception below), freight charges, and installation and testing fees. The cost includes the amount you pay in cash, debt obligations, other property, or services.</t>
  </si>
  <si>
    <t>Sum of equity and debt payments</t>
  </si>
  <si>
    <t>The cost includes the amount you pay in cash, debt obligations, other property, or services.</t>
  </si>
  <si>
    <t xml:space="preserve">Cost as Basis </t>
  </si>
  <si>
    <t xml:space="preserve">The basis of property you buy is its cost plus amounts you paid for items such as sales tax (see Exception below), freight charges, and installation and testing fees. </t>
  </si>
  <si>
    <t>Combined tax rate</t>
  </si>
  <si>
    <t>See associated file "EOR_natural_gas.xls"</t>
  </si>
  <si>
    <t xml:space="preserve">Weighted average </t>
  </si>
  <si>
    <t>Transportation Sector Price ($/BTU)</t>
  </si>
  <si>
    <t>Electricity Sector Price ($/BTU)</t>
  </si>
  <si>
    <t>Electricity Sector Price for Natural Gas ($/BTU)</t>
  </si>
  <si>
    <t>From BAU Fuel Cost per Unit Energy by Sector</t>
  </si>
  <si>
    <t>Industry Sector Price ($/BTU)</t>
  </si>
  <si>
    <t>Industry Sector Price for Natural Gas ($/BTU)</t>
  </si>
  <si>
    <t>Inputs</t>
  </si>
  <si>
    <t>Imputed natural gas price for EOR</t>
  </si>
  <si>
    <t>Assume price per Btu of steam also includes 1% O&amp;M</t>
  </si>
  <si>
    <t>Revenue net of operating cost for solar thermal steam</t>
  </si>
  <si>
    <t>Production</t>
  </si>
  <si>
    <t>From ICF report</t>
  </si>
  <si>
    <t>At 12 year project, with current assumptions</t>
  </si>
  <si>
    <t>2025 first year of operation.</t>
  </si>
  <si>
    <t xml:space="preserve">Net tax liability </t>
  </si>
  <si>
    <t>Annual tax liability greater than zero</t>
  </si>
  <si>
    <t>Sum of tax liability in positive years</t>
  </si>
  <si>
    <t>Suppose the program requires a 50% increase in the budget of the Stationary Source Program at CARB, with details below.</t>
  </si>
  <si>
    <t>Implied annual cost</t>
  </si>
  <si>
    <t>Two years of annual costs added before implementation for startup</t>
  </si>
  <si>
    <t>effective annual years through 2030</t>
  </si>
  <si>
    <t>2023-2030</t>
  </si>
  <si>
    <t>10 years of costs</t>
  </si>
  <si>
    <t>Rough calculation of program costs</t>
  </si>
  <si>
    <t xml:space="preserve">HALF </t>
  </si>
  <si>
    <t>AT HALF</t>
  </si>
  <si>
    <t>Cost per Btu with governmental costs</t>
  </si>
  <si>
    <t>Policy setting</t>
  </si>
  <si>
    <t>Year reaching max in EI scenario</t>
  </si>
  <si>
    <t>Implicit annual increment in FOPITY</t>
  </si>
  <si>
    <t>Startup and annual implementation costs</t>
  </si>
  <si>
    <t>Government cost ($/Btu)</t>
  </si>
  <si>
    <t xml:space="preserve">Calculated ratio of thermal EOR rate paid for natural gas over the natural gas price paid for electricity generators. </t>
  </si>
  <si>
    <t>https://www.pge.com/tariffs/GRF1217.pdf</t>
  </si>
  <si>
    <t>https://www.pge.com/tariffs/GRF.SHTML</t>
  </si>
  <si>
    <t>Another source for PG&amp;E rates</t>
  </si>
  <si>
    <t>Ratio of non-utility supplied price over price for electricity generation</t>
  </si>
  <si>
    <t>Retail - highest volume level</t>
  </si>
  <si>
    <t>Backbone/Transmission</t>
  </si>
  <si>
    <t>Shares</t>
  </si>
  <si>
    <t>Calculate a weighted average as follows</t>
  </si>
  <si>
    <t>Some large noncore customers take natural gas directly off the high-pressure backbone pipeline systems</t>
  </si>
  <si>
    <t>https://www.cpuc.ca.gov/natural_gas/</t>
  </si>
  <si>
    <t xml:space="preserve">Average </t>
  </si>
  <si>
    <t>So CalGas</t>
  </si>
  <si>
    <t>PGE</t>
  </si>
  <si>
    <t>Retail</t>
  </si>
  <si>
    <t>PG&amp;E</t>
  </si>
  <si>
    <t>SoCal Gas</t>
  </si>
  <si>
    <t xml:space="preserve">Backbone / transmission </t>
  </si>
  <si>
    <t>Input calculations</t>
  </si>
  <si>
    <t>https://www.eia.gov/energyexplained/units-and-calculators/british-thermal-units.php</t>
  </si>
  <si>
    <t>1 cubic foot = 1,036 Btu</t>
  </si>
  <si>
    <t>conversion factor</t>
  </si>
  <si>
    <t>$/cf</t>
  </si>
  <si>
    <t>$/thousand cf</t>
  </si>
  <si>
    <t>2016 EIA</t>
  </si>
  <si>
    <t>one therm equals</t>
  </si>
  <si>
    <t>$/therm</t>
  </si>
  <si>
    <t>Calculations and conversions</t>
  </si>
  <si>
    <t>Backbone / Transmission</t>
  </si>
  <si>
    <t xml:space="preserve">Therefore, in this case, we set the ratio to one, reflecting equal prices for EOR and electric power generation. </t>
  </si>
  <si>
    <t>For SoCal gas, we do not observe a way to directly interpret background rates, but we observe transmission rates are equal to electric power generation.</t>
  </si>
  <si>
    <t>(doesn't account for customer fixed charge per month)</t>
  </si>
  <si>
    <t>Distribution (Tier 5) - Transmission - Ratio of EOR over Power</t>
  </si>
  <si>
    <t>Ratio of EOR over Elec Gen</t>
  </si>
  <si>
    <t>Elec Gen</t>
  </si>
  <si>
    <t>EOR</t>
  </si>
  <si>
    <t>Retail comparison to the high volume electric generation price</t>
  </si>
  <si>
    <t>https://www.socalgas.com/sites/default/files/1443740512263/Rate_Summary.pdf</t>
  </si>
  <si>
    <t>Rate summary below</t>
  </si>
  <si>
    <t>Customers may pay a franchise fee surcharge for gas volumes transported by PG&amp;E (See Schedule GSUR for details.)</t>
  </si>
  <si>
    <t>https://www.pge.com/tariffs/GRF1019.pdf</t>
  </si>
  <si>
    <t>This shows EOR exempt from PPS</t>
  </si>
  <si>
    <t>no PPP surcharge listed on electric gen sheet.  We understand they are not subject to one.</t>
  </si>
  <si>
    <t>Rate sheet excerpt</t>
  </si>
  <si>
    <t>City gate in $/Btu</t>
  </si>
  <si>
    <t>$ / cf</t>
  </si>
  <si>
    <t>$ / thousand cubic feet</t>
  </si>
  <si>
    <t>City gate price</t>
  </si>
  <si>
    <t>backbone ratio</t>
  </si>
  <si>
    <t>Franchise fee</t>
  </si>
  <si>
    <t>not applicable this year</t>
  </si>
  <si>
    <t>cap-and-trade credit</t>
  </si>
  <si>
    <t>Transportation charge</t>
  </si>
  <si>
    <t>BACKBONE LEVEL</t>
  </si>
  <si>
    <t>non-core tier 5 volume</t>
  </si>
  <si>
    <t xml:space="preserve">electric </t>
  </si>
  <si>
    <t>Year 2017 calculations</t>
  </si>
  <si>
    <t>Ratio</t>
  </si>
  <si>
    <t>Compare to electric power at backbone (very little if any electric power generated from retail natural gas, we expected)</t>
  </si>
  <si>
    <t>Distribution level</t>
  </si>
  <si>
    <t>electric rate comparison point</t>
  </si>
  <si>
    <r>
      <t xml:space="preserve">Seasons:  </t>
    </r>
    <r>
      <rPr>
        <b/>
        <sz val="8"/>
        <rFont val="Arial"/>
        <family val="2"/>
      </rPr>
      <t>Winter</t>
    </r>
    <r>
      <rPr>
        <sz val="8"/>
        <rFont val="Arial"/>
        <family val="2"/>
      </rPr>
      <t xml:space="preserve"> = Nov-March     </t>
    </r>
    <r>
      <rPr>
        <b/>
        <sz val="8"/>
        <rFont val="Arial"/>
        <family val="2"/>
      </rPr>
      <t>Summer</t>
    </r>
    <r>
      <rPr>
        <sz val="8"/>
        <rFont val="Arial"/>
        <family val="2"/>
      </rPr>
      <t xml:space="preserve"> = April-Oct</t>
    </r>
  </si>
  <si>
    <r>
      <t xml:space="preserve">4/ </t>
    </r>
    <r>
      <rPr>
        <sz val="8"/>
        <rFont val="Arial"/>
        <family val="2"/>
      </rPr>
      <t>See Schedule G-PPPS for details and exempt customers.</t>
    </r>
  </si>
  <si>
    <t xml:space="preserve">   who will see a line item credit on their bill equal to $0.04781 per therm times their monthly billed volumes.  See tariff for further explanation.</t>
  </si>
  <si>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Greenhouse Gas (GHG) emissions) </t>
    </r>
  </si>
  <si>
    <r>
      <t xml:space="preserve">2/ </t>
    </r>
    <r>
      <rPr>
        <sz val="8"/>
        <rFont val="Arial"/>
        <family val="2"/>
      </rPr>
      <t>Unless otherwise noted</t>
    </r>
  </si>
  <si>
    <r>
      <t xml:space="preserve">1/ </t>
    </r>
    <r>
      <rPr>
        <sz val="8"/>
        <rFont val="Arial"/>
        <family val="2"/>
      </rPr>
      <t>Customer may pay a franchise fee surcharge for gas volumes transported by PG&amp;E (see Schedule G-SUR for details).</t>
    </r>
  </si>
  <si>
    <t>Distribution</t>
  </si>
  <si>
    <t>Transmission</t>
  </si>
  <si>
    <t>Backbone</t>
  </si>
  <si>
    <t>Total Transportation and Schedule G-PPPS Surcharge</t>
  </si>
  <si>
    <t>3528-G</t>
  </si>
  <si>
    <t>3645-G</t>
  </si>
  <si>
    <t>3778-G</t>
  </si>
  <si>
    <t>3901-G</t>
  </si>
  <si>
    <r>
      <t xml:space="preserve">Schedule G-PPPS (Public Purpose Program Surcharge) </t>
    </r>
    <r>
      <rPr>
        <vertAlign val="superscript"/>
        <sz val="9"/>
        <rFont val="Arial"/>
        <family val="2"/>
      </rPr>
      <t>4/</t>
    </r>
  </si>
  <si>
    <r>
      <t xml:space="preserve">Cap-and-Trade Cost Exemption Credit </t>
    </r>
    <r>
      <rPr>
        <b/>
        <vertAlign val="superscript"/>
        <sz val="9"/>
        <rFont val="Arial"/>
        <family val="2"/>
      </rPr>
      <t>3/</t>
    </r>
    <r>
      <rPr>
        <b/>
        <sz val="9"/>
        <rFont val="Arial"/>
        <family val="2"/>
      </rPr>
      <t xml:space="preserve"> </t>
    </r>
    <r>
      <rPr>
        <sz val="9"/>
        <rFont val="Arial"/>
        <family val="2"/>
      </rPr>
      <t xml:space="preserve"> </t>
    </r>
    <r>
      <rPr>
        <sz val="8"/>
        <rFont val="Arial"/>
        <family val="2"/>
      </rPr>
      <t>(per therm)</t>
    </r>
  </si>
  <si>
    <t>3547-G</t>
  </si>
  <si>
    <t>3664-G</t>
  </si>
  <si>
    <t>simple average</t>
  </si>
  <si>
    <t>3727-G</t>
  </si>
  <si>
    <t>3791-G</t>
  </si>
  <si>
    <t>3857-G</t>
  </si>
  <si>
    <t>Distribution Tier 5 = transmission</t>
  </si>
  <si>
    <t>3919-G</t>
  </si>
  <si>
    <t>Winter</t>
  </si>
  <si>
    <t>Summer</t>
  </si>
  <si>
    <t>Electric rates by comprison</t>
  </si>
  <si>
    <t>250,000 and above</t>
  </si>
  <si>
    <t>166,667-249,999 therms</t>
  </si>
  <si>
    <t>50,000-166,666 therms</t>
  </si>
  <si>
    <t>20,834-49,999 therms</t>
  </si>
  <si>
    <t>0-20,833 therms</t>
  </si>
  <si>
    <t>Tier 5</t>
  </si>
  <si>
    <t>Tier 4</t>
  </si>
  <si>
    <t>Tier 3</t>
  </si>
  <si>
    <t>Tier 2</t>
  </si>
  <si>
    <t>Tier 1</t>
  </si>
  <si>
    <r>
      <t xml:space="preserve">Transportation Charge </t>
    </r>
    <r>
      <rPr>
        <sz val="8"/>
        <rFont val="Arial"/>
        <family val="2"/>
      </rPr>
      <t xml:space="preserve"> </t>
    </r>
  </si>
  <si>
    <t>1,000,001 &amp; above</t>
  </si>
  <si>
    <t>200,001 - 1,000,000</t>
  </si>
  <si>
    <t>50,0001 - 200,000</t>
  </si>
  <si>
    <t>10,001 - 50,000</t>
  </si>
  <si>
    <t>5,001 - 10,000</t>
  </si>
  <si>
    <t xml:space="preserve">0 - 5,000 </t>
  </si>
  <si>
    <r>
      <t xml:space="preserve">   Usage  </t>
    </r>
    <r>
      <rPr>
        <sz val="8"/>
        <rFont val="Arial"/>
        <family val="2"/>
      </rPr>
      <t>(therms)</t>
    </r>
  </si>
  <si>
    <t>Advice Letter</t>
  </si>
  <si>
    <r>
      <t xml:space="preserve">Customer Access Charge </t>
    </r>
    <r>
      <rPr>
        <sz val="8"/>
        <rFont val="Arial"/>
        <family val="2"/>
      </rPr>
      <t xml:space="preserve"> (per day)</t>
    </r>
  </si>
  <si>
    <r>
      <t>($/therm)</t>
    </r>
    <r>
      <rPr>
        <b/>
        <vertAlign val="superscript"/>
        <sz val="10"/>
        <rFont val="Arial"/>
        <family val="2"/>
      </rPr>
      <t>2/</t>
    </r>
  </si>
  <si>
    <t>January 1, 2015, to Present</t>
  </si>
  <si>
    <t>Gas Transportation to Noncore End-Use Customers</t>
  </si>
  <si>
    <r>
      <t>Schedule G-NT</t>
    </r>
    <r>
      <rPr>
        <b/>
        <vertAlign val="superscript"/>
        <sz val="10"/>
        <rFont val="Arial"/>
        <family val="2"/>
      </rPr>
      <t>1/</t>
    </r>
  </si>
  <si>
    <t>Pacific Gas and Electric Company</t>
  </si>
  <si>
    <t xml:space="preserve">   Greenhouse Gas (GHG) emissions) who will see a line item credit on their bill equal to $0.04781 per therm times their monthly billed volumes.  See tariff for further explanation.</t>
  </si>
  <si>
    <r>
      <rPr>
        <vertAlign val="superscript"/>
        <sz val="8"/>
        <color indexed="8"/>
        <rFont val="Arial"/>
        <family val="2"/>
      </rPr>
      <t>3/</t>
    </r>
    <r>
      <rPr>
        <sz val="8"/>
        <color indexed="8"/>
        <rFont val="Arial"/>
        <family val="2"/>
      </rPr>
      <t xml:space="preserve"> The Cap-and-Trade Cost Exemption Credit is applicable to Covered Entities (i.e., customers that currently have a direct obligation to pay for allowances directly to the Air Resources Board for their </t>
    </r>
  </si>
  <si>
    <r>
      <t xml:space="preserve">2/ </t>
    </r>
    <r>
      <rPr>
        <sz val="8"/>
        <rFont val="Arial"/>
        <family val="2"/>
      </rPr>
      <t>Effective 4/1/04, Rate Schedule G-EG serves G-COG customers.</t>
    </r>
  </si>
  <si>
    <t>n/a</t>
  </si>
  <si>
    <t xml:space="preserve">Distribution </t>
  </si>
  <si>
    <t xml:space="preserve">Backbone </t>
  </si>
  <si>
    <t>All Other Customers</t>
  </si>
  <si>
    <r>
      <t xml:space="preserve">Transportation Charge </t>
    </r>
    <r>
      <rPr>
        <sz val="8"/>
        <rFont val="Arial"/>
        <family val="2"/>
      </rPr>
      <t xml:space="preserve"> (per therm)</t>
    </r>
  </si>
  <si>
    <t>1,000,000 &amp; above</t>
  </si>
  <si>
    <r>
      <t>April 1, 2004,</t>
    </r>
    <r>
      <rPr>
        <b/>
        <vertAlign val="superscript"/>
        <sz val="10"/>
        <rFont val="Arial"/>
        <family val="2"/>
      </rPr>
      <t>2/</t>
    </r>
    <r>
      <rPr>
        <b/>
        <sz val="10"/>
        <rFont val="Arial"/>
        <family val="2"/>
      </rPr>
      <t xml:space="preserve"> to Present</t>
    </r>
  </si>
  <si>
    <t>Gas Transportation Service to Electric Generation</t>
  </si>
  <si>
    <r>
      <t>Schedule G-EG</t>
    </r>
    <r>
      <rPr>
        <b/>
        <vertAlign val="superscript"/>
        <sz val="10"/>
        <rFont val="Arial"/>
        <family val="2"/>
      </rPr>
      <t>1/</t>
    </r>
  </si>
  <si>
    <t>California Natural Gas Price Sold to Electric Power Consumers (Dollars per Thousand Cubic Feet)</t>
  </si>
  <si>
    <t>Percent of Industrial Natural Gas Deliveries in California Represented by the Price (%)</t>
  </si>
  <si>
    <t>California Natural Gas Industrial Price (Dollars per Thousand Cubic Feet)</t>
  </si>
  <si>
    <t>Percent of Commercial Natural Gas Deliveries in California Represented by the Price (%)</t>
  </si>
  <si>
    <t>California Price of Natural Gas Sold to Commercial Consumers (Dollars per Thousand Cubic Feet)</t>
  </si>
  <si>
    <t>California Natural Gas % of Total Residential - Sales (%)</t>
  </si>
  <si>
    <t>California Price of Natural Gas Delivered to Residential Consumers (Dollars per Thousand Cubic Feet)</t>
  </si>
  <si>
    <t>Natural Gas Citygate Price in California (Dollars per Thousand Cubic Feet)</t>
  </si>
  <si>
    <t>Date</t>
  </si>
  <si>
    <t>N3045CA3</t>
  </si>
  <si>
    <t>N3035CA4</t>
  </si>
  <si>
    <t>N3035CA3</t>
  </si>
  <si>
    <t>N3020CA4</t>
  </si>
  <si>
    <t>N3020CA3</t>
  </si>
  <si>
    <t>NA1504_SCA_4</t>
  </si>
  <si>
    <t>N3010CA3</t>
  </si>
  <si>
    <t>N3050CA3</t>
  </si>
  <si>
    <t>Sourcekey</t>
  </si>
  <si>
    <t>Data 1: California Natural Gas Prices</t>
  </si>
  <si>
    <t>Back to Contents</t>
  </si>
  <si>
    <t>2017 average</t>
  </si>
  <si>
    <t>*Effective July 1, 2017, Franchise Fee Factor Changed due to 2017 GRC D. 17-05-013.</t>
  </si>
  <si>
    <t>Please see Rate Schedule G-SUR for further details.</t>
  </si>
  <si>
    <t>December</t>
  </si>
  <si>
    <t>November</t>
  </si>
  <si>
    <t>October</t>
  </si>
  <si>
    <t>9/1*</t>
  </si>
  <si>
    <t>September</t>
  </si>
  <si>
    <t>August</t>
  </si>
  <si>
    <t>July</t>
  </si>
  <si>
    <t>June</t>
  </si>
  <si>
    <t>May</t>
  </si>
  <si>
    <t>April</t>
  </si>
  <si>
    <t>March</t>
  </si>
  <si>
    <t>February</t>
  </si>
  <si>
    <t>January</t>
  </si>
  <si>
    <t>Rate</t>
  </si>
  <si>
    <t>Effective Date</t>
  </si>
  <si>
    <t>Year 2009</t>
  </si>
  <si>
    <t>Year 2010</t>
  </si>
  <si>
    <t>Year 2011</t>
  </si>
  <si>
    <t>Year 2012</t>
  </si>
  <si>
    <t>Year 2013</t>
  </si>
  <si>
    <t>Year 2014</t>
  </si>
  <si>
    <t>Year 2015</t>
  </si>
  <si>
    <t>Year 2016</t>
  </si>
  <si>
    <t>Year 2017</t>
  </si>
  <si>
    <t>Year 2018</t>
  </si>
  <si>
    <t>Year 2019</t>
  </si>
  <si>
    <t>Month</t>
  </si>
  <si>
    <t>Ave</t>
  </si>
  <si>
    <t>($/therm)</t>
  </si>
  <si>
    <t>January 1, 2014, to Present</t>
  </si>
  <si>
    <t>Customer-Procured Gas Franchise Fee Surcharge</t>
  </si>
  <si>
    <t>Schedule G-SUR</t>
  </si>
  <si>
    <t>LULUCF Sector Price ($/BTU)</t>
  </si>
  <si>
    <t>District Heating Sector Price ($/BTU)</t>
  </si>
  <si>
    <t>Commercial Buildings Sector Price ($/BTU)</t>
  </si>
  <si>
    <t>Residential Buildings Sector Price ($/BTU)</t>
  </si>
  <si>
    <t>imputed electric power price for 2017</t>
  </si>
  <si>
    <t>five year average amount above city gate for electric power</t>
  </si>
  <si>
    <t>amount above citygate</t>
  </si>
  <si>
    <t>California Natural Gas Vehicle Fuel Price (Dollars per Thousand Cubic Feet)</t>
  </si>
  <si>
    <t>California Natural Gas Pipeline and Distribution Use Price (Dollars per Thousand Cubic Feet)</t>
  </si>
  <si>
    <t>Price of California Natural Gas Exports (Dollars per Thousand Cubic Feet)</t>
  </si>
  <si>
    <t>California Natural Gas Imports Price All Countries (Dollars per Thousand Cubic Feet)</t>
  </si>
  <si>
    <t>California Natural Gas Wellhead Price (Dollars per Thousand Cubic Feet)</t>
  </si>
  <si>
    <t>NA1570_SCA_3</t>
  </si>
  <si>
    <t>NA1480_SCA_3</t>
  </si>
  <si>
    <t>NA1284_SCA_3</t>
  </si>
  <si>
    <t>NGA_EPG0_PM0_SCA-Z00_DMCF</t>
  </si>
  <si>
    <t>NA1140_SCA_3</t>
  </si>
  <si>
    <t xml:space="preserve">Some of the natural gas delivered to California customers may be delivered directly to them without being transported over the regulated utility systems.  </t>
  </si>
  <si>
    <t xml:space="preserve">For example, the Kern River/Mojave pipeline system can deliver natural gas directly to some large customers, "bypassing" the utilities' systems.  </t>
  </si>
  <si>
    <t>Much of California-produced natural gas is also delivered directly to large consumers.</t>
  </si>
  <si>
    <t>An adjustment is necessary for the price of natural gas for steam generation for enhanced oil recovery.</t>
  </si>
  <si>
    <t>We receieved feedback that the industry natural gas price -- per the EIA -- is likely higher that the price paid for enhanced oil recovery using steam.</t>
  </si>
  <si>
    <t>Some background per the CPUC</t>
  </si>
  <si>
    <t>Most of California's noncore customers make natural gas supply arrangements directly with producers or purchase natural gas from marketers.  </t>
  </si>
  <si>
    <t>Utility supplied</t>
  </si>
  <si>
    <t xml:space="preserve">Non-utility supplied </t>
  </si>
  <si>
    <t>For the portion outside of the utility system, the analysis assumes a rate equal to the electricity sector price, implying the following ratio:</t>
  </si>
  <si>
    <t>The line item for the Stationary Source Program in the Air Resource Board is used as an input to estimating program implementation cost.</t>
  </si>
  <si>
    <t>Price of natural gas for thermal (i.e. steam) enhanced oil recovery</t>
  </si>
  <si>
    <t xml:space="preserve">The tab "Price natural gas steam EOR" explains the basic rationale and approach.  </t>
  </si>
  <si>
    <t xml:space="preserve">The following tab carries out the average price calculation with support data and sources at tabs to the right. </t>
  </si>
  <si>
    <t>Within the utility supplied segment, assume 50-50</t>
  </si>
  <si>
    <t>Source:</t>
  </si>
  <si>
    <t>early retirement of equipment</t>
  </si>
  <si>
    <t>Alex MacCurdy et al.</t>
  </si>
  <si>
    <t>Dual Baselines for Industrial Retrofits that Trigger Energy Codes</t>
  </si>
  <si>
    <t>http://aceee.org/files/proceedings/2013/data/papers/3_166.pdf</t>
  </si>
  <si>
    <t>Page 3-8, Table 4</t>
  </si>
  <si>
    <t>cogeneration and WHR, equipment standards: total cost</t>
  </si>
  <si>
    <t>Rocky Mountain Institute</t>
  </si>
  <si>
    <t>Reinventing Fire: Bold Business Solutions for the New Energy Era</t>
  </si>
  <si>
    <t>http://www.rmi.org/RFGraph-Cumulative_2010_value_capital_investment_fuel_savings</t>
  </si>
  <si>
    <t>Cumulative 2010 present value of capital investment and fuel savings</t>
  </si>
  <si>
    <t>cogeneration and WHR, equipment standards: annual energy savings</t>
  </si>
  <si>
    <t>Reinventing Fire</t>
  </si>
  <si>
    <t>http://www.rmi.org/RFGraph-US_industry_energy_saving_potential</t>
  </si>
  <si>
    <t>Book page 127, Figure 4-2 (or see link above)</t>
  </si>
  <si>
    <t>substitute other fuels for coal: conversion costs per unit capacity</t>
  </si>
  <si>
    <t>substitute other fuels for coal: capacity factor</t>
  </si>
  <si>
    <t>For the "subsitute other fuels for coal" policy, the cost is per unit of energy shifted from coal to</t>
  </si>
  <si>
    <t>another fuel type, not per unit of energy saved.</t>
  </si>
  <si>
    <t>All costs are per BTU of energy saved or shifted per year.  That is, it is the cost to buy equipment that</t>
  </si>
  <si>
    <t>achieves this energy savings/shifting annually.</t>
  </si>
  <si>
    <t>We assume the "proper installation and use of equipment" has no investment cost, as it is a different</t>
  </si>
  <si>
    <t>way of doing things that are already done, rather than doing or buying something new.</t>
  </si>
  <si>
    <t>We do not estimate the direct costs of implementing any of the R&amp;D policies in this model.</t>
  </si>
  <si>
    <t>Currency Year</t>
  </si>
  <si>
    <t>MacCurdy et al. do not specify the year of the currency in Table 4.  We assume it to be the year of the</t>
  </si>
  <si>
    <t xml:space="preserve">publication, which is 2013.  RMI currency is in 2010 dollars.  </t>
  </si>
  <si>
    <t>Babcock and Wilcox do not specify the year of their dollar figures, so we assume it is the year of publication (2010).</t>
  </si>
  <si>
    <t>We adjust the dollars to 2012 dollars using the following conversion factors:</t>
  </si>
  <si>
    <t>2013 to 2012, MacCurdy et al.</t>
  </si>
  <si>
    <t>2010 to 2012, RMI and Babcock and Wilcox</t>
  </si>
  <si>
    <t>Early Retirement of Equipment</t>
  </si>
  <si>
    <t>We estimate the cost of industrial equipment replacement per unit energy saved</t>
  </si>
  <si>
    <t>via industrial motors, because of the availability of data.</t>
  </si>
  <si>
    <t>Motors (and chillers) seem to be the focus of industrial equipment</t>
  </si>
  <si>
    <t>early retirement programs- for instance, see Southern California</t>
  </si>
  <si>
    <t>Edison's program, at:</t>
  </si>
  <si>
    <t>https://www.sce.com/SC3/b-rs/large-business/spc/calculating-energy-savings.htm</t>
  </si>
  <si>
    <t>So this seems like a reasonable means of estimation.</t>
  </si>
  <si>
    <t>Motor Horsepower</t>
  </si>
  <si>
    <t>Annual Energy Savings (Super Premium Motor vs. Rewind Existing Motor) (kWh)</t>
  </si>
  <si>
    <t>Incremental Cost (cost of replacement above cost of rewinding) ($)</t>
  </si>
  <si>
    <t>Investment per Unit Annual Energy Savings ($/kWh)</t>
  </si>
  <si>
    <t>21-50</t>
  </si>
  <si>
    <t>51-100</t>
  </si>
  <si>
    <t>101-200</t>
  </si>
  <si>
    <t>Investment per Unit Annual Energy Savings ($/BTU)</t>
  </si>
  <si>
    <t>Cogeneration and Waste Heat Recovery, Equipment Efficiency Standards</t>
  </si>
  <si>
    <t>Annual energy savings achievable in 2050 (BTU)</t>
  </si>
  <si>
    <t>CHP &amp; waste heat</t>
  </si>
  <si>
    <t>efficiency technology</t>
  </si>
  <si>
    <t>Total investment cost to achieve those annual savings in 2050</t>
  </si>
  <si>
    <t>The graph used appears below.  To correspond to the total energy savings found above, we want to use the set of pink bars that</t>
  </si>
  <si>
    <t>correspond to investment over the 2010-2050 period.  We assume the key inside the rightmost blue bar applies to all bars, so</t>
  </si>
  <si>
    <t>light pink corresponds to CHP Waste Heat and midtone pink corresponds to efficiency technology.</t>
  </si>
  <si>
    <t>Since RMI only provides a numerical value for the hight of the complete pink bar, not values for each of the three shades of</t>
  </si>
  <si>
    <t>pink that compose it, we muse use pixel-based measurement to obtain our data from the graph.</t>
  </si>
  <si>
    <t>Note on pixel measurement of this bar graph:</t>
  </si>
  <si>
    <t>RMI's graph was made in Excel.  For this type of graph (namely, white lines separating stacked bars),</t>
  </si>
  <si>
    <t>Excel replaces an equal number of rows of colored pixels</t>
  </si>
  <si>
    <t>with white pixels from the upper and lower bar segments at each junction, with an extra row of the bottom bar at each junction replaced if there</t>
  </si>
  <si>
    <t>are an odd number of lines of white pixel rows to be applied (which is based on zoom level and graph settings).  The top of the uppermost bar</t>
  </si>
  <si>
    <t>segment is covered with the same number of rows of white pixels as the top of any other bar segment (half of a gap, rounding up).</t>
  </si>
  <si>
    <t>Therefore, to correctly measure any bar segment except the bottom one, you can measure the colored part plus one complete white gap</t>
  </si>
  <si>
    <t>between bar segments.  To correctly measure the bottom bar segment, include only half of one white gap, rounding up.</t>
  </si>
  <si>
    <t>Cumulative Cost of Upgrades (2009 $)</t>
  </si>
  <si>
    <t>2010-2050, total (pixels)</t>
  </si>
  <si>
    <t>2010-2050, this policy (pixels)</t>
  </si>
  <si>
    <t>Investment, total (2009 $)</t>
  </si>
  <si>
    <t>Investment, this policy (2009 $)</t>
  </si>
  <si>
    <t>Cost per Unit Energy Saved Annually ($/BTU)</t>
  </si>
  <si>
    <t>via the conversion of coal-fired biolers to natural gas, because of the</t>
  </si>
  <si>
    <t>Typical Pulverized Coal to Natural Gas Conversions</t>
  </si>
  <si>
    <t>Cost per Unit Capacity ($/kW)</t>
  </si>
  <si>
    <t>Avg</t>
  </si>
  <si>
    <t>Investment per Unit Energy Converted ($/BTU)</t>
  </si>
  <si>
    <t>Capital Cost Multipliers by State -WECC Capital Cost Model</t>
  </si>
  <si>
    <t>Resources tab, rows 93-109</t>
  </si>
  <si>
    <t>California adjusted value</t>
  </si>
  <si>
    <t>California adjusted cost</t>
  </si>
  <si>
    <t>(US, 2012)</t>
  </si>
  <si>
    <t>(US, 2017)</t>
  </si>
  <si>
    <t>(CA, 2017)</t>
  </si>
  <si>
    <t xml:space="preserve">Sources related to fuel switching from natural gas </t>
  </si>
</sst>
</file>

<file path=xl/styles.xml><?xml version="1.0" encoding="utf-8"?>
<styleSheet xmlns="http://schemas.openxmlformats.org/spreadsheetml/2006/main" xmlns:mc="http://schemas.openxmlformats.org/markup-compatibility/2006" xmlns:x14ac="http://schemas.microsoft.com/office/spreadsheetml/2009/9/ac" mc:Ignorable="x14ac">
  <numFmts count="32">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
    <numFmt numFmtId="165" formatCode="0.000"/>
    <numFmt numFmtId="166" formatCode="&quot;$&quot;#,##0.00"/>
    <numFmt numFmtId="167" formatCode="_(* #,##0.000_);_(* \(#,##0.000\);_(* &quot;-&quot;??_);_(@_)"/>
    <numFmt numFmtId="168" formatCode="_(* #,##0_);_(* \(#,##0\);_(* &quot;-&quot;??_);_(@_)"/>
    <numFmt numFmtId="169" formatCode="_(&quot;$&quot;* #,##0_);_(&quot;$&quot;* \(#,##0\);_(&quot;$&quot;* &quot;-&quot;??_);_(@_)"/>
    <numFmt numFmtId="170" formatCode="&quot;$&quot;#,##0"/>
    <numFmt numFmtId="171" formatCode="[$-409]d\-mmm\-yy;@"/>
    <numFmt numFmtId="172" formatCode="#"/>
    <numFmt numFmtId="173" formatCode="#,##0&quot;   &quot;;\-#,##0&quot;   &quot;;\-\-&quot;   &quot;;@&quot;   &quot;"/>
    <numFmt numFmtId="174" formatCode="&quot;$&quot;#,##0.000"/>
    <numFmt numFmtId="175" formatCode="0.0000000000"/>
    <numFmt numFmtId="176" formatCode="_-* #,##0.0_-;\-* #,##0.0_-;_-* &quot;-&quot;??_-;_-@_-"/>
    <numFmt numFmtId="177" formatCode="#,##0.00&quot; $&quot;;\-#,##0.00&quot; $&quot;"/>
    <numFmt numFmtId="178" formatCode="0.00_)"/>
    <numFmt numFmtId="179" formatCode="#,##0.000"/>
    <numFmt numFmtId="180" formatCode="&quot;$&quot;#,##0.00000_);[Red]\(&quot;$&quot;#,##0.00000\)"/>
    <numFmt numFmtId="181" formatCode="&quot;$&quot;0.00000"/>
    <numFmt numFmtId="182" formatCode="&quot;$&quot;#,##0.00000"/>
    <numFmt numFmtId="183" formatCode="mm/dd/yy"/>
    <numFmt numFmtId="184" formatCode="mm/dd/yy;@"/>
    <numFmt numFmtId="185" formatCode="&quot;$&quot;#,##0.00000_);\(&quot;$&quot;#,##0.00000\)"/>
    <numFmt numFmtId="186" formatCode="mmm\-yyyy"/>
    <numFmt numFmtId="187" formatCode="m/d"/>
    <numFmt numFmtId="188" formatCode="yyyy"/>
    <numFmt numFmtId="189" formatCode="0.0E+00"/>
    <numFmt numFmtId="190" formatCode="0.000E+00"/>
  </numFmts>
  <fonts count="75">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b/>
      <sz val="10"/>
      <color indexed="9"/>
      <name val="Calibri"/>
      <family val="2"/>
      <scheme val="minor"/>
    </font>
    <font>
      <sz val="10"/>
      <name val="Calibri"/>
      <family val="2"/>
      <scheme val="minor"/>
    </font>
    <font>
      <sz val="11"/>
      <color theme="0" tint="-0.499984740745262"/>
      <name val="Calibri"/>
      <family val="2"/>
      <scheme val="minor"/>
    </font>
    <font>
      <sz val="10"/>
      <color rgb="FF000000"/>
      <name val="Calibri"/>
      <family val="2"/>
      <scheme val="minor"/>
    </font>
    <font>
      <sz val="10"/>
      <color theme="0" tint="-0.499984740745262"/>
      <name val="Calibri"/>
      <family val="2"/>
      <scheme val="minor"/>
    </font>
    <font>
      <sz val="10"/>
      <name val="Arial"/>
      <family val="2"/>
    </font>
    <font>
      <sz val="11"/>
      <color rgb="FF222222"/>
      <name val="Times New Roman"/>
      <family val="1"/>
    </font>
    <font>
      <sz val="10.5"/>
      <color rgb="FF666666"/>
      <name val="Helvetic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u/>
      <sz val="10"/>
      <color indexed="12"/>
      <name val="Arial"/>
      <family val="2"/>
    </font>
    <font>
      <sz val="10"/>
      <name val="Times New Roman"/>
      <family val="1"/>
      <charset val="204"/>
    </font>
    <font>
      <sz val="10"/>
      <name val="MS Sans Serif"/>
      <family val="2"/>
    </font>
    <font>
      <sz val="10"/>
      <name val="Avenir LT Std 55 Roman"/>
      <family val="2"/>
    </font>
    <font>
      <sz val="9"/>
      <name val="Avenir LT Std 55 Roman"/>
      <family val="2"/>
    </font>
    <font>
      <i/>
      <sz val="9"/>
      <name val="Avenir LT Std 55 Roman"/>
      <family val="2"/>
    </font>
    <font>
      <b/>
      <sz val="10"/>
      <name val="Avenir LT Std 55 Roman"/>
      <family val="2"/>
    </font>
    <font>
      <b/>
      <i/>
      <sz val="11"/>
      <color theme="1"/>
      <name val="Calibri"/>
      <family val="2"/>
      <scheme val="minor"/>
    </font>
    <font>
      <sz val="10"/>
      <name val="Arial"/>
      <family val="2"/>
    </font>
    <font>
      <u/>
      <sz val="10"/>
      <color theme="10"/>
      <name val="Arial"/>
      <family val="2"/>
    </font>
    <font>
      <sz val="11"/>
      <color rgb="FF333333"/>
      <name val="Helvetica"/>
      <family val="2"/>
    </font>
    <font>
      <sz val="10"/>
      <name val="Geneva"/>
    </font>
    <font>
      <sz val="11"/>
      <name val="??"/>
      <family val="3"/>
      <charset val="129"/>
    </font>
    <font>
      <sz val="8"/>
      <name val="Arial"/>
      <family val="2"/>
    </font>
    <font>
      <b/>
      <u/>
      <sz val="11"/>
      <color indexed="37"/>
      <name val="Arial"/>
      <family val="2"/>
    </font>
    <font>
      <sz val="10"/>
      <color indexed="12"/>
      <name val="Arial"/>
      <family val="2"/>
    </font>
    <font>
      <sz val="7"/>
      <name val="Small Fonts"/>
      <family val="2"/>
    </font>
    <font>
      <b/>
      <i/>
      <sz val="16"/>
      <name val="Helv"/>
    </font>
    <font>
      <sz val="8"/>
      <color indexed="12"/>
      <name val="Arial"/>
      <family val="2"/>
    </font>
    <font>
      <b/>
      <sz val="10"/>
      <name val="Arial"/>
      <family val="2"/>
    </font>
    <font>
      <sz val="12"/>
      <color rgb="FF333333"/>
      <name val="Arial"/>
      <family val="2"/>
    </font>
    <font>
      <sz val="11"/>
      <name val="Calibri"/>
      <family val="2"/>
    </font>
    <font>
      <b/>
      <sz val="12"/>
      <name val="Arial"/>
      <family val="2"/>
    </font>
    <font>
      <sz val="9"/>
      <name val="Arial"/>
      <family val="2"/>
    </font>
    <font>
      <b/>
      <sz val="8"/>
      <name val="Arial"/>
      <family val="2"/>
    </font>
    <font>
      <vertAlign val="superscript"/>
      <sz val="8"/>
      <name val="Arial"/>
      <family val="2"/>
    </font>
    <font>
      <sz val="8"/>
      <color rgb="FF000000"/>
      <name val="Arial"/>
      <family val="2"/>
    </font>
    <font>
      <sz val="8"/>
      <color indexed="8"/>
      <name val="Arial"/>
      <family val="2"/>
    </font>
    <font>
      <vertAlign val="superscript"/>
      <sz val="8"/>
      <color indexed="8"/>
      <name val="Arial"/>
      <family val="2"/>
    </font>
    <font>
      <b/>
      <sz val="9"/>
      <name val="Arial"/>
      <family val="2"/>
    </font>
    <font>
      <vertAlign val="superscript"/>
      <sz val="9"/>
      <name val="Arial"/>
      <family val="2"/>
    </font>
    <font>
      <b/>
      <vertAlign val="superscript"/>
      <sz val="9"/>
      <name val="Arial"/>
      <family val="2"/>
    </font>
    <font>
      <b/>
      <sz val="10"/>
      <color theme="9" tint="-0.249977111117893"/>
      <name val="Arial"/>
      <family val="2"/>
    </font>
    <font>
      <b/>
      <vertAlign val="superscript"/>
      <sz val="10"/>
      <name val="Arial"/>
      <family val="2"/>
    </font>
    <font>
      <b/>
      <sz val="10"/>
      <name val="Arial"/>
      <family val="2"/>
    </font>
    <font>
      <sz val="9"/>
      <name val="Arial"/>
      <family val="2"/>
    </font>
    <font>
      <b/>
      <sz val="9"/>
      <name val="Arial"/>
      <family val="2"/>
    </font>
    <font>
      <b/>
      <sz val="12"/>
      <color indexed="18"/>
      <name val="Arial"/>
      <family val="2"/>
    </font>
    <font>
      <u/>
      <sz val="10"/>
      <color indexed="12"/>
      <name val="Arial"/>
      <family val="2"/>
    </font>
    <font>
      <sz val="10"/>
      <color indexed="8"/>
      <name val="Arial"/>
      <family val="2"/>
    </font>
    <font>
      <b/>
      <sz val="12"/>
      <color indexed="18"/>
      <name val="Arial"/>
      <family val="2"/>
    </font>
    <font>
      <sz val="11"/>
      <color rgb="FF333333"/>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s>
  <fills count="47">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bgColor indexed="64"/>
      </patternFill>
    </fill>
    <fill>
      <patternFill patternType="solid">
        <fgColor indexed="43"/>
        <bgColor indexed="64"/>
      </patternFill>
    </fill>
    <fill>
      <patternFill patternType="solid">
        <fgColor rgb="FFFFC000"/>
        <bgColor indexed="64"/>
      </patternFill>
    </fill>
    <fill>
      <patternFill patternType="solid">
        <fgColor theme="0"/>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rgb="FFFFFFFF"/>
        <bgColor indexed="64"/>
      </patternFill>
    </fill>
    <fill>
      <patternFill patternType="solid">
        <fgColor indexed="47"/>
        <bgColor indexed="64"/>
      </patternFill>
    </fill>
    <fill>
      <patternFill patternType="solid">
        <fgColor theme="4" tint="0.39997558519241921"/>
        <bgColor indexed="64"/>
      </patternFill>
    </fill>
  </fills>
  <borders count="1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top/>
      <bottom style="thin">
        <color auto="1"/>
      </bottom>
      <diagonal/>
    </border>
    <border>
      <left/>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right/>
      <top style="mediumDashed">
        <color rgb="FFD8D8D8"/>
      </top>
      <bottom style="medium">
        <color rgb="FF0096D7"/>
      </bottom>
      <diagonal/>
    </border>
    <border>
      <left style="thin">
        <color indexed="12"/>
      </left>
      <right style="thin">
        <color indexed="12"/>
      </right>
      <top/>
      <bottom/>
      <diagonal/>
    </border>
    <border>
      <left style="hair">
        <color indexed="12"/>
      </left>
      <right style="thin">
        <color indexed="12"/>
      </right>
      <top style="hair">
        <color indexed="12"/>
      </top>
      <bottom style="thin">
        <color indexed="12"/>
      </bottom>
      <diagonal/>
    </border>
    <border>
      <left style="hair">
        <color indexed="12"/>
      </left>
      <right/>
      <top style="hair">
        <color indexed="12"/>
      </top>
      <bottom style="thin">
        <color indexed="12"/>
      </bottom>
      <diagonal/>
    </border>
    <border>
      <left style="thin">
        <color indexed="12"/>
      </left>
      <right style="hair">
        <color indexed="12"/>
      </right>
      <top style="hair">
        <color indexed="12"/>
      </top>
      <bottom style="thin">
        <color indexed="12"/>
      </bottom>
      <diagonal/>
    </border>
    <border>
      <left style="hair">
        <color indexed="12"/>
      </left>
      <right style="thin">
        <color indexed="12"/>
      </right>
      <top style="hair">
        <color indexed="12"/>
      </top>
      <bottom style="hair">
        <color indexed="12"/>
      </bottom>
      <diagonal/>
    </border>
    <border>
      <left style="hair">
        <color indexed="12"/>
      </left>
      <right/>
      <top/>
      <bottom style="hair">
        <color indexed="12"/>
      </bottom>
      <diagonal/>
    </border>
    <border>
      <left style="thin">
        <color indexed="12"/>
      </left>
      <right style="hair">
        <color indexed="12"/>
      </right>
      <top style="hair">
        <color indexed="12"/>
      </top>
      <bottom style="hair">
        <color indexed="12"/>
      </bottom>
      <diagonal/>
    </border>
    <border>
      <left style="hair">
        <color indexed="12"/>
      </left>
      <right style="thin">
        <color indexed="12"/>
      </right>
      <top/>
      <bottom style="hair">
        <color indexed="12"/>
      </bottom>
      <diagonal/>
    </border>
    <border>
      <left/>
      <right style="thin">
        <color indexed="12"/>
      </right>
      <top/>
      <bottom/>
      <diagonal/>
    </border>
    <border>
      <left style="hair">
        <color indexed="12"/>
      </left>
      <right style="thin">
        <color indexed="64"/>
      </right>
      <top style="hair">
        <color indexed="12"/>
      </top>
      <bottom style="hair">
        <color indexed="12"/>
      </bottom>
      <diagonal/>
    </border>
    <border>
      <left style="thin">
        <color indexed="12"/>
      </left>
      <right/>
      <top/>
      <bottom/>
      <diagonal/>
    </border>
    <border>
      <left style="thin">
        <color indexed="12"/>
      </left>
      <right style="hair">
        <color indexed="12"/>
      </right>
      <top style="thin">
        <color indexed="12"/>
      </top>
      <bottom style="hair">
        <color indexed="12"/>
      </bottom>
      <diagonal/>
    </border>
    <border>
      <left/>
      <right style="thin">
        <color indexed="12"/>
      </right>
      <top style="thin">
        <color indexed="12"/>
      </top>
      <bottom style="hair">
        <color indexed="12"/>
      </bottom>
      <diagonal/>
    </border>
    <border>
      <left/>
      <right/>
      <top style="thin">
        <color indexed="12"/>
      </top>
      <bottom style="hair">
        <color indexed="12"/>
      </bottom>
      <diagonal/>
    </border>
    <border>
      <left style="hair">
        <color indexed="12"/>
      </left>
      <right/>
      <top style="thin">
        <color indexed="12"/>
      </top>
      <bottom style="hair">
        <color indexed="12"/>
      </bottom>
      <diagonal/>
    </border>
    <border>
      <left style="thin">
        <color indexed="12"/>
      </left>
      <right/>
      <top style="thin">
        <color indexed="12"/>
      </top>
      <bottom style="hair">
        <color indexed="12"/>
      </bottom>
      <diagonal/>
    </border>
    <border>
      <left style="thin">
        <color indexed="12"/>
      </left>
      <right style="thin">
        <color indexed="12"/>
      </right>
      <top style="thin">
        <color indexed="12"/>
      </top>
      <bottom style="thin">
        <color indexed="12"/>
      </bottom>
      <diagonal/>
    </border>
    <border>
      <left/>
      <right style="thin">
        <color indexed="12"/>
      </right>
      <top style="hair">
        <color indexed="12"/>
      </top>
      <bottom/>
      <diagonal/>
    </border>
    <border>
      <left style="hair">
        <color indexed="12"/>
      </left>
      <right/>
      <top style="hair">
        <color indexed="12"/>
      </top>
      <bottom/>
      <diagonal/>
    </border>
    <border>
      <left/>
      <right/>
      <top style="hair">
        <color indexed="12"/>
      </top>
      <bottom/>
      <diagonal/>
    </border>
    <border>
      <left style="thin">
        <color indexed="12"/>
      </left>
      <right/>
      <top style="hair">
        <color indexed="12"/>
      </top>
      <bottom style="thin">
        <color indexed="12"/>
      </bottom>
      <diagonal/>
    </border>
    <border>
      <left style="thin">
        <color indexed="12"/>
      </left>
      <right style="thin">
        <color indexed="12"/>
      </right>
      <top style="hair">
        <color indexed="12"/>
      </top>
      <bottom style="hair">
        <color indexed="12"/>
      </bottom>
      <diagonal/>
    </border>
    <border>
      <left/>
      <right style="hair">
        <color indexed="12"/>
      </right>
      <top/>
      <bottom style="hair">
        <color indexed="12"/>
      </bottom>
      <diagonal/>
    </border>
    <border>
      <left style="thin">
        <color indexed="12"/>
      </left>
      <right/>
      <top style="hair">
        <color indexed="12"/>
      </top>
      <bottom style="hair">
        <color indexed="12"/>
      </bottom>
      <diagonal/>
    </border>
    <border>
      <left style="hair">
        <color indexed="12"/>
      </left>
      <right style="hair">
        <color indexed="12"/>
      </right>
      <top style="hair">
        <color indexed="12"/>
      </top>
      <bottom style="hair">
        <color indexed="12"/>
      </bottom>
      <diagonal/>
    </border>
    <border>
      <left style="hair">
        <color indexed="12"/>
      </left>
      <right/>
      <top style="hair">
        <color indexed="12"/>
      </top>
      <bottom style="hair">
        <color indexed="12"/>
      </bottom>
      <diagonal/>
    </border>
    <border>
      <left style="thin">
        <color indexed="12"/>
      </left>
      <right style="thin">
        <color indexed="12"/>
      </right>
      <top/>
      <bottom style="hair">
        <color indexed="12"/>
      </bottom>
      <diagonal/>
    </border>
    <border>
      <left style="hair">
        <color indexed="12"/>
      </left>
      <right style="hair">
        <color indexed="12"/>
      </right>
      <top/>
      <bottom style="hair">
        <color indexed="12"/>
      </bottom>
      <diagonal/>
    </border>
    <border>
      <left style="thin">
        <color indexed="12"/>
      </left>
      <right style="hair">
        <color indexed="12"/>
      </right>
      <top/>
      <bottom/>
      <diagonal/>
    </border>
    <border>
      <left/>
      <right style="thin">
        <color indexed="12"/>
      </right>
      <top/>
      <bottom style="hair">
        <color indexed="12"/>
      </bottom>
      <diagonal/>
    </border>
    <border>
      <left/>
      <right/>
      <top/>
      <bottom style="hair">
        <color indexed="12"/>
      </bottom>
      <diagonal/>
    </border>
    <border>
      <left/>
      <right style="hair">
        <color indexed="12"/>
      </right>
      <top style="hair">
        <color indexed="12"/>
      </top>
      <bottom style="hair">
        <color indexed="12"/>
      </bottom>
      <diagonal/>
    </border>
    <border>
      <left style="hair">
        <color indexed="12"/>
      </left>
      <right/>
      <top/>
      <bottom/>
      <diagonal/>
    </border>
    <border>
      <left/>
      <right style="thin">
        <color indexed="12"/>
      </right>
      <top style="hair">
        <color indexed="12"/>
      </top>
      <bottom style="hair">
        <color indexed="12"/>
      </bottom>
      <diagonal/>
    </border>
    <border>
      <left/>
      <right/>
      <top style="hair">
        <color indexed="12"/>
      </top>
      <bottom style="hair">
        <color indexed="12"/>
      </bottom>
      <diagonal/>
    </border>
    <border>
      <left style="thin">
        <color indexed="12"/>
      </left>
      <right style="hair">
        <color indexed="12"/>
      </right>
      <top style="thin">
        <color indexed="12"/>
      </top>
      <bottom/>
      <diagonal/>
    </border>
    <border>
      <left style="thin">
        <color indexed="12"/>
      </left>
      <right/>
      <top style="thin">
        <color indexed="12"/>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diagonal/>
    </border>
    <border>
      <left/>
      <right/>
      <top style="thin">
        <color indexed="12"/>
      </top>
      <bottom/>
      <diagonal/>
    </border>
    <border>
      <left style="thin">
        <color indexed="12"/>
      </left>
      <right/>
      <top/>
      <bottom style="hair">
        <color indexed="12"/>
      </bottom>
      <diagonal/>
    </border>
    <border>
      <left style="thin">
        <color indexed="12"/>
      </left>
      <right style="thin">
        <color indexed="12"/>
      </right>
      <top/>
      <bottom style="thin">
        <color indexed="12"/>
      </bottom>
      <diagonal/>
    </border>
    <border>
      <left/>
      <right/>
      <top/>
      <bottom style="thin">
        <color indexed="12"/>
      </bottom>
      <diagonal/>
    </border>
    <border>
      <left/>
      <right style="thin">
        <color indexed="12"/>
      </right>
      <top/>
      <bottom style="thin">
        <color indexed="12"/>
      </bottom>
      <diagonal/>
    </border>
    <border>
      <left/>
      <right style="hair">
        <color indexed="12"/>
      </right>
      <top/>
      <bottom style="thin">
        <color indexed="12"/>
      </bottom>
      <diagonal/>
    </border>
    <border>
      <left style="hair">
        <color indexed="12"/>
      </left>
      <right/>
      <top/>
      <bottom style="thin">
        <color indexed="12"/>
      </bottom>
      <diagonal/>
    </border>
    <border>
      <left/>
      <right/>
      <top style="hair">
        <color indexed="12"/>
      </top>
      <bottom style="thin">
        <color indexed="12"/>
      </bottom>
      <diagonal/>
    </border>
    <border>
      <left/>
      <right style="hair">
        <color indexed="12"/>
      </right>
      <top/>
      <bottom/>
      <diagonal/>
    </border>
    <border>
      <left/>
      <right style="hair">
        <color indexed="12"/>
      </right>
      <top style="thin">
        <color indexed="12"/>
      </top>
      <bottom/>
      <diagonal/>
    </border>
    <border>
      <left style="hair">
        <color indexed="12"/>
      </left>
      <right/>
      <top style="thin">
        <color indexed="12"/>
      </top>
      <bottom/>
      <diagonal/>
    </border>
    <border>
      <left style="thin">
        <color indexed="12"/>
      </left>
      <right style="hair">
        <color indexed="12"/>
      </right>
      <top/>
      <bottom style="hair">
        <color indexed="12"/>
      </bottom>
      <diagonal/>
    </border>
    <border>
      <left/>
      <right style="thin">
        <color indexed="12"/>
      </right>
      <top style="thin">
        <color indexed="12"/>
      </top>
      <bottom style="thin">
        <color indexed="12"/>
      </bottom>
      <diagonal/>
    </border>
    <border>
      <left/>
      <right style="hair">
        <color indexed="12"/>
      </right>
      <top style="thin">
        <color indexed="12"/>
      </top>
      <bottom style="thin">
        <color indexed="12"/>
      </bottom>
      <diagonal/>
    </border>
    <border>
      <left style="hair">
        <color indexed="12"/>
      </left>
      <right/>
      <top style="thin">
        <color indexed="12"/>
      </top>
      <bottom style="thin">
        <color indexed="12"/>
      </bottom>
      <diagonal/>
    </border>
    <border>
      <left style="hair">
        <color indexed="12"/>
      </left>
      <right style="hair">
        <color indexed="12"/>
      </right>
      <top style="thin">
        <color indexed="12"/>
      </top>
      <bottom style="hair">
        <color indexed="12"/>
      </bottom>
      <diagonal/>
    </border>
    <border>
      <left style="thin">
        <color indexed="12"/>
      </left>
      <right/>
      <top/>
      <bottom style="thin">
        <color indexed="12"/>
      </bottom>
      <diagonal/>
    </border>
    <border>
      <left style="hair">
        <color indexed="12"/>
      </left>
      <right style="thin">
        <color indexed="64"/>
      </right>
      <top style="hair">
        <color indexed="12"/>
      </top>
      <bottom style="thin">
        <color indexed="64"/>
      </bottom>
      <diagonal/>
    </border>
    <border>
      <left style="thin">
        <color indexed="12"/>
      </left>
      <right style="hair">
        <color indexed="12"/>
      </right>
      <top style="hair">
        <color indexed="12"/>
      </top>
      <bottom style="thin">
        <color indexed="64"/>
      </bottom>
      <diagonal/>
    </border>
    <border>
      <left style="hair">
        <color indexed="12"/>
      </left>
      <right style="thin">
        <color indexed="12"/>
      </right>
      <top style="hair">
        <color indexed="12"/>
      </top>
      <bottom style="thin">
        <color indexed="64"/>
      </bottom>
      <diagonal/>
    </border>
    <border>
      <left style="hair">
        <color indexed="12"/>
      </left>
      <right style="thin">
        <color indexed="12"/>
      </right>
      <top style="hair">
        <color indexed="12"/>
      </top>
      <bottom style="thin">
        <color rgb="FF0000FF"/>
      </bottom>
      <diagonal/>
    </border>
    <border>
      <left style="thin">
        <color indexed="12"/>
      </left>
      <right style="hair">
        <color indexed="12"/>
      </right>
      <top style="hair">
        <color indexed="12"/>
      </top>
      <bottom style="thin">
        <color rgb="FF0000FF"/>
      </bottom>
      <diagonal/>
    </border>
    <border>
      <left/>
      <right/>
      <top style="hair">
        <color indexed="12"/>
      </top>
      <bottom style="thin">
        <color rgb="FF0000FF"/>
      </bottom>
      <diagonal/>
    </border>
    <border>
      <left/>
      <right style="thin">
        <color indexed="12"/>
      </right>
      <top style="hair">
        <color indexed="12"/>
      </top>
      <bottom style="thin">
        <color rgb="FF0000FF"/>
      </bottom>
      <diagonal/>
    </border>
    <border>
      <left style="thin">
        <color rgb="FF0000FF"/>
      </left>
      <right style="thin">
        <color indexed="12"/>
      </right>
      <top style="hair">
        <color indexed="12"/>
      </top>
      <bottom style="thin">
        <color rgb="FF0000FF"/>
      </bottom>
      <diagonal/>
    </border>
    <border>
      <left style="hair">
        <color indexed="12"/>
      </left>
      <right style="thin">
        <color indexed="64"/>
      </right>
      <top/>
      <bottom style="hair">
        <color indexed="12"/>
      </bottom>
      <diagonal/>
    </border>
    <border>
      <left style="thin">
        <color rgb="FF0000FF"/>
      </left>
      <right style="thin">
        <color indexed="12"/>
      </right>
      <top/>
      <bottom style="hair">
        <color indexed="12"/>
      </bottom>
      <diagonal/>
    </border>
    <border>
      <left style="hair">
        <color indexed="12"/>
      </left>
      <right style="thin">
        <color indexed="64"/>
      </right>
      <top style="thin">
        <color indexed="12"/>
      </top>
      <bottom style="hair">
        <color indexed="12"/>
      </bottom>
      <diagonal/>
    </border>
    <border>
      <left style="hair">
        <color indexed="12"/>
      </left>
      <right style="thin">
        <color indexed="12"/>
      </right>
      <top style="thin">
        <color indexed="12"/>
      </top>
      <bottom style="hair">
        <color indexed="12"/>
      </bottom>
      <diagonal/>
    </border>
    <border>
      <left style="thin">
        <color rgb="FF0000FF"/>
      </left>
      <right style="thin">
        <color indexed="12"/>
      </right>
      <top style="thin">
        <color indexed="12"/>
      </top>
      <bottom style="hair">
        <color indexed="12"/>
      </bottom>
      <diagonal/>
    </border>
    <border>
      <left/>
      <right style="thin">
        <color indexed="64"/>
      </right>
      <top style="thin">
        <color indexed="12"/>
      </top>
      <bottom style="thin">
        <color indexed="12"/>
      </bottom>
      <diagonal/>
    </border>
    <border>
      <left style="thin">
        <color rgb="FF0000FF"/>
      </left>
      <right style="thin">
        <color indexed="12"/>
      </right>
      <top style="thin">
        <color indexed="12"/>
      </top>
      <bottom style="thin">
        <color indexed="12"/>
      </bottom>
      <diagonal/>
    </border>
    <border>
      <left/>
      <right style="thin">
        <color indexed="64"/>
      </right>
      <top/>
      <bottom style="thin">
        <color indexed="12"/>
      </bottom>
      <diagonal/>
    </border>
    <border>
      <left style="thin">
        <color indexed="64"/>
      </left>
      <right/>
      <top/>
      <bottom style="thin">
        <color indexed="12"/>
      </bottom>
      <diagonal/>
    </border>
    <border>
      <left/>
      <right/>
      <top style="thin">
        <color indexed="64"/>
      </top>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90">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4" fillId="0" borderId="0" applyNumberFormat="0" applyFill="0" applyBorder="0" applyAlignment="0" applyProtection="0"/>
    <xf numFmtId="0" fontId="15" fillId="0" borderId="14" applyNumberFormat="0" applyFill="0" applyAlignment="0" applyProtection="0"/>
    <xf numFmtId="0" fontId="16" fillId="0" borderId="15" applyNumberFormat="0" applyFill="0" applyAlignment="0" applyProtection="0"/>
    <xf numFmtId="0" fontId="17" fillId="0" borderId="16" applyNumberFormat="0" applyFill="0" applyAlignment="0" applyProtection="0"/>
    <xf numFmtId="0" fontId="17" fillId="0" borderId="0" applyNumberFormat="0" applyFill="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1" fillId="13" borderId="17" applyNumberFormat="0" applyAlignment="0" applyProtection="0"/>
    <xf numFmtId="0" fontId="22" fillId="14" borderId="18" applyNumberFormat="0" applyAlignment="0" applyProtection="0"/>
    <xf numFmtId="0" fontId="23" fillId="14" borderId="17" applyNumberFormat="0" applyAlignment="0" applyProtection="0"/>
    <xf numFmtId="0" fontId="24" fillId="0" borderId="19" applyNumberFormat="0" applyFill="0" applyAlignment="0" applyProtection="0"/>
    <xf numFmtId="0" fontId="25" fillId="15" borderId="20" applyNumberFormat="0" applyAlignment="0" applyProtection="0"/>
    <xf numFmtId="0" fontId="26" fillId="0" borderId="0" applyNumberFormat="0" applyFill="0" applyBorder="0" applyAlignment="0" applyProtection="0"/>
    <xf numFmtId="0" fontId="1" fillId="16" borderId="21" applyNumberFormat="0" applyFont="0" applyAlignment="0" applyProtection="0"/>
    <xf numFmtId="0" fontId="27" fillId="0" borderId="0" applyNumberFormat="0" applyFill="0" applyBorder="0" applyAlignment="0" applyProtection="0"/>
    <xf numFmtId="0" fontId="2" fillId="0" borderId="22" applyNumberFormat="0" applyFill="0" applyAlignment="0" applyProtection="0"/>
    <xf numFmtId="0" fontId="2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32" borderId="0" applyNumberFormat="0" applyBorder="0" applyAlignment="0" applyProtection="0"/>
    <xf numFmtId="0" fontId="28"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8" fillId="36" borderId="0" applyNumberFormat="0" applyBorder="0" applyAlignment="0" applyProtection="0"/>
    <xf numFmtId="0" fontId="28"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8" fillId="40" borderId="0" applyNumberFormat="0" applyBorder="0" applyAlignment="0" applyProtection="0"/>
    <xf numFmtId="0" fontId="11" fillId="0" borderId="0"/>
    <xf numFmtId="0" fontId="30" fillId="0" borderId="0" applyNumberFormat="0" applyFill="0" applyBorder="0" applyAlignment="0" applyProtection="0">
      <alignment vertical="top"/>
      <protection locked="0"/>
    </xf>
    <xf numFmtId="0" fontId="31" fillId="0" borderId="0" applyNumberFormat="0" applyFill="0" applyBorder="0" applyProtection="0">
      <alignment vertical="top" wrapText="1"/>
    </xf>
    <xf numFmtId="0" fontId="1" fillId="16" borderId="21" applyNumberFormat="0" applyFont="0" applyAlignment="0" applyProtection="0"/>
    <xf numFmtId="9" fontId="11" fillId="0" borderId="0" applyFont="0" applyFill="0" applyBorder="0" applyAlignment="0" applyProtection="0"/>
    <xf numFmtId="0" fontId="32" fillId="0" borderId="0"/>
    <xf numFmtId="44" fontId="11" fillId="0" borderId="0" applyFont="0" applyFill="0" applyBorder="0" applyAlignment="0" applyProtection="0"/>
    <xf numFmtId="0" fontId="11" fillId="0" borderId="0"/>
    <xf numFmtId="0" fontId="38" fillId="0" borderId="0"/>
    <xf numFmtId="0" fontId="39" fillId="0" borderId="0" applyNumberFormat="0" applyFill="0" applyBorder="0" applyAlignment="0" applyProtection="0"/>
    <xf numFmtId="175" fontId="41" fillId="41" borderId="38">
      <alignment horizontal="center" vertical="center"/>
    </xf>
    <xf numFmtId="6" fontId="42" fillId="0" borderId="0">
      <protection locked="0"/>
    </xf>
    <xf numFmtId="176" fontId="11" fillId="0" borderId="0">
      <protection locked="0"/>
    </xf>
    <xf numFmtId="38" fontId="43" fillId="42" borderId="0" applyNumberFormat="0" applyBorder="0" applyAlignment="0" applyProtection="0"/>
    <xf numFmtId="0" fontId="43" fillId="42" borderId="0" applyNumberFormat="0" applyBorder="0" applyAlignment="0" applyProtection="0"/>
    <xf numFmtId="0" fontId="44" fillId="0" borderId="0" applyNumberFormat="0" applyFill="0" applyBorder="0" applyAlignment="0" applyProtection="0"/>
    <xf numFmtId="177" fontId="11" fillId="0" borderId="0">
      <protection locked="0"/>
    </xf>
    <xf numFmtId="177" fontId="11" fillId="0" borderId="0">
      <protection locked="0"/>
    </xf>
    <xf numFmtId="0" fontId="45" fillId="0" borderId="39" applyNumberFormat="0" applyFill="0" applyAlignment="0" applyProtection="0"/>
    <xf numFmtId="10" fontId="43" fillId="43" borderId="1" applyNumberFormat="0" applyBorder="0" applyAlignment="0" applyProtection="0"/>
    <xf numFmtId="10" fontId="43" fillId="43" borderId="1" applyNumberFormat="0" applyBorder="0" applyAlignment="0" applyProtection="0"/>
    <xf numFmtId="37" fontId="46" fillId="0" borderId="0"/>
    <xf numFmtId="0" fontId="46" fillId="0" borderId="0"/>
    <xf numFmtId="178" fontId="47" fillId="0" borderId="0"/>
    <xf numFmtId="0" fontId="41" fillId="0" borderId="0"/>
    <xf numFmtId="0" fontId="41" fillId="0" borderId="0"/>
    <xf numFmtId="10" fontId="11" fillId="0" borderId="0" applyFont="0" applyFill="0" applyBorder="0" applyAlignment="0" applyProtection="0"/>
    <xf numFmtId="37" fontId="43" fillId="6" borderId="0" applyNumberFormat="0" applyBorder="0" applyAlignment="0" applyProtection="0"/>
    <xf numFmtId="0" fontId="43" fillId="6" borderId="0" applyNumberFormat="0" applyBorder="0" applyAlignment="0" applyProtection="0"/>
    <xf numFmtId="37" fontId="43" fillId="0" borderId="0"/>
    <xf numFmtId="0" fontId="43" fillId="0" borderId="0"/>
    <xf numFmtId="3" fontId="48" fillId="0" borderId="39" applyProtection="0"/>
    <xf numFmtId="0" fontId="11" fillId="0" borderId="0"/>
    <xf numFmtId="0" fontId="68" fillId="0" borderId="0" applyNumberFormat="0" applyFill="0" applyBorder="0" applyAlignment="0" applyProtection="0">
      <alignment vertical="top"/>
      <protection locked="0"/>
    </xf>
    <xf numFmtId="0" fontId="72" fillId="0" borderId="115" applyNumberFormat="0" applyFont="0" applyProtection="0">
      <alignment wrapText="1"/>
    </xf>
    <xf numFmtId="0" fontId="72" fillId="0" borderId="0" applyNumberFormat="0" applyFill="0" applyBorder="0" applyAlignment="0" applyProtection="0"/>
    <xf numFmtId="0" fontId="72" fillId="0" borderId="116" applyNumberFormat="0" applyProtection="0">
      <alignment vertical="top" wrapText="1"/>
    </xf>
    <xf numFmtId="0" fontId="73" fillId="0" borderId="14" applyNumberFormat="0" applyProtection="0">
      <alignment wrapText="1"/>
    </xf>
    <xf numFmtId="0" fontId="73" fillId="0" borderId="117" applyNumberFormat="0" applyProtection="0">
      <alignment wrapText="1"/>
    </xf>
    <xf numFmtId="0" fontId="74" fillId="0" borderId="0" applyNumberFormat="0" applyProtection="0">
      <alignment horizontal="left"/>
    </xf>
    <xf numFmtId="0" fontId="72" fillId="0" borderId="0" applyNumberFormat="0" applyProtection="0">
      <alignment vertical="top" wrapText="1"/>
    </xf>
    <xf numFmtId="0" fontId="73" fillId="0" borderId="118" applyNumberFormat="0" applyProtection="0">
      <alignment horizontal="left" wrapText="1"/>
    </xf>
    <xf numFmtId="0" fontId="72" fillId="0" borderId="119" applyNumberFormat="0" applyFont="0" applyFill="0" applyProtection="0">
      <alignment wrapText="1"/>
    </xf>
    <xf numFmtId="0" fontId="73" fillId="0" borderId="120" applyNumberFormat="0" applyFill="0" applyProtection="0">
      <alignment wrapText="1"/>
    </xf>
  </cellStyleXfs>
  <cellXfs count="447">
    <xf numFmtId="0" fontId="0" fillId="0" borderId="0" xfId="0"/>
    <xf numFmtId="0" fontId="2" fillId="0" borderId="0" xfId="0" applyFont="1"/>
    <xf numFmtId="0" fontId="0" fillId="0" borderId="0" xfId="0" applyAlignment="1">
      <alignment horizontal="left"/>
    </xf>
    <xf numFmtId="0" fontId="3" fillId="0" borderId="0" xfId="2"/>
    <xf numFmtId="0" fontId="2" fillId="2" borderId="0" xfId="0" applyFont="1" applyFill="1"/>
    <xf numFmtId="165" fontId="0" fillId="0" borderId="0" xfId="0" applyNumberFormat="1"/>
    <xf numFmtId="0" fontId="0" fillId="0" borderId="0" xfId="0" applyAlignment="1">
      <alignment wrapText="1"/>
    </xf>
    <xf numFmtId="0" fontId="0" fillId="0" borderId="0" xfId="0" applyFill="1" applyAlignment="1">
      <alignment horizontal="left"/>
    </xf>
    <xf numFmtId="0" fontId="0" fillId="0" borderId="0" xfId="0" applyFill="1"/>
    <xf numFmtId="165" fontId="2" fillId="0" borderId="0" xfId="0" applyNumberFormat="1" applyFont="1"/>
    <xf numFmtId="0" fontId="6" fillId="5" borderId="2" xfId="0" applyFont="1" applyFill="1" applyBorder="1" applyAlignment="1">
      <alignment horizontal="left" vertical="center"/>
    </xf>
    <xf numFmtId="0" fontId="6" fillId="5" borderId="3" xfId="0" applyFont="1" applyFill="1" applyBorder="1" applyAlignment="1">
      <alignment horizontal="left" vertical="center"/>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0" fontId="5" fillId="0" borderId="0" xfId="0" applyFont="1"/>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 xfId="0" applyFont="1" applyFill="1" applyBorder="1" applyAlignment="1">
      <alignment horizontal="left" vertical="center"/>
    </xf>
    <xf numFmtId="0" fontId="4" fillId="0" borderId="7" xfId="0" applyFont="1" applyBorder="1"/>
    <xf numFmtId="0" fontId="5" fillId="0" borderId="7" xfId="0" applyFont="1" applyBorder="1"/>
    <xf numFmtId="165" fontId="4" fillId="6" borderId="8" xfId="0" applyNumberFormat="1" applyFont="1" applyFill="1" applyBorder="1" applyAlignment="1">
      <alignment horizontal="center"/>
    </xf>
    <xf numFmtId="0" fontId="5" fillId="0" borderId="0" xfId="0" applyFont="1" applyBorder="1"/>
    <xf numFmtId="0" fontId="5" fillId="0" borderId="9" xfId="0" applyFont="1" applyBorder="1"/>
    <xf numFmtId="165" fontId="5" fillId="6" borderId="10" xfId="0" applyNumberFormat="1" applyFont="1" applyFill="1" applyBorder="1" applyAlignment="1">
      <alignment horizontal="center"/>
    </xf>
    <xf numFmtId="10" fontId="5" fillId="0" borderId="0" xfId="0" applyNumberFormat="1" applyFont="1"/>
    <xf numFmtId="167" fontId="7" fillId="0" borderId="0" xfId="0" applyNumberFormat="1" applyFont="1" applyFill="1" applyBorder="1"/>
    <xf numFmtId="165" fontId="5" fillId="0" borderId="0" xfId="0" applyNumberFormat="1" applyFont="1"/>
    <xf numFmtId="9" fontId="5" fillId="0" borderId="0" xfId="1" applyFont="1"/>
    <xf numFmtId="0" fontId="7" fillId="0" borderId="0" xfId="0" applyFont="1"/>
    <xf numFmtId="0" fontId="5" fillId="0" borderId="0" xfId="0" applyFont="1" applyFill="1"/>
    <xf numFmtId="0" fontId="6" fillId="0" borderId="0" xfId="0" applyFont="1" applyFill="1" applyBorder="1" applyAlignment="1">
      <alignment horizontal="center" wrapText="1"/>
    </xf>
    <xf numFmtId="0" fontId="5" fillId="0" borderId="11" xfId="0" applyFont="1" applyBorder="1"/>
    <xf numFmtId="0" fontId="5" fillId="0" borderId="12" xfId="0" applyFont="1" applyBorder="1"/>
    <xf numFmtId="165" fontId="5" fillId="6" borderId="13" xfId="0" applyNumberFormat="1" applyFont="1" applyFill="1" applyBorder="1" applyAlignment="1">
      <alignment horizontal="center"/>
    </xf>
    <xf numFmtId="0" fontId="8" fillId="0" borderId="0" xfId="0" applyFont="1"/>
    <xf numFmtId="10" fontId="9" fillId="0" borderId="0" xfId="0" applyNumberFormat="1" applyFont="1"/>
    <xf numFmtId="0" fontId="10" fillId="0" borderId="0" xfId="0" applyFont="1"/>
    <xf numFmtId="165" fontId="9" fillId="0" borderId="0" xfId="0" applyNumberFormat="1" applyFont="1"/>
    <xf numFmtId="165" fontId="10" fillId="0" borderId="0" xfId="0" applyNumberFormat="1" applyFont="1"/>
    <xf numFmtId="0" fontId="0" fillId="0" borderId="0" xfId="0" applyAlignment="1">
      <alignment vertical="center"/>
    </xf>
    <xf numFmtId="0" fontId="3" fillId="0" borderId="0" xfId="2" applyAlignment="1">
      <alignment vertical="center"/>
    </xf>
    <xf numFmtId="0" fontId="0" fillId="2" borderId="0" xfId="0" applyFill="1"/>
    <xf numFmtId="0" fontId="2" fillId="0" borderId="0" xfId="0" applyFont="1" applyFill="1"/>
    <xf numFmtId="0" fontId="11" fillId="0" borderId="0" xfId="0" applyNumberFormat="1" applyFont="1" applyBorder="1" applyAlignment="1"/>
    <xf numFmtId="11" fontId="0" fillId="0" borderId="0" xfId="0" applyNumberFormat="1"/>
    <xf numFmtId="0" fontId="0" fillId="4" borderId="0" xfId="0" applyFill="1"/>
    <xf numFmtId="43" fontId="0" fillId="0" borderId="0" xfId="0" applyNumberFormat="1"/>
    <xf numFmtId="0" fontId="12" fillId="0" borderId="0" xfId="0" applyFont="1"/>
    <xf numFmtId="17" fontId="0" fillId="0" borderId="0" xfId="0" applyNumberFormat="1"/>
    <xf numFmtId="0" fontId="2" fillId="0" borderId="0" xfId="0" applyFont="1" applyAlignment="1">
      <alignment horizontal="right"/>
    </xf>
    <xf numFmtId="0" fontId="0" fillId="0" borderId="0" xfId="0" applyAlignment="1">
      <alignment vertical="center"/>
    </xf>
    <xf numFmtId="0" fontId="13" fillId="0" borderId="0" xfId="0" applyFont="1" applyAlignment="1">
      <alignment vertical="center"/>
    </xf>
    <xf numFmtId="0" fontId="0" fillId="0" borderId="0" xfId="0"/>
    <xf numFmtId="0" fontId="2" fillId="0" borderId="0" xfId="0" applyFont="1"/>
    <xf numFmtId="0" fontId="0" fillId="0" borderId="0" xfId="0" applyFont="1"/>
    <xf numFmtId="0" fontId="0" fillId="0" borderId="0" xfId="0" applyAlignment="1"/>
    <xf numFmtId="168" fontId="0" fillId="0" borderId="0" xfId="0" applyNumberFormat="1"/>
    <xf numFmtId="168" fontId="0" fillId="0" borderId="0" xfId="3" applyNumberFormat="1" applyFont="1"/>
    <xf numFmtId="9" fontId="0" fillId="0" borderId="0" xfId="1" applyFont="1"/>
    <xf numFmtId="0" fontId="2" fillId="4" borderId="0" xfId="0" applyFont="1" applyFill="1"/>
    <xf numFmtId="6" fontId="0" fillId="0" borderId="0" xfId="0" applyNumberFormat="1"/>
    <xf numFmtId="4" fontId="0" fillId="0" borderId="0" xfId="0" applyNumberFormat="1"/>
    <xf numFmtId="0" fontId="0" fillId="0" borderId="0" xfId="0"/>
    <xf numFmtId="11" fontId="0" fillId="0" borderId="0" xfId="0" applyNumberFormat="1"/>
    <xf numFmtId="170" fontId="0" fillId="0" borderId="0" xfId="4" applyNumberFormat="1" applyFont="1"/>
    <xf numFmtId="170" fontId="0" fillId="0" borderId="0" xfId="0" applyNumberFormat="1"/>
    <xf numFmtId="8" fontId="0" fillId="0" borderId="0" xfId="0" applyNumberFormat="1"/>
    <xf numFmtId="168" fontId="0" fillId="4" borderId="0" xfId="0" applyNumberFormat="1" applyFill="1"/>
    <xf numFmtId="166" fontId="0" fillId="0" borderId="0" xfId="0" applyNumberFormat="1"/>
    <xf numFmtId="0" fontId="29" fillId="0" borderId="0" xfId="0" applyFont="1"/>
    <xf numFmtId="172" fontId="0" fillId="0" borderId="0" xfId="0" applyNumberFormat="1"/>
    <xf numFmtId="0" fontId="11" fillId="0" borderId="0" xfId="46"/>
    <xf numFmtId="0" fontId="33" fillId="8" borderId="0" xfId="46" applyFont="1" applyFill="1" applyAlignment="1">
      <alignment horizontal="centerContinuous"/>
    </xf>
    <xf numFmtId="0" fontId="34" fillId="8" borderId="26" xfId="46" applyFont="1" applyFill="1" applyBorder="1" applyAlignment="1">
      <alignment horizontal="center" wrapText="1"/>
    </xf>
    <xf numFmtId="0" fontId="34" fillId="8" borderId="31" xfId="46" applyFont="1" applyFill="1" applyBorder="1" applyAlignment="1">
      <alignment horizontal="center" wrapText="1"/>
    </xf>
    <xf numFmtId="0" fontId="34" fillId="8" borderId="32" xfId="46" applyFont="1" applyFill="1" applyBorder="1" applyAlignment="1">
      <alignment horizontal="center" wrapText="1"/>
    </xf>
    <xf numFmtId="0" fontId="34" fillId="8" borderId="33" xfId="46" applyFont="1" applyFill="1" applyBorder="1" applyAlignment="1">
      <alignment horizontal="center"/>
    </xf>
    <xf numFmtId="0" fontId="34" fillId="8" borderId="34" xfId="46" applyFont="1" applyFill="1" applyBorder="1" applyAlignment="1">
      <alignment horizontal="center"/>
    </xf>
    <xf numFmtId="0" fontId="34" fillId="8" borderId="35" xfId="46" applyFont="1" applyFill="1" applyBorder="1" applyAlignment="1">
      <alignment horizontal="center"/>
    </xf>
    <xf numFmtId="172" fontId="34" fillId="8" borderId="31" xfId="51" applyNumberFormat="1" applyFont="1" applyFill="1" applyBorder="1" applyAlignment="1">
      <alignment horizontal="left" indent="1"/>
    </xf>
    <xf numFmtId="0" fontId="34" fillId="8" borderId="31" xfId="53" applyNumberFormat="1" applyFont="1" applyFill="1" applyBorder="1" applyAlignment="1">
      <alignment horizontal="center" vertical="center"/>
    </xf>
    <xf numFmtId="173" fontId="34" fillId="8" borderId="36" xfId="53" applyNumberFormat="1" applyFont="1" applyFill="1" applyBorder="1" applyAlignment="1">
      <alignment horizontal="right"/>
    </xf>
    <xf numFmtId="9" fontId="34" fillId="8" borderId="36" xfId="50" applyFont="1" applyFill="1" applyBorder="1" applyAlignment="1">
      <alignment horizontal="right" indent="1"/>
    </xf>
    <xf numFmtId="173" fontId="34" fillId="8" borderId="32" xfId="53" applyNumberFormat="1" applyFont="1" applyFill="1" applyBorder="1" applyAlignment="1">
      <alignment horizontal="right"/>
    </xf>
    <xf numFmtId="173" fontId="34" fillId="8" borderId="36" xfId="53" applyNumberFormat="1" applyFont="1" applyFill="1" applyBorder="1" applyAlignment="1">
      <alignment horizontal="left"/>
    </xf>
    <xf numFmtId="173" fontId="34" fillId="8" borderId="32" xfId="53" applyNumberFormat="1" applyFont="1" applyFill="1" applyBorder="1" applyAlignment="1">
      <alignment horizontal="left"/>
    </xf>
    <xf numFmtId="172" fontId="34" fillId="8" borderId="31" xfId="51" applyNumberFormat="1" applyFont="1" applyFill="1" applyBorder="1" applyAlignment="1">
      <alignment horizontal="left" vertical="center" indent="1"/>
    </xf>
    <xf numFmtId="9" fontId="34" fillId="8" borderId="36" xfId="50" applyFont="1" applyFill="1" applyBorder="1" applyAlignment="1">
      <alignment horizontal="right" vertical="center" indent="1"/>
    </xf>
    <xf numFmtId="173" fontId="34" fillId="8" borderId="36" xfId="53" applyNumberFormat="1" applyFont="1" applyFill="1" applyBorder="1" applyAlignment="1">
      <alignment horizontal="right" vertical="center"/>
    </xf>
    <xf numFmtId="173" fontId="34" fillId="8" borderId="32" xfId="53" applyNumberFormat="1" applyFont="1" applyFill="1" applyBorder="1" applyAlignment="1">
      <alignment horizontal="right" vertical="center"/>
    </xf>
    <xf numFmtId="0" fontId="34" fillId="8" borderId="36" xfId="53" applyNumberFormat="1" applyFont="1" applyFill="1" applyBorder="1" applyAlignment="1">
      <alignment horizontal="center" vertical="center"/>
    </xf>
    <xf numFmtId="173" fontId="34" fillId="8" borderId="32" xfId="53" applyNumberFormat="1" applyFont="1" applyFill="1" applyBorder="1" applyAlignment="1">
      <alignment horizontal="left" wrapText="1"/>
    </xf>
    <xf numFmtId="170" fontId="34" fillId="8" borderId="31" xfId="52" applyNumberFormat="1" applyFont="1" applyFill="1" applyBorder="1" applyAlignment="1">
      <alignment horizontal="center" vertical="center"/>
    </xf>
    <xf numFmtId="173" fontId="34" fillId="8" borderId="36" xfId="53" applyNumberFormat="1" applyFont="1" applyFill="1" applyBorder="1" applyAlignment="1">
      <alignment horizontal="center" vertical="center" wrapText="1"/>
    </xf>
    <xf numFmtId="173" fontId="34" fillId="8" borderId="32" xfId="53" applyNumberFormat="1" applyFont="1" applyFill="1" applyBorder="1" applyAlignment="1">
      <alignment horizontal="left" vertical="center"/>
    </xf>
    <xf numFmtId="0" fontId="34" fillId="8" borderId="31" xfId="53" applyNumberFormat="1" applyFont="1" applyFill="1" applyBorder="1" applyAlignment="1">
      <alignment horizontal="center" vertical="center" wrapText="1"/>
    </xf>
    <xf numFmtId="173" fontId="34" fillId="8" borderId="36" xfId="53" applyNumberFormat="1" applyFont="1" applyFill="1" applyBorder="1" applyAlignment="1">
      <alignment horizontal="left" vertical="center"/>
    </xf>
    <xf numFmtId="0" fontId="34" fillId="8" borderId="31" xfId="53" quotePrefix="1" applyNumberFormat="1" applyFont="1" applyFill="1" applyBorder="1" applyAlignment="1">
      <alignment horizontal="center" vertical="center"/>
    </xf>
    <xf numFmtId="49" fontId="34" fillId="8" borderId="31" xfId="52" applyNumberFormat="1" applyFont="1" applyFill="1" applyBorder="1" applyAlignment="1">
      <alignment horizontal="center" vertical="center"/>
    </xf>
    <xf numFmtId="173" fontId="34" fillId="8" borderId="31" xfId="53" applyNumberFormat="1" applyFont="1" applyFill="1" applyBorder="1" applyAlignment="1">
      <alignment horizontal="right"/>
    </xf>
    <xf numFmtId="173" fontId="34" fillId="8" borderId="31" xfId="53" applyNumberFormat="1" applyFont="1" applyFill="1" applyBorder="1" applyAlignment="1">
      <alignment horizontal="center"/>
    </xf>
    <xf numFmtId="173" fontId="34" fillId="8" borderId="36" xfId="53" applyNumberFormat="1" applyFont="1" applyFill="1" applyBorder="1" applyAlignment="1">
      <alignment horizontal="center"/>
    </xf>
    <xf numFmtId="173" fontId="34" fillId="8" borderId="0" xfId="53" applyNumberFormat="1" applyFont="1" applyFill="1" applyBorder="1" applyAlignment="1">
      <alignment horizontal="left"/>
    </xf>
    <xf numFmtId="170" fontId="34" fillId="8" borderId="36" xfId="53" applyNumberFormat="1" applyFont="1" applyFill="1" applyBorder="1" applyAlignment="1">
      <alignment horizontal="center"/>
    </xf>
    <xf numFmtId="173" fontId="34" fillId="8" borderId="36" xfId="53" applyNumberFormat="1" applyFont="1" applyFill="1" applyBorder="1" applyAlignment="1">
      <alignment horizontal="center" vertical="center"/>
    </xf>
    <xf numFmtId="173" fontId="34" fillId="8" borderId="0" xfId="53" applyNumberFormat="1" applyFont="1" applyFill="1" applyBorder="1" applyAlignment="1">
      <alignment horizontal="left" vertical="center" wrapText="1"/>
    </xf>
    <xf numFmtId="49" fontId="34" fillId="8" borderId="36" xfId="53" applyNumberFormat="1" applyFont="1" applyFill="1" applyBorder="1" applyAlignment="1">
      <alignment horizontal="center"/>
    </xf>
    <xf numFmtId="0" fontId="34" fillId="8" borderId="36" xfId="53" applyNumberFormat="1" applyFont="1" applyFill="1" applyBorder="1" applyAlignment="1">
      <alignment horizontal="right" indent="1"/>
    </xf>
    <xf numFmtId="0" fontId="34" fillId="8" borderId="36" xfId="53" applyNumberFormat="1" applyFont="1" applyFill="1" applyBorder="1" applyAlignment="1">
      <alignment horizontal="right" vertical="center"/>
    </xf>
    <xf numFmtId="173" fontId="34" fillId="8" borderId="0" xfId="53" applyNumberFormat="1" applyFont="1" applyFill="1" applyBorder="1" applyAlignment="1">
      <alignment horizontal="left" wrapText="1"/>
    </xf>
    <xf numFmtId="170" fontId="34" fillId="8" borderId="36" xfId="52" applyNumberFormat="1" applyFont="1" applyFill="1" applyBorder="1" applyAlignment="1">
      <alignment horizontal="center"/>
    </xf>
    <xf numFmtId="172" fontId="34" fillId="8" borderId="37" xfId="51" applyNumberFormat="1" applyFont="1" applyFill="1" applyBorder="1" applyAlignment="1">
      <alignment horizontal="left" indent="1"/>
    </xf>
    <xf numFmtId="0" fontId="34" fillId="8" borderId="24" xfId="53" applyNumberFormat="1" applyFont="1" applyFill="1" applyBorder="1" applyAlignment="1">
      <alignment horizontal="center" vertical="center"/>
    </xf>
    <xf numFmtId="6" fontId="34" fillId="8" borderId="24" xfId="53" applyNumberFormat="1" applyFont="1" applyFill="1" applyBorder="1" applyAlignment="1">
      <alignment horizontal="center" vertical="center"/>
    </xf>
    <xf numFmtId="9" fontId="34" fillId="8" borderId="24" xfId="50" applyFont="1" applyFill="1" applyBorder="1" applyAlignment="1">
      <alignment horizontal="right" indent="1"/>
    </xf>
    <xf numFmtId="173" fontId="34" fillId="8" borderId="24" xfId="53" applyNumberFormat="1" applyFont="1" applyFill="1" applyBorder="1" applyAlignment="1">
      <alignment horizontal="right"/>
    </xf>
    <xf numFmtId="0" fontId="34" fillId="8" borderId="24" xfId="53" applyNumberFormat="1" applyFont="1" applyFill="1" applyBorder="1" applyAlignment="1">
      <alignment horizontal="right" indent="1"/>
    </xf>
    <xf numFmtId="173" fontId="34" fillId="8" borderId="24" xfId="53" applyNumberFormat="1" applyFont="1" applyFill="1" applyBorder="1" applyAlignment="1">
      <alignment horizontal="right" vertical="center"/>
    </xf>
    <xf numFmtId="173" fontId="34" fillId="8" borderId="11" xfId="53" applyNumberFormat="1" applyFont="1" applyFill="1" applyBorder="1" applyAlignment="1">
      <alignment horizontal="left"/>
    </xf>
    <xf numFmtId="0" fontId="34" fillId="8" borderId="0" xfId="51" applyFont="1" applyFill="1"/>
    <xf numFmtId="173" fontId="34" fillId="8" borderId="0" xfId="53" applyNumberFormat="1" applyFont="1" applyFill="1" applyBorder="1" applyAlignment="1">
      <alignment horizontal="center" vertical="center"/>
    </xf>
    <xf numFmtId="173" fontId="34" fillId="8" borderId="0" xfId="53" applyNumberFormat="1" applyFont="1" applyFill="1" applyBorder="1" applyAlignment="1">
      <alignment horizontal="right"/>
    </xf>
    <xf numFmtId="0" fontId="34" fillId="8" borderId="0" xfId="53" applyNumberFormat="1" applyFont="1" applyFill="1" applyBorder="1" applyAlignment="1">
      <alignment horizontal="center" vertical="center"/>
    </xf>
    <xf numFmtId="0" fontId="34" fillId="8" borderId="0" xfId="53" applyNumberFormat="1" applyFont="1" applyFill="1" applyBorder="1" applyAlignment="1">
      <alignment horizontal="right" indent="1"/>
    </xf>
    <xf numFmtId="9" fontId="34" fillId="8" borderId="0" xfId="50" applyFont="1" applyFill="1" applyBorder="1" applyAlignment="1">
      <alignment horizontal="right" indent="1"/>
    </xf>
    <xf numFmtId="0" fontId="33" fillId="8" borderId="0" xfId="46" applyFont="1" applyFill="1" applyBorder="1"/>
    <xf numFmtId="171" fontId="36" fillId="8" borderId="0" xfId="46" applyNumberFormat="1" applyFont="1" applyFill="1" applyAlignment="1">
      <alignment horizontal="left"/>
    </xf>
    <xf numFmtId="0" fontId="36" fillId="8" borderId="0" xfId="46" applyFont="1" applyFill="1" applyAlignment="1">
      <alignment horizontal="centerContinuous"/>
    </xf>
    <xf numFmtId="164" fontId="34" fillId="8" borderId="36" xfId="50" applyNumberFormat="1" applyFont="1" applyFill="1" applyBorder="1" applyAlignment="1">
      <alignment horizontal="right" indent="1"/>
    </xf>
    <xf numFmtId="0" fontId="2" fillId="0" borderId="0" xfId="0" applyFont="1" applyFill="1" applyAlignment="1"/>
    <xf numFmtId="0" fontId="11" fillId="0" borderId="0" xfId="0" applyNumberFormat="1" applyFont="1" applyBorder="1" applyAlignment="1">
      <alignment horizontal="left"/>
    </xf>
    <xf numFmtId="0" fontId="0" fillId="0" borderId="0" xfId="0"/>
    <xf numFmtId="11" fontId="0" fillId="0" borderId="0" xfId="0" applyNumberFormat="1"/>
    <xf numFmtId="0" fontId="2" fillId="0" borderId="0" xfId="0" applyFont="1" applyFill="1" applyAlignment="1">
      <alignment horizontal="right" wrapText="1"/>
    </xf>
    <xf numFmtId="0" fontId="0" fillId="0" borderId="0" xfId="0" applyFill="1" applyAlignment="1">
      <alignment horizontal="right"/>
    </xf>
    <xf numFmtId="0" fontId="2" fillId="2" borderId="0" xfId="0" applyFont="1" applyFill="1" applyAlignment="1">
      <alignment horizontal="left"/>
    </xf>
    <xf numFmtId="6" fontId="0" fillId="0" borderId="0" xfId="0" applyNumberFormat="1" applyAlignment="1">
      <alignment horizontal="left"/>
    </xf>
    <xf numFmtId="6" fontId="0" fillId="0" borderId="0" xfId="0" applyNumberFormat="1" applyFill="1" applyAlignment="1">
      <alignment horizontal="left"/>
    </xf>
    <xf numFmtId="0" fontId="37" fillId="0" borderId="0" xfId="0" applyFont="1" applyFill="1" applyAlignment="1">
      <alignment horizontal="left"/>
    </xf>
    <xf numFmtId="6" fontId="37" fillId="0" borderId="0" xfId="0" applyNumberFormat="1" applyFont="1" applyFill="1" applyAlignment="1">
      <alignment horizontal="left"/>
    </xf>
    <xf numFmtId="174" fontId="0" fillId="0" borderId="0" xfId="4" applyNumberFormat="1" applyFont="1" applyAlignment="1">
      <alignment horizontal="left"/>
    </xf>
    <xf numFmtId="11" fontId="0" fillId="0" borderId="0" xfId="0" applyNumberFormat="1" applyAlignment="1">
      <alignment horizontal="left"/>
    </xf>
    <xf numFmtId="44" fontId="0" fillId="0" borderId="0" xfId="4" applyFont="1"/>
    <xf numFmtId="44" fontId="0" fillId="0" borderId="0" xfId="0" applyNumberFormat="1"/>
    <xf numFmtId="11" fontId="0" fillId="0" borderId="0" xfId="0" applyNumberFormat="1" applyFill="1" applyAlignment="1">
      <alignment horizontal="left"/>
    </xf>
    <xf numFmtId="0" fontId="0" fillId="0" borderId="0" xfId="0" quotePrefix="1" applyNumberFormat="1" applyAlignment="1">
      <alignment horizontal="left"/>
    </xf>
    <xf numFmtId="169" fontId="0" fillId="9" borderId="0" xfId="4" applyNumberFormat="1" applyFont="1" applyFill="1"/>
    <xf numFmtId="166" fontId="0" fillId="0" borderId="0" xfId="4" applyNumberFormat="1" applyFont="1"/>
    <xf numFmtId="166" fontId="29" fillId="0" borderId="0" xfId="0" applyNumberFormat="1" applyFont="1"/>
    <xf numFmtId="9" fontId="0" fillId="0" borderId="0" xfId="50" applyFont="1"/>
    <xf numFmtId="0" fontId="38" fillId="0" borderId="0" xfId="54"/>
    <xf numFmtId="0" fontId="39" fillId="0" borderId="0" xfId="55"/>
    <xf numFmtId="0" fontId="11" fillId="0" borderId="0" xfId="54" applyFont="1"/>
    <xf numFmtId="0" fontId="11" fillId="0" borderId="0" xfId="54" applyFont="1" applyAlignment="1">
      <alignment wrapText="1"/>
    </xf>
    <xf numFmtId="164" fontId="0" fillId="0" borderId="0" xfId="50" applyNumberFormat="1" applyFont="1"/>
    <xf numFmtId="0" fontId="40" fillId="0" borderId="0" xfId="54" applyFont="1"/>
    <xf numFmtId="0" fontId="49" fillId="0" borderId="0" xfId="54" applyFont="1" applyAlignment="1">
      <alignment horizontal="right"/>
    </xf>
    <xf numFmtId="0" fontId="49" fillId="0" borderId="0" xfId="54" applyFont="1"/>
    <xf numFmtId="0" fontId="49" fillId="4" borderId="0" xfId="54" applyFont="1" applyFill="1"/>
    <xf numFmtId="0" fontId="50" fillId="44" borderId="40" xfId="54" applyFont="1" applyFill="1" applyBorder="1" applyAlignment="1">
      <alignment horizontal="left" vertical="top" wrapText="1"/>
    </xf>
    <xf numFmtId="11" fontId="38" fillId="0" borderId="0" xfId="54" applyNumberFormat="1"/>
    <xf numFmtId="0" fontId="11" fillId="0" borderId="0" xfId="54" applyFont="1" applyFill="1"/>
    <xf numFmtId="0" fontId="38" fillId="0" borderId="0" xfId="54" applyFill="1"/>
    <xf numFmtId="0" fontId="49" fillId="0" borderId="0" xfId="54" applyFont="1" applyFill="1"/>
    <xf numFmtId="179" fontId="38" fillId="0" borderId="0" xfId="54" applyNumberFormat="1"/>
    <xf numFmtId="0" fontId="38" fillId="4" borderId="0" xfId="54" applyFill="1"/>
    <xf numFmtId="0" fontId="51" fillId="0" borderId="0" xfId="54" applyFont="1" applyAlignment="1">
      <alignment vertical="center"/>
    </xf>
    <xf numFmtId="0" fontId="39" fillId="0" borderId="0" xfId="55" applyAlignment="1">
      <alignment vertical="center"/>
    </xf>
    <xf numFmtId="0" fontId="50" fillId="0" borderId="0" xfId="54" applyFont="1" applyFill="1" applyBorder="1" applyAlignment="1">
      <alignment horizontal="left" vertical="top" wrapText="1"/>
    </xf>
    <xf numFmtId="49" fontId="11" fillId="0" borderId="0" xfId="54" applyNumberFormat="1" applyFont="1" applyAlignment="1">
      <alignment wrapText="1"/>
    </xf>
    <xf numFmtId="0" fontId="11" fillId="4" borderId="0" xfId="54" applyFont="1" applyFill="1"/>
    <xf numFmtId="0" fontId="52" fillId="4" borderId="0" xfId="54" applyFont="1" applyFill="1"/>
    <xf numFmtId="0" fontId="11" fillId="0" borderId="0" xfId="70" applyFont="1"/>
    <xf numFmtId="0" fontId="38" fillId="0" borderId="0" xfId="54" applyBorder="1"/>
    <xf numFmtId="180" fontId="53" fillId="0" borderId="0" xfId="70" applyNumberFormat="1" applyFont="1" applyFill="1" applyBorder="1" applyAlignment="1">
      <alignment horizontal="center"/>
    </xf>
    <xf numFmtId="180" fontId="53" fillId="0" borderId="0" xfId="70" applyNumberFormat="1" applyFont="1" applyBorder="1" applyAlignment="1">
      <alignment horizontal="center"/>
    </xf>
    <xf numFmtId="181" fontId="53" fillId="0" borderId="0" xfId="70" applyNumberFormat="1" applyFont="1" applyBorder="1" applyAlignment="1">
      <alignment horizontal="center"/>
    </xf>
    <xf numFmtId="0" fontId="11" fillId="0" borderId="0" xfId="70" applyFont="1" applyFill="1"/>
    <xf numFmtId="0" fontId="11" fillId="0" borderId="0" xfId="70" applyFont="1" applyBorder="1"/>
    <xf numFmtId="0" fontId="43" fillId="0" borderId="0" xfId="54" applyFont="1"/>
    <xf numFmtId="0" fontId="55" fillId="0" borderId="0" xfId="70" applyFont="1" applyBorder="1"/>
    <xf numFmtId="182" fontId="53" fillId="0" borderId="0" xfId="54" applyNumberFormat="1" applyFont="1" applyFill="1" applyBorder="1" applyAlignment="1">
      <alignment horizontal="left"/>
    </xf>
    <xf numFmtId="0" fontId="56" fillId="0" borderId="0" xfId="54" applyFont="1"/>
    <xf numFmtId="0" fontId="57" fillId="0" borderId="0" xfId="54" applyFont="1"/>
    <xf numFmtId="0" fontId="53" fillId="0" borderId="0" xfId="70" applyFont="1"/>
    <xf numFmtId="0" fontId="53" fillId="0" borderId="0" xfId="54" applyFont="1" applyBorder="1"/>
    <xf numFmtId="0" fontId="53" fillId="0" borderId="0" xfId="70" applyFont="1" applyBorder="1"/>
    <xf numFmtId="181" fontId="53" fillId="0" borderId="0" xfId="70" applyNumberFormat="1" applyFont="1" applyFill="1" applyBorder="1" applyAlignment="1">
      <alignment horizontal="center"/>
    </xf>
    <xf numFmtId="183" fontId="53" fillId="0" borderId="0" xfId="70" applyNumberFormat="1" applyFont="1" applyBorder="1" applyAlignment="1">
      <alignment horizontal="left"/>
    </xf>
    <xf numFmtId="0" fontId="11" fillId="0" borderId="0" xfId="70" applyFont="1" applyFill="1" applyBorder="1"/>
    <xf numFmtId="0" fontId="38" fillId="0" borderId="41" xfId="54" applyBorder="1"/>
    <xf numFmtId="180" fontId="53" fillId="0" borderId="42" xfId="70" applyNumberFormat="1" applyFont="1" applyFill="1" applyBorder="1" applyAlignment="1">
      <alignment horizontal="center"/>
    </xf>
    <xf numFmtId="180" fontId="53" fillId="0" borderId="43" xfId="70" applyNumberFormat="1" applyFont="1" applyFill="1" applyBorder="1" applyAlignment="1">
      <alignment horizontal="center"/>
    </xf>
    <xf numFmtId="183" fontId="53" fillId="0" borderId="44" xfId="70" applyNumberFormat="1" applyFont="1" applyFill="1" applyBorder="1" applyAlignment="1">
      <alignment horizontal="left"/>
    </xf>
    <xf numFmtId="180" fontId="53" fillId="0" borderId="45" xfId="70" applyNumberFormat="1" applyFont="1" applyFill="1" applyBorder="1" applyAlignment="1">
      <alignment horizontal="center"/>
    </xf>
    <xf numFmtId="180" fontId="53" fillId="0" borderId="46" xfId="70" applyNumberFormat="1" applyFont="1" applyFill="1" applyBorder="1" applyAlignment="1">
      <alignment horizontal="center"/>
    </xf>
    <xf numFmtId="183" fontId="53" fillId="0" borderId="47" xfId="70" applyNumberFormat="1" applyFont="1" applyFill="1" applyBorder="1" applyAlignment="1">
      <alignment horizontal="left"/>
    </xf>
    <xf numFmtId="0" fontId="38" fillId="0" borderId="41" xfId="54" applyFill="1" applyBorder="1"/>
    <xf numFmtId="180" fontId="53" fillId="0" borderId="48" xfId="70" applyNumberFormat="1" applyFont="1" applyFill="1" applyBorder="1" applyAlignment="1">
      <alignment horizontal="center"/>
    </xf>
    <xf numFmtId="0" fontId="38" fillId="0" borderId="49" xfId="54" applyFill="1" applyBorder="1"/>
    <xf numFmtId="180" fontId="53" fillId="0" borderId="50" xfId="70" applyNumberFormat="1" applyFont="1" applyFill="1" applyBorder="1" applyAlignment="1">
      <alignment horizontal="center"/>
    </xf>
    <xf numFmtId="0" fontId="38" fillId="0" borderId="49" xfId="54" applyBorder="1"/>
    <xf numFmtId="184" fontId="53" fillId="0" borderId="51" xfId="70" applyNumberFormat="1" applyFont="1" applyFill="1" applyBorder="1" applyAlignment="1">
      <alignment horizontal="left"/>
    </xf>
    <xf numFmtId="180" fontId="53" fillId="4" borderId="45" xfId="70" applyNumberFormat="1" applyFont="1" applyFill="1" applyBorder="1" applyAlignment="1">
      <alignment horizontal="center"/>
    </xf>
    <xf numFmtId="180" fontId="53" fillId="4" borderId="46" xfId="70" applyNumberFormat="1" applyFont="1" applyFill="1" applyBorder="1" applyAlignment="1">
      <alignment horizontal="center"/>
    </xf>
    <xf numFmtId="184" fontId="53" fillId="4" borderId="52" xfId="70" applyNumberFormat="1" applyFont="1" applyFill="1" applyBorder="1" applyAlignment="1">
      <alignment horizontal="left"/>
    </xf>
    <xf numFmtId="0" fontId="59" fillId="0" borderId="55" xfId="70" applyFont="1" applyBorder="1" applyAlignment="1">
      <alignment horizontal="left"/>
    </xf>
    <xf numFmtId="0" fontId="59" fillId="0" borderId="56" xfId="70" applyFont="1" applyBorder="1" applyAlignment="1">
      <alignment horizontal="center"/>
    </xf>
    <xf numFmtId="0" fontId="59" fillId="4" borderId="57" xfId="70" applyFont="1" applyFill="1" applyBorder="1"/>
    <xf numFmtId="0" fontId="11" fillId="0" borderId="58" xfId="70" applyFont="1" applyBorder="1" applyAlignment="1">
      <alignment horizontal="center"/>
    </xf>
    <xf numFmtId="0" fontId="11" fillId="0" borderId="59" xfId="70" applyFont="1" applyBorder="1" applyAlignment="1">
      <alignment horizontal="center"/>
    </xf>
    <xf numFmtId="181" fontId="53" fillId="0" borderId="60" xfId="70" applyNumberFormat="1" applyFont="1" applyBorder="1" applyAlignment="1">
      <alignment horizontal="center"/>
    </xf>
    <xf numFmtId="183" fontId="53" fillId="0" borderId="61" xfId="70" applyNumberFormat="1" applyFont="1" applyBorder="1" applyAlignment="1">
      <alignment horizontal="left"/>
    </xf>
    <xf numFmtId="0" fontId="53" fillId="0" borderId="62" xfId="54" applyFont="1" applyBorder="1" applyAlignment="1">
      <alignment horizontal="center"/>
    </xf>
    <xf numFmtId="0" fontId="53" fillId="0" borderId="62" xfId="54" applyFont="1" applyFill="1" applyBorder="1" applyAlignment="1">
      <alignment horizontal="center"/>
    </xf>
    <xf numFmtId="183" fontId="53" fillId="4" borderId="47" xfId="70" applyNumberFormat="1" applyFont="1" applyFill="1" applyBorder="1" applyAlignment="1">
      <alignment horizontal="left"/>
    </xf>
    <xf numFmtId="182" fontId="53" fillId="0" borderId="49" xfId="70" applyNumberFormat="1" applyFont="1" applyBorder="1" applyAlignment="1">
      <alignment horizontal="center"/>
    </xf>
    <xf numFmtId="182" fontId="53" fillId="0" borderId="0" xfId="70" applyNumberFormat="1" applyFont="1" applyBorder="1" applyAlignment="1">
      <alignment horizontal="center"/>
    </xf>
    <xf numFmtId="180" fontId="53" fillId="0" borderId="60" xfId="70" applyNumberFormat="1" applyFont="1" applyBorder="1" applyAlignment="1">
      <alignment horizontal="center"/>
    </xf>
    <xf numFmtId="0" fontId="53" fillId="0" borderId="41" xfId="54" applyFont="1" applyBorder="1" applyAlignment="1">
      <alignment horizontal="center"/>
    </xf>
    <xf numFmtId="180" fontId="53" fillId="0" borderId="49" xfId="70" applyNumberFormat="1" applyFont="1" applyFill="1" applyBorder="1" applyAlignment="1">
      <alignment horizontal="center"/>
    </xf>
    <xf numFmtId="182" fontId="53" fillId="0" borderId="63" xfId="54" applyNumberFormat="1" applyFont="1" applyFill="1" applyBorder="1" applyAlignment="1">
      <alignment horizontal="center"/>
    </xf>
    <xf numFmtId="182" fontId="53" fillId="4" borderId="63" xfId="54" applyNumberFormat="1" applyFont="1" applyFill="1" applyBorder="1" applyAlignment="1">
      <alignment horizontal="center"/>
    </xf>
    <xf numFmtId="180" fontId="53" fillId="0" borderId="53" xfId="70" applyNumberFormat="1" applyFont="1" applyFill="1" applyBorder="1" applyAlignment="1">
      <alignment horizontal="center"/>
    </xf>
    <xf numFmtId="180" fontId="53" fillId="0" borderId="54" xfId="70" applyNumberFormat="1" applyFont="1" applyFill="1" applyBorder="1" applyAlignment="1">
      <alignment horizontal="center"/>
    </xf>
    <xf numFmtId="0" fontId="38" fillId="0" borderId="56" xfId="54" applyFill="1" applyBorder="1"/>
    <xf numFmtId="0" fontId="59" fillId="4" borderId="57" xfId="70" applyFont="1" applyFill="1" applyBorder="1" applyAlignment="1">
      <alignment wrapText="1"/>
    </xf>
    <xf numFmtId="180" fontId="53" fillId="0" borderId="58" xfId="70" applyNumberFormat="1" applyFont="1" applyFill="1" applyBorder="1" applyAlignment="1">
      <alignment horizontal="center"/>
    </xf>
    <xf numFmtId="180" fontId="53" fillId="0" borderId="60" xfId="70" applyNumberFormat="1" applyFont="1" applyFill="1" applyBorder="1" applyAlignment="1">
      <alignment horizontal="center"/>
    </xf>
    <xf numFmtId="183" fontId="53" fillId="0" borderId="64" xfId="70" applyNumberFormat="1" applyFont="1" applyFill="1" applyBorder="1" applyAlignment="1">
      <alignment horizontal="left"/>
    </xf>
    <xf numFmtId="182" fontId="53" fillId="0" borderId="65" xfId="78" applyNumberFormat="1" applyFont="1" applyFill="1" applyBorder="1" applyAlignment="1">
      <alignment horizontal="center"/>
    </xf>
    <xf numFmtId="182" fontId="53" fillId="0" borderId="66" xfId="78" applyNumberFormat="1" applyFont="1" applyFill="1" applyBorder="1" applyAlignment="1">
      <alignment horizontal="center"/>
    </xf>
    <xf numFmtId="0" fontId="53" fillId="0" borderId="67" xfId="54" applyFont="1" applyBorder="1" applyAlignment="1">
      <alignment horizontal="center"/>
    </xf>
    <xf numFmtId="180" fontId="11" fillId="0" borderId="0" xfId="70" applyNumberFormat="1" applyFont="1" applyFill="1"/>
    <xf numFmtId="180" fontId="11" fillId="0" borderId="0" xfId="70" applyNumberFormat="1" applyFont="1"/>
    <xf numFmtId="0" fontId="53" fillId="0" borderId="41" xfId="70" applyFont="1" applyBorder="1"/>
    <xf numFmtId="0" fontId="53" fillId="0" borderId="41" xfId="70" applyFont="1" applyFill="1" applyBorder="1"/>
    <xf numFmtId="184" fontId="53" fillId="0" borderId="47" xfId="70" applyNumberFormat="1" applyFont="1" applyFill="1" applyBorder="1" applyAlignment="1">
      <alignment horizontal="left"/>
    </xf>
    <xf numFmtId="182" fontId="53" fillId="9" borderId="65" xfId="46" applyNumberFormat="1" applyFont="1" applyFill="1" applyBorder="1" applyAlignment="1">
      <alignment horizontal="center"/>
    </xf>
    <xf numFmtId="182" fontId="53" fillId="9" borderId="66" xfId="46" applyNumberFormat="1" applyFont="1" applyFill="1" applyBorder="1" applyAlignment="1">
      <alignment horizontal="center"/>
    </xf>
    <xf numFmtId="184" fontId="53" fillId="4" borderId="47" xfId="70" applyNumberFormat="1" applyFont="1" applyFill="1" applyBorder="1" applyAlignment="1">
      <alignment horizontal="left"/>
    </xf>
    <xf numFmtId="0" fontId="53" fillId="0" borderId="48" xfId="70" applyFont="1" applyBorder="1" applyAlignment="1">
      <alignment horizontal="center"/>
    </xf>
    <xf numFmtId="0" fontId="53" fillId="0" borderId="63" xfId="70" applyFont="1" applyBorder="1" applyAlignment="1">
      <alignment horizontal="center"/>
    </xf>
    <xf numFmtId="0" fontId="53" fillId="0" borderId="68" xfId="70" applyFont="1" applyBorder="1" applyAlignment="1">
      <alignment horizontal="center"/>
    </xf>
    <xf numFmtId="181" fontId="53" fillId="0" borderId="46" xfId="70" applyNumberFormat="1" applyFont="1" applyBorder="1" applyAlignment="1">
      <alignment horizontal="center"/>
    </xf>
    <xf numFmtId="0" fontId="38" fillId="0" borderId="46" xfId="54" applyBorder="1"/>
    <xf numFmtId="183" fontId="53" fillId="0" borderId="69" xfId="70" applyNumberFormat="1" applyFont="1" applyBorder="1" applyAlignment="1">
      <alignment horizontal="left"/>
    </xf>
    <xf numFmtId="0" fontId="62" fillId="0" borderId="0" xfId="70" applyFont="1"/>
    <xf numFmtId="0" fontId="62" fillId="0" borderId="0" xfId="70" applyFont="1" applyBorder="1"/>
    <xf numFmtId="181" fontId="53" fillId="0" borderId="73" xfId="70" applyNumberFormat="1" applyFont="1" applyBorder="1" applyAlignment="1">
      <alignment horizontal="center"/>
    </xf>
    <xf numFmtId="0" fontId="38" fillId="0" borderId="73" xfId="54" applyBorder="1"/>
    <xf numFmtId="0" fontId="53" fillId="0" borderId="59" xfId="70" applyFont="1" applyBorder="1"/>
    <xf numFmtId="0" fontId="53" fillId="0" borderId="73" xfId="70" applyFont="1" applyBorder="1"/>
    <xf numFmtId="0" fontId="43" fillId="0" borderId="76" xfId="70" applyFont="1" applyBorder="1"/>
    <xf numFmtId="0" fontId="59" fillId="4" borderId="77" xfId="70" applyFont="1" applyFill="1" applyBorder="1" applyAlignment="1">
      <alignment wrapText="1"/>
    </xf>
    <xf numFmtId="0" fontId="53" fillId="0" borderId="49" xfId="70" applyFont="1" applyBorder="1"/>
    <xf numFmtId="182" fontId="53" fillId="0" borderId="0" xfId="54" applyNumberFormat="1" applyFont="1" applyBorder="1" applyAlignment="1">
      <alignment horizontal="center"/>
    </xf>
    <xf numFmtId="183" fontId="53" fillId="0" borderId="51" xfId="70" applyNumberFormat="1" applyFont="1" applyBorder="1" applyAlignment="1">
      <alignment horizontal="left"/>
    </xf>
    <xf numFmtId="0" fontId="53" fillId="0" borderId="49" xfId="70" applyFont="1" applyFill="1" applyBorder="1"/>
    <xf numFmtId="0" fontId="53" fillId="0" borderId="0" xfId="70" applyFont="1" applyFill="1" applyBorder="1"/>
    <xf numFmtId="182" fontId="53" fillId="0" borderId="66" xfId="54" applyNumberFormat="1" applyFont="1" applyFill="1" applyBorder="1" applyAlignment="1">
      <alignment horizontal="center"/>
    </xf>
    <xf numFmtId="182" fontId="11" fillId="0" borderId="0" xfId="70" applyNumberFormat="1" applyFont="1" applyFill="1" applyBorder="1"/>
    <xf numFmtId="182" fontId="53" fillId="4" borderId="66" xfId="54" applyNumberFormat="1" applyFont="1" applyFill="1" applyBorder="1" applyAlignment="1">
      <alignment horizontal="center"/>
    </xf>
    <xf numFmtId="0" fontId="53" fillId="0" borderId="78" xfId="70" applyFont="1" applyBorder="1"/>
    <xf numFmtId="0" fontId="53" fillId="0" borderId="63" xfId="70" applyFont="1" applyBorder="1" applyAlignment="1">
      <alignment horizontal="centerContinuous"/>
    </xf>
    <xf numFmtId="0" fontId="53" fillId="0" borderId="46" xfId="70" applyFont="1" applyBorder="1" applyAlignment="1">
      <alignment horizontal="centerContinuous"/>
    </xf>
    <xf numFmtId="0" fontId="53" fillId="0" borderId="65" xfId="70" applyFont="1" applyBorder="1" applyAlignment="1">
      <alignment horizontal="centerContinuous"/>
    </xf>
    <xf numFmtId="0" fontId="53" fillId="0" borderId="52" xfId="70" applyFont="1" applyBorder="1" applyAlignment="1">
      <alignment horizontal="left"/>
    </xf>
    <xf numFmtId="0" fontId="59" fillId="0" borderId="57" xfId="70" applyFont="1" applyBorder="1" applyAlignment="1">
      <alignment horizontal="left"/>
    </xf>
    <xf numFmtId="0" fontId="53" fillId="0" borderId="79" xfId="70" applyFont="1" applyBorder="1"/>
    <xf numFmtId="0" fontId="53" fillId="0" borderId="80" xfId="70" applyFont="1" applyBorder="1"/>
    <xf numFmtId="0" fontId="53" fillId="0" borderId="54" xfId="70" applyFont="1" applyBorder="1"/>
    <xf numFmtId="0" fontId="53" fillId="0" borderId="54" xfId="70" applyFont="1" applyBorder="1" applyAlignment="1">
      <alignment horizontal="right"/>
    </xf>
    <xf numFmtId="0" fontId="53" fillId="0" borderId="71" xfId="70" applyFont="1" applyBorder="1"/>
    <xf numFmtId="0" fontId="53" fillId="0" borderId="81" xfId="70" applyFont="1" applyBorder="1"/>
    <xf numFmtId="0" fontId="59" fillId="4" borderId="82" xfId="70" applyFont="1" applyFill="1" applyBorder="1" applyAlignment="1">
      <alignment horizontal="left"/>
    </xf>
    <xf numFmtId="0" fontId="11" fillId="0" borderId="83" xfId="70" applyFont="1" applyBorder="1"/>
    <xf numFmtId="0" fontId="11" fillId="0" borderId="84" xfId="70" applyFont="1" applyBorder="1"/>
    <xf numFmtId="0" fontId="11" fillId="0" borderId="85" xfId="70" applyFont="1" applyBorder="1"/>
    <xf numFmtId="0" fontId="11" fillId="0" borderId="86" xfId="70" applyFont="1" applyBorder="1"/>
    <xf numFmtId="0" fontId="11" fillId="0" borderId="87" xfId="70" applyFont="1" applyBorder="1"/>
    <xf numFmtId="0" fontId="11" fillId="0" borderId="61" xfId="70" applyFont="1" applyBorder="1"/>
    <xf numFmtId="0" fontId="38" fillId="0" borderId="88" xfId="54" applyBorder="1"/>
    <xf numFmtId="181" fontId="53" fillId="0" borderId="65" xfId="70" applyNumberFormat="1" applyFont="1" applyBorder="1" applyAlignment="1">
      <alignment horizontal="center"/>
    </xf>
    <xf numFmtId="180" fontId="53" fillId="0" borderId="46" xfId="70" applyNumberFormat="1" applyFont="1" applyBorder="1" applyAlignment="1">
      <alignment horizontal="center"/>
    </xf>
    <xf numFmtId="183" fontId="53" fillId="0" borderId="47" xfId="70" applyNumberFormat="1" applyFont="1" applyBorder="1" applyAlignment="1">
      <alignment horizontal="left"/>
    </xf>
    <xf numFmtId="182" fontId="53" fillId="0" borderId="49" xfId="70" applyNumberFormat="1" applyFont="1" applyBorder="1"/>
    <xf numFmtId="182" fontId="53" fillId="0" borderId="88" xfId="70" applyNumberFormat="1" applyFont="1" applyBorder="1"/>
    <xf numFmtId="182" fontId="53" fillId="0" borderId="73" xfId="70" applyNumberFormat="1" applyFont="1" applyBorder="1"/>
    <xf numFmtId="182" fontId="53" fillId="0" borderId="0" xfId="70" applyNumberFormat="1" applyFont="1" applyBorder="1"/>
    <xf numFmtId="180" fontId="53" fillId="0" borderId="65" xfId="70" applyNumberFormat="1" applyFont="1" applyBorder="1" applyAlignment="1">
      <alignment horizontal="center"/>
    </xf>
    <xf numFmtId="181" fontId="53" fillId="0" borderId="72" xfId="70" applyNumberFormat="1" applyFont="1" applyBorder="1" applyAlignment="1">
      <alignment horizontal="center"/>
    </xf>
    <xf numFmtId="181" fontId="53" fillId="0" borderId="72" xfId="70" applyNumberFormat="1" applyFont="1" applyFill="1" applyBorder="1" applyAlignment="1">
      <alignment horizontal="center"/>
    </xf>
    <xf numFmtId="180" fontId="53" fillId="0" borderId="65" xfId="70" applyNumberFormat="1" applyFont="1" applyFill="1" applyBorder="1" applyAlignment="1">
      <alignment horizontal="center"/>
    </xf>
    <xf numFmtId="0" fontId="38" fillId="0" borderId="88" xfId="54" applyFill="1" applyBorder="1"/>
    <xf numFmtId="0" fontId="38" fillId="0" borderId="73" xfId="54" applyFill="1" applyBorder="1"/>
    <xf numFmtId="0" fontId="38" fillId="0" borderId="88" xfId="54" applyFill="1" applyBorder="1" applyAlignment="1">
      <alignment wrapText="1"/>
    </xf>
    <xf numFmtId="0" fontId="38" fillId="0" borderId="73" xfId="54" applyFill="1" applyBorder="1" applyAlignment="1">
      <alignment wrapText="1"/>
    </xf>
    <xf numFmtId="0" fontId="38" fillId="0" borderId="88" xfId="54" applyBorder="1" applyAlignment="1">
      <alignment wrapText="1"/>
    </xf>
    <xf numFmtId="0" fontId="38" fillId="0" borderId="73" xfId="54" applyBorder="1" applyAlignment="1">
      <alignment wrapText="1"/>
    </xf>
    <xf numFmtId="182" fontId="53" fillId="0" borderId="65" xfId="54" applyNumberFormat="1" applyFont="1" applyFill="1" applyBorder="1" applyAlignment="1">
      <alignment horizontal="center"/>
    </xf>
    <xf numFmtId="183" fontId="38" fillId="0" borderId="0" xfId="54" applyNumberFormat="1"/>
    <xf numFmtId="182" fontId="38" fillId="0" borderId="0" xfId="54" applyNumberFormat="1"/>
    <xf numFmtId="183" fontId="53" fillId="2" borderId="47" xfId="70" applyNumberFormat="1" applyFont="1" applyFill="1" applyBorder="1" applyAlignment="1">
      <alignment horizontal="left"/>
    </xf>
    <xf numFmtId="182" fontId="53" fillId="2" borderId="65" xfId="54" applyNumberFormat="1" applyFont="1" applyFill="1" applyBorder="1" applyAlignment="1">
      <alignment horizontal="center"/>
    </xf>
    <xf numFmtId="182" fontId="53" fillId="2" borderId="66" xfId="54" applyNumberFormat="1" applyFont="1" applyFill="1" applyBorder="1" applyAlignment="1">
      <alignment horizontal="center"/>
    </xf>
    <xf numFmtId="182" fontId="53" fillId="0" borderId="72" xfId="54" applyNumberFormat="1" applyFont="1" applyFill="1" applyBorder="1" applyAlignment="1">
      <alignment horizontal="center"/>
    </xf>
    <xf numFmtId="183" fontId="53" fillId="0" borderId="65" xfId="70" applyNumberFormat="1" applyFont="1" applyFill="1" applyBorder="1" applyAlignment="1">
      <alignment horizontal="left"/>
    </xf>
    <xf numFmtId="182" fontId="53" fillId="4" borderId="72" xfId="54" applyNumberFormat="1" applyFont="1" applyFill="1" applyBorder="1" applyAlignment="1">
      <alignment horizontal="center"/>
    </xf>
    <xf numFmtId="183" fontId="53" fillId="4" borderId="65" xfId="70" applyNumberFormat="1" applyFont="1" applyFill="1" applyBorder="1" applyAlignment="1">
      <alignment horizontal="left"/>
    </xf>
    <xf numFmtId="183" fontId="53" fillId="0" borderId="46" xfId="70" applyNumberFormat="1" applyFont="1" applyFill="1" applyBorder="1" applyAlignment="1">
      <alignment horizontal="left"/>
    </xf>
    <xf numFmtId="0" fontId="38" fillId="0" borderId="89" xfId="54" applyBorder="1"/>
    <xf numFmtId="0" fontId="59" fillId="0" borderId="90" xfId="70" applyFont="1" applyBorder="1" applyAlignment="1"/>
    <xf numFmtId="182" fontId="53" fillId="0" borderId="68" xfId="54" applyNumberFormat="1" applyFont="1" applyFill="1" applyBorder="1" applyAlignment="1">
      <alignment horizontal="center"/>
    </xf>
    <xf numFmtId="182" fontId="53" fillId="0" borderId="46" xfId="54" applyNumberFormat="1" applyFont="1" applyFill="1" applyBorder="1" applyAlignment="1">
      <alignment horizontal="center"/>
    </xf>
    <xf numFmtId="183" fontId="53" fillId="0" borderId="91" xfId="70" applyNumberFormat="1" applyFont="1" applyFill="1" applyBorder="1" applyAlignment="1">
      <alignment horizontal="left"/>
    </xf>
    <xf numFmtId="183" fontId="53" fillId="4" borderId="52" xfId="70" applyNumberFormat="1" applyFont="1" applyFill="1" applyBorder="1" applyAlignment="1">
      <alignment horizontal="left"/>
    </xf>
    <xf numFmtId="0" fontId="38" fillId="0" borderId="92" xfId="54" applyBorder="1"/>
    <xf numFmtId="0" fontId="38" fillId="0" borderId="93" xfId="54" applyBorder="1"/>
    <xf numFmtId="0" fontId="59" fillId="4" borderId="94" xfId="70" applyFont="1" applyFill="1" applyBorder="1" applyAlignment="1"/>
    <xf numFmtId="0" fontId="59" fillId="0" borderId="95" xfId="70" applyFont="1" applyBorder="1" applyAlignment="1">
      <alignment horizontal="center"/>
    </xf>
    <xf numFmtId="7" fontId="53" fillId="0" borderId="84" xfId="52" applyNumberFormat="1" applyFont="1" applyBorder="1"/>
    <xf numFmtId="0" fontId="53" fillId="0" borderId="83" xfId="70" applyFont="1" applyBorder="1"/>
    <xf numFmtId="0" fontId="53" fillId="0" borderId="96" xfId="70" applyFont="1" applyBorder="1"/>
    <xf numFmtId="185" fontId="53" fillId="0" borderId="45" xfId="52" applyNumberFormat="1" applyFont="1" applyFill="1" applyBorder="1" applyAlignment="1">
      <alignment horizontal="center"/>
    </xf>
    <xf numFmtId="185" fontId="53" fillId="0" borderId="66" xfId="52" applyNumberFormat="1" applyFont="1" applyFill="1" applyBorder="1" applyAlignment="1">
      <alignment horizontal="center"/>
    </xf>
    <xf numFmtId="182" fontId="53" fillId="0" borderId="45" xfId="54" applyNumberFormat="1" applyFont="1" applyBorder="1" applyAlignment="1">
      <alignment horizontal="center"/>
    </xf>
    <xf numFmtId="182" fontId="53" fillId="0" borderId="66" xfId="54" applyNumberFormat="1" applyFont="1" applyBorder="1" applyAlignment="1">
      <alignment horizontal="center"/>
    </xf>
    <xf numFmtId="182" fontId="53" fillId="0" borderId="45" xfId="54" applyNumberFormat="1" applyFont="1" applyFill="1" applyBorder="1" applyAlignment="1">
      <alignment horizontal="center"/>
    </xf>
    <xf numFmtId="182" fontId="53" fillId="4" borderId="45" xfId="54" applyNumberFormat="1" applyFont="1" applyFill="1" applyBorder="1" applyAlignment="1">
      <alignment horizontal="center"/>
    </xf>
    <xf numFmtId="0" fontId="53" fillId="0" borderId="65" xfId="70" applyFont="1" applyBorder="1" applyAlignment="1">
      <alignment horizontal="center"/>
    </xf>
    <xf numFmtId="0" fontId="53" fillId="0" borderId="53" xfId="70" applyFont="1" applyBorder="1" applyAlignment="1">
      <alignment horizontal="right"/>
    </xf>
    <xf numFmtId="186" fontId="38" fillId="0" borderId="0" xfId="54" applyNumberFormat="1"/>
    <xf numFmtId="0" fontId="64" fillId="0" borderId="0" xfId="54" applyFont="1" applyAlignment="1">
      <alignment wrapText="1"/>
    </xf>
    <xf numFmtId="0" fontId="65" fillId="0" borderId="0" xfId="54" applyFont="1" applyAlignment="1">
      <alignment wrapText="1"/>
    </xf>
    <xf numFmtId="0" fontId="64" fillId="0" borderId="0" xfId="54" applyFont="1" applyAlignment="1">
      <alignment horizontal="center" wrapText="1"/>
    </xf>
    <xf numFmtId="0" fontId="66" fillId="0" borderId="0" xfId="54" applyFont="1" applyAlignment="1">
      <alignment horizontal="center" wrapText="1"/>
    </xf>
    <xf numFmtId="0" fontId="67" fillId="0" borderId="0" xfId="54" applyFont="1"/>
    <xf numFmtId="0" fontId="68" fillId="0" borderId="0" xfId="79" quotePrefix="1" applyAlignment="1" applyProtection="1">
      <alignment horizontal="left"/>
    </xf>
    <xf numFmtId="0" fontId="11" fillId="0" borderId="0" xfId="71" applyFont="1"/>
    <xf numFmtId="0" fontId="11" fillId="0" borderId="0" xfId="54" applyFont="1" applyFill="1" applyBorder="1"/>
    <xf numFmtId="182" fontId="11" fillId="0" borderId="97" xfId="54" applyNumberFormat="1" applyFont="1" applyFill="1" applyBorder="1" applyAlignment="1">
      <alignment horizontal="center"/>
    </xf>
    <xf numFmtId="187" fontId="69" fillId="0" borderId="98" xfId="54" applyNumberFormat="1" applyFont="1" applyFill="1" applyBorder="1" applyAlignment="1">
      <alignment horizontal="center"/>
    </xf>
    <xf numFmtId="182" fontId="11" fillId="0" borderId="99" xfId="54" applyNumberFormat="1" applyFont="1" applyFill="1" applyBorder="1" applyAlignment="1">
      <alignment horizontal="center"/>
    </xf>
    <xf numFmtId="182" fontId="11" fillId="0" borderId="100" xfId="54" applyNumberFormat="1" applyFont="1" applyFill="1" applyBorder="1" applyAlignment="1">
      <alignment horizontal="center"/>
    </xf>
    <xf numFmtId="187" fontId="69" fillId="0" borderId="101" xfId="54" applyNumberFormat="1" applyFont="1" applyFill="1" applyBorder="1" applyAlignment="1">
      <alignment horizontal="center"/>
    </xf>
    <xf numFmtId="182" fontId="11" fillId="0" borderId="102" xfId="54" applyNumberFormat="1" applyFont="1" applyFill="1" applyBorder="1" applyAlignment="1">
      <alignment horizontal="center"/>
    </xf>
    <xf numFmtId="182" fontId="11" fillId="0" borderId="103" xfId="54" applyNumberFormat="1" applyFont="1" applyFill="1" applyBorder="1" applyAlignment="1">
      <alignment horizontal="center"/>
    </xf>
    <xf numFmtId="0" fontId="11" fillId="0" borderId="102" xfId="54" applyFont="1" applyBorder="1"/>
    <xf numFmtId="0" fontId="11" fillId="0" borderId="104" xfId="54" applyFont="1" applyBorder="1"/>
    <xf numFmtId="182" fontId="11" fillId="0" borderId="105" xfId="54" applyNumberFormat="1" applyFont="1" applyFill="1" applyBorder="1" applyAlignment="1">
      <alignment horizontal="center"/>
    </xf>
    <xf numFmtId="187" fontId="69" fillId="0" borderId="47" xfId="54" applyNumberFormat="1" applyFont="1" applyFill="1" applyBorder="1" applyAlignment="1">
      <alignment horizontal="center"/>
    </xf>
    <xf numFmtId="182" fontId="11" fillId="0" borderId="48" xfId="54" applyNumberFormat="1" applyFont="1" applyFill="1" applyBorder="1" applyAlignment="1">
      <alignment horizontal="center"/>
    </xf>
    <xf numFmtId="182" fontId="11" fillId="0" borderId="70" xfId="54" applyNumberFormat="1" applyFont="1" applyFill="1" applyBorder="1" applyAlignment="1">
      <alignment horizontal="center"/>
    </xf>
    <xf numFmtId="182" fontId="11" fillId="0" borderId="71" xfId="54" applyNumberFormat="1" applyFont="1" applyFill="1" applyBorder="1" applyAlignment="1">
      <alignment horizontal="center"/>
    </xf>
    <xf numFmtId="0" fontId="11" fillId="0" borderId="71" xfId="54" applyFont="1" applyBorder="1"/>
    <xf numFmtId="0" fontId="11" fillId="0" borderId="106" xfId="54" applyFont="1" applyBorder="1"/>
    <xf numFmtId="49" fontId="69" fillId="0" borderId="47" xfId="54" applyNumberFormat="1" applyFont="1" applyFill="1" applyBorder="1" applyAlignment="1">
      <alignment horizontal="center"/>
    </xf>
    <xf numFmtId="182" fontId="11" fillId="0" borderId="50" xfId="54" applyNumberFormat="1" applyFont="1" applyFill="1" applyBorder="1" applyAlignment="1">
      <alignment horizontal="center"/>
    </xf>
    <xf numFmtId="182" fontId="11" fillId="0" borderId="45" xfId="54" applyNumberFormat="1" applyFont="1" applyFill="1" applyBorder="1" applyAlignment="1">
      <alignment horizontal="center"/>
    </xf>
    <xf numFmtId="0" fontId="49" fillId="0" borderId="107" xfId="54" applyFont="1" applyFill="1" applyBorder="1" applyAlignment="1">
      <alignment horizontal="center"/>
    </xf>
    <xf numFmtId="0" fontId="49" fillId="0" borderId="56" xfId="54" applyFont="1" applyFill="1" applyBorder="1" applyAlignment="1">
      <alignment horizontal="center" wrapText="1"/>
    </xf>
    <xf numFmtId="0" fontId="49" fillId="0" borderId="108" xfId="54" applyFont="1" applyFill="1" applyBorder="1" applyAlignment="1">
      <alignment horizontal="center"/>
    </xf>
    <xf numFmtId="0" fontId="49" fillId="45" borderId="108" xfId="54" applyFont="1" applyFill="1" applyBorder="1" applyAlignment="1">
      <alignment horizontal="center"/>
    </xf>
    <xf numFmtId="0" fontId="49" fillId="45" borderId="56" xfId="54" applyFont="1" applyFill="1" applyBorder="1" applyAlignment="1">
      <alignment horizontal="center" wrapText="1"/>
    </xf>
    <xf numFmtId="0" fontId="49" fillId="0" borderId="109" xfId="54" applyFont="1" applyBorder="1"/>
    <xf numFmtId="0" fontId="49" fillId="0" borderId="111" xfId="54" applyFont="1" applyBorder="1"/>
    <xf numFmtId="0" fontId="49" fillId="0" borderId="112" xfId="54" applyFont="1" applyBorder="1" applyAlignment="1">
      <alignment horizontal="centerContinuous"/>
    </xf>
    <xf numFmtId="0" fontId="49" fillId="0" borderId="83" xfId="54" applyFont="1" applyBorder="1" applyAlignment="1">
      <alignment horizontal="centerContinuous"/>
    </xf>
    <xf numFmtId="0" fontId="49" fillId="0" borderId="113" xfId="54" applyFont="1" applyBorder="1" applyAlignment="1">
      <alignment horizontal="centerContinuous"/>
    </xf>
    <xf numFmtId="0" fontId="49" fillId="0" borderId="31" xfId="54" applyFont="1" applyBorder="1" applyAlignment="1">
      <alignment horizontal="centerContinuous"/>
    </xf>
    <xf numFmtId="0" fontId="49" fillId="0" borderId="0" xfId="54" applyFont="1" applyBorder="1" applyAlignment="1">
      <alignment horizontal="centerContinuous"/>
    </xf>
    <xf numFmtId="0" fontId="49" fillId="0" borderId="32" xfId="54" applyFont="1" applyBorder="1" applyAlignment="1">
      <alignment horizontal="centerContinuous"/>
    </xf>
    <xf numFmtId="188" fontId="38" fillId="0" borderId="0" xfId="54" applyNumberFormat="1"/>
    <xf numFmtId="0" fontId="49" fillId="0" borderId="0" xfId="54" applyFont="1" applyAlignment="1">
      <alignment wrapText="1"/>
    </xf>
    <xf numFmtId="0" fontId="49" fillId="0" borderId="0" xfId="54" applyFont="1" applyAlignment="1">
      <alignment horizontal="center" wrapText="1"/>
    </xf>
    <xf numFmtId="0" fontId="53" fillId="0" borderId="0" xfId="54" applyFont="1" applyAlignment="1">
      <alignment wrapText="1"/>
    </xf>
    <xf numFmtId="0" fontId="59" fillId="0" borderId="0" xfId="54" applyFont="1" applyAlignment="1">
      <alignment horizontal="center" wrapText="1"/>
    </xf>
    <xf numFmtId="0" fontId="70" fillId="0" borderId="0" xfId="54" applyFont="1"/>
    <xf numFmtId="0" fontId="39" fillId="0" borderId="0" xfId="55" quotePrefix="1" applyAlignment="1" applyProtection="1">
      <alignment horizontal="left"/>
    </xf>
    <xf numFmtId="0" fontId="71" fillId="0" borderId="0" xfId="54" applyFont="1"/>
    <xf numFmtId="0" fontId="29" fillId="0" borderId="0" xfId="54" applyFont="1"/>
    <xf numFmtId="179" fontId="0" fillId="0" borderId="0" xfId="0" applyNumberFormat="1"/>
    <xf numFmtId="0" fontId="2" fillId="2" borderId="0" xfId="0" applyFont="1" applyFill="1" applyAlignment="1">
      <alignment wrapText="1"/>
    </xf>
    <xf numFmtId="170" fontId="0" fillId="0" borderId="0" xfId="4" applyNumberFormat="1" applyFont="1" applyAlignment="1">
      <alignment horizontal="left"/>
    </xf>
    <xf numFmtId="174" fontId="0" fillId="0" borderId="0" xfId="0" applyNumberFormat="1" applyAlignment="1">
      <alignment horizontal="left"/>
    </xf>
    <xf numFmtId="174" fontId="2" fillId="2" borderId="0" xfId="0" applyNumberFormat="1" applyFont="1" applyFill="1" applyAlignment="1">
      <alignment horizontal="left"/>
    </xf>
    <xf numFmtId="11" fontId="0" fillId="3" borderId="0" xfId="0" applyNumberFormat="1" applyFill="1" applyAlignment="1">
      <alignment horizontal="left"/>
    </xf>
    <xf numFmtId="189" fontId="0" fillId="0" borderId="0" xfId="0" applyNumberFormat="1" applyFont="1" applyAlignment="1">
      <alignment horizontal="left"/>
    </xf>
    <xf numFmtId="0" fontId="37" fillId="0" borderId="0" xfId="0" applyFont="1"/>
    <xf numFmtId="0" fontId="0" fillId="0" borderId="0" xfId="0" applyFont="1" applyAlignment="1">
      <alignment horizontal="left"/>
    </xf>
    <xf numFmtId="190" fontId="0" fillId="0" borderId="0" xfId="0" applyNumberFormat="1" applyAlignment="1">
      <alignment horizontal="left"/>
    </xf>
    <xf numFmtId="190" fontId="0" fillId="0" borderId="0" xfId="0" applyNumberFormat="1" applyFill="1" applyAlignment="1">
      <alignment horizontal="left"/>
    </xf>
    <xf numFmtId="0" fontId="0" fillId="2" borderId="0" xfId="0" applyFill="1" applyAlignment="1">
      <alignment horizontal="left"/>
    </xf>
    <xf numFmtId="190" fontId="0" fillId="3" borderId="0" xfId="0" applyNumberFormat="1" applyFont="1" applyFill="1" applyAlignment="1">
      <alignment horizontal="left"/>
    </xf>
    <xf numFmtId="0" fontId="2" fillId="46" borderId="0" xfId="0" applyFont="1" applyFill="1" applyAlignment="1">
      <alignment horizontal="left"/>
    </xf>
    <xf numFmtId="0" fontId="0" fillId="46" borderId="0" xfId="0" applyFill="1"/>
    <xf numFmtId="0" fontId="4" fillId="0" borderId="114" xfId="0" applyFont="1" applyBorder="1"/>
    <xf numFmtId="0" fontId="0" fillId="0" borderId="0" xfId="0" applyFont="1" applyFill="1"/>
    <xf numFmtId="0" fontId="0" fillId="0" borderId="0" xfId="0" applyAlignment="1">
      <alignment horizontal="left" vertical="top"/>
    </xf>
    <xf numFmtId="11" fontId="0" fillId="7" borderId="0" xfId="0" applyNumberFormat="1" applyFill="1"/>
    <xf numFmtId="190" fontId="0" fillId="7" borderId="0" xfId="0" applyNumberFormat="1" applyFill="1" applyAlignment="1">
      <alignment horizontal="left"/>
    </xf>
    <xf numFmtId="0" fontId="2" fillId="2" borderId="0" xfId="0" applyFont="1" applyFill="1" applyAlignment="1">
      <alignment horizontal="left" vertical="top"/>
    </xf>
    <xf numFmtId="0" fontId="34" fillId="8" borderId="30" xfId="46" applyFont="1" applyFill="1" applyBorder="1" applyAlignment="1">
      <alignment horizontal="center" vertical="center" wrapText="1"/>
    </xf>
    <xf numFmtId="0" fontId="34" fillId="8" borderId="23" xfId="46" applyFont="1" applyFill="1" applyBorder="1" applyAlignment="1">
      <alignment horizontal="center" vertical="center" wrapText="1"/>
    </xf>
    <xf numFmtId="0" fontId="34" fillId="8" borderId="27" xfId="46" applyFont="1" applyFill="1" applyBorder="1" applyAlignment="1">
      <alignment horizontal="center" vertical="center" wrapText="1"/>
    </xf>
    <xf numFmtId="0" fontId="34" fillId="8" borderId="24" xfId="46" applyFont="1" applyFill="1" applyBorder="1" applyAlignment="1">
      <alignment horizontal="center" vertical="center" wrapText="1"/>
    </xf>
    <xf numFmtId="0" fontId="34" fillId="8" borderId="28" xfId="46" applyFont="1" applyFill="1" applyBorder="1" applyAlignment="1">
      <alignment horizontal="center" wrapText="1"/>
    </xf>
    <xf numFmtId="0" fontId="34" fillId="8" borderId="25" xfId="46" applyFont="1" applyFill="1" applyBorder="1" applyAlignment="1">
      <alignment horizontal="center" wrapText="1"/>
    </xf>
    <xf numFmtId="0" fontId="34" fillId="8" borderId="29" xfId="46" applyFont="1" applyFill="1" applyBorder="1" applyAlignment="1">
      <alignment horizontal="center" wrapText="1"/>
    </xf>
    <xf numFmtId="0" fontId="34" fillId="8" borderId="32" xfId="53" applyNumberFormat="1" applyFont="1" applyFill="1" applyBorder="1" applyAlignment="1">
      <alignment horizontal="center" vertical="center"/>
    </xf>
    <xf numFmtId="0" fontId="34" fillId="8" borderId="0" xfId="53" applyNumberFormat="1" applyFont="1" applyFill="1" applyBorder="1" applyAlignment="1">
      <alignment horizontal="center" vertical="center"/>
    </xf>
    <xf numFmtId="0" fontId="34" fillId="8" borderId="31" xfId="53" applyNumberFormat="1" applyFont="1" applyFill="1" applyBorder="1" applyAlignment="1">
      <alignment horizontal="center" vertical="center"/>
    </xf>
    <xf numFmtId="0" fontId="34" fillId="8" borderId="32" xfId="53" applyNumberFormat="1" applyFont="1" applyFill="1" applyBorder="1" applyAlignment="1">
      <alignment horizontal="center" vertical="center" wrapText="1"/>
    </xf>
    <xf numFmtId="0" fontId="34" fillId="8" borderId="0" xfId="53" applyNumberFormat="1" applyFont="1" applyFill="1" applyBorder="1" applyAlignment="1">
      <alignment horizontal="center" vertical="center" wrapText="1"/>
    </xf>
    <xf numFmtId="182" fontId="53" fillId="4" borderId="66" xfId="54" applyNumberFormat="1" applyFont="1" applyFill="1" applyBorder="1" applyAlignment="1">
      <alignment horizontal="center"/>
    </xf>
    <xf numFmtId="182" fontId="53" fillId="4" borderId="72" xfId="54" applyNumberFormat="1" applyFont="1" applyFill="1" applyBorder="1" applyAlignment="1">
      <alignment horizontal="center"/>
    </xf>
    <xf numFmtId="182" fontId="53" fillId="0" borderId="66" xfId="54" applyNumberFormat="1" applyFont="1" applyFill="1" applyBorder="1" applyAlignment="1">
      <alignment horizontal="center"/>
    </xf>
    <xf numFmtId="182" fontId="53" fillId="0" borderId="72" xfId="54" applyNumberFormat="1" applyFont="1" applyFill="1" applyBorder="1" applyAlignment="1">
      <alignment horizontal="center"/>
    </xf>
    <xf numFmtId="0" fontId="49" fillId="0" borderId="0" xfId="54" applyFont="1" applyAlignment="1">
      <alignment horizontal="center"/>
    </xf>
    <xf numFmtId="0" fontId="53" fillId="0" borderId="66" xfId="70" applyFont="1" applyBorder="1" applyAlignment="1">
      <alignment horizontal="center"/>
    </xf>
    <xf numFmtId="0" fontId="53" fillId="0" borderId="72" xfId="70" applyFont="1" applyBorder="1" applyAlignment="1">
      <alignment horizontal="center"/>
    </xf>
    <xf numFmtId="0" fontId="59" fillId="0" borderId="55" xfId="54" applyFont="1" applyBorder="1" applyAlignment="1">
      <alignment horizontal="center"/>
    </xf>
    <xf numFmtId="0" fontId="59" fillId="0" borderId="54" xfId="54" applyFont="1" applyBorder="1" applyAlignment="1">
      <alignment horizontal="center"/>
    </xf>
    <xf numFmtId="0" fontId="59" fillId="0" borderId="53" xfId="54" applyFont="1" applyBorder="1" applyAlignment="1">
      <alignment horizontal="center"/>
    </xf>
    <xf numFmtId="0" fontId="43" fillId="0" borderId="66" xfId="70" applyFont="1" applyBorder="1" applyAlignment="1">
      <alignment horizontal="center"/>
    </xf>
    <xf numFmtId="0" fontId="43" fillId="0" borderId="72" xfId="70" applyFont="1" applyBorder="1" applyAlignment="1">
      <alignment horizontal="center"/>
    </xf>
    <xf numFmtId="0" fontId="53" fillId="0" borderId="75" xfId="70" applyFont="1" applyBorder="1" applyAlignment="1">
      <alignment horizontal="center"/>
    </xf>
    <xf numFmtId="0" fontId="53" fillId="0" borderId="74" xfId="70" applyFont="1" applyBorder="1" applyAlignment="1">
      <alignment horizontal="center"/>
    </xf>
    <xf numFmtId="7" fontId="43" fillId="0" borderId="71" xfId="52" applyNumberFormat="1" applyFont="1" applyBorder="1" applyAlignment="1">
      <alignment horizontal="center"/>
    </xf>
    <xf numFmtId="7" fontId="43" fillId="0" borderId="70" xfId="52" applyNumberFormat="1" applyFont="1" applyBorder="1" applyAlignment="1">
      <alignment horizontal="center"/>
    </xf>
    <xf numFmtId="7" fontId="43" fillId="0" borderId="66" xfId="52" applyNumberFormat="1" applyFont="1" applyBorder="1" applyAlignment="1">
      <alignment horizontal="center"/>
    </xf>
    <xf numFmtId="7" fontId="43" fillId="0" borderId="72" xfId="52" applyNumberFormat="1" applyFont="1" applyBorder="1" applyAlignment="1">
      <alignment horizontal="center"/>
    </xf>
    <xf numFmtId="0" fontId="49" fillId="0" borderId="77" xfId="54" applyFont="1" applyFill="1" applyBorder="1" applyAlignment="1">
      <alignment horizontal="center"/>
    </xf>
    <xf numFmtId="0" fontId="49" fillId="0" borderId="110" xfId="54" applyFont="1" applyFill="1" applyBorder="1" applyAlignment="1">
      <alignment horizontal="center"/>
    </xf>
    <xf numFmtId="0" fontId="49" fillId="0" borderId="92" xfId="54" applyFont="1" applyFill="1" applyBorder="1" applyAlignment="1">
      <alignment horizontal="center"/>
    </xf>
    <xf numFmtId="0" fontId="49" fillId="45" borderId="77" xfId="54" applyFont="1" applyFill="1" applyBorder="1" applyAlignment="1">
      <alignment horizontal="center"/>
    </xf>
    <xf numFmtId="0" fontId="49" fillId="45" borderId="92" xfId="54" applyFont="1" applyFill="1" applyBorder="1" applyAlignment="1">
      <alignment horizontal="center"/>
    </xf>
    <xf numFmtId="0" fontId="49" fillId="0" borderId="35" xfId="54" applyFont="1" applyBorder="1" applyAlignment="1">
      <alignment horizontal="center"/>
    </xf>
    <xf numFmtId="0" fontId="49" fillId="0" borderId="114" xfId="54" applyFont="1" applyBorder="1" applyAlignment="1">
      <alignment horizontal="center"/>
    </xf>
    <xf numFmtId="0" fontId="49" fillId="0" borderId="33" xfId="54" applyFont="1" applyBorder="1" applyAlignment="1">
      <alignment horizontal="center"/>
    </xf>
    <xf numFmtId="0" fontId="49" fillId="0" borderId="32" xfId="54" applyFont="1" applyBorder="1" applyAlignment="1">
      <alignment horizontal="center"/>
    </xf>
    <xf numFmtId="0" fontId="49" fillId="0" borderId="0" xfId="54" applyFont="1" applyBorder="1" applyAlignment="1">
      <alignment horizontal="center"/>
    </xf>
    <xf numFmtId="0" fontId="49" fillId="0" borderId="31" xfId="54" applyFont="1" applyBorder="1" applyAlignment="1">
      <alignment horizontal="center"/>
    </xf>
    <xf numFmtId="183" fontId="49" fillId="0" borderId="32" xfId="54" applyNumberFormat="1" applyFont="1" applyBorder="1" applyAlignment="1">
      <alignment horizontal="center"/>
    </xf>
    <xf numFmtId="183" fontId="49" fillId="0" borderId="0" xfId="54" applyNumberFormat="1" applyFont="1" applyBorder="1" applyAlignment="1">
      <alignment horizontal="center"/>
    </xf>
    <xf numFmtId="183" fontId="49" fillId="0" borderId="31" xfId="54" applyNumberFormat="1" applyFont="1" applyBorder="1" applyAlignment="1">
      <alignment horizontal="center"/>
    </xf>
  </cellXfs>
  <cellStyles count="90">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Actual Date" xfId="56"/>
    <cellStyle name="Bad" xfId="11" builtinId="27" customBuiltin="1"/>
    <cellStyle name="Body: normal cell" xfId="80"/>
    <cellStyle name="Calculation" xfId="15" builtinId="22" customBuiltin="1"/>
    <cellStyle name="Check Cell" xfId="17" builtinId="23" customBuiltin="1"/>
    <cellStyle name="Comma" xfId="3" builtinId="3"/>
    <cellStyle name="Currency" xfId="4" builtinId="4"/>
    <cellStyle name="Currency 2" xfId="52"/>
    <cellStyle name="Date" xfId="57"/>
    <cellStyle name="Explanatory Text" xfId="20" builtinId="53" customBuiltin="1"/>
    <cellStyle name="Fixed" xfId="58"/>
    <cellStyle name="Font: Calibri, 9pt regular" xfId="81"/>
    <cellStyle name="Footnotes: all except top row" xfId="86"/>
    <cellStyle name="Footnotes: top row" xfId="82"/>
    <cellStyle name="Good" xfId="10" builtinId="26" customBuiltin="1"/>
    <cellStyle name="Grey" xfId="59"/>
    <cellStyle name="Grey 2" xfId="60"/>
    <cellStyle name="HEADER" xfId="61"/>
    <cellStyle name="Header: bottom row" xfId="83"/>
    <cellStyle name="Header: top rows" xfId="87"/>
    <cellStyle name="Heading 1" xfId="6" builtinId="16" customBuiltin="1"/>
    <cellStyle name="Heading 2" xfId="7" builtinId="17" customBuiltin="1"/>
    <cellStyle name="Heading 3" xfId="8" builtinId="18" customBuiltin="1"/>
    <cellStyle name="Heading 4" xfId="9" builtinId="19" customBuiltin="1"/>
    <cellStyle name="Heading1" xfId="62"/>
    <cellStyle name="Heading2" xfId="63"/>
    <cellStyle name="HIGHLIGHT" xfId="64"/>
    <cellStyle name="Hyperlink" xfId="2" builtinId="8"/>
    <cellStyle name="Hyperlink 2" xfId="47"/>
    <cellStyle name="Hyperlink 2 2" xfId="79"/>
    <cellStyle name="Hyperlink 3" xfId="55"/>
    <cellStyle name="Input" xfId="13" builtinId="20" customBuiltin="1"/>
    <cellStyle name="Input [yellow]" xfId="65"/>
    <cellStyle name="Input [yellow] 2" xfId="66"/>
    <cellStyle name="Linked Cell" xfId="16" builtinId="24" customBuiltin="1"/>
    <cellStyle name="Neutral" xfId="12" builtinId="28" customBuiltin="1"/>
    <cellStyle name="no dec" xfId="67"/>
    <cellStyle name="no dec 2" xfId="68"/>
    <cellStyle name="Normal" xfId="0" builtinId="0"/>
    <cellStyle name="Normal - Style1" xfId="69"/>
    <cellStyle name="Normal 2" xfId="48"/>
    <cellStyle name="Normal 2 2" xfId="78"/>
    <cellStyle name="Normal 3" xfId="46"/>
    <cellStyle name="Normal 4" xfId="54"/>
    <cellStyle name="Normal_G-NT" xfId="70"/>
    <cellStyle name="Normal_G-SUR" xfId="71"/>
    <cellStyle name="Normal_Sheet1" xfId="51"/>
    <cellStyle name="Normal_TBL14 2" xfId="53"/>
    <cellStyle name="Note" xfId="19" builtinId="10" customBuiltin="1"/>
    <cellStyle name="Note 2" xfId="49"/>
    <cellStyle name="Output" xfId="14" builtinId="21" customBuiltin="1"/>
    <cellStyle name="Parent row" xfId="84"/>
    <cellStyle name="Percent" xfId="1" builtinId="5"/>
    <cellStyle name="Percent [2]" xfId="72"/>
    <cellStyle name="Percent 2" xfId="50"/>
    <cellStyle name="Section Break" xfId="88"/>
    <cellStyle name="Section Break: parent row" xfId="89"/>
    <cellStyle name="Table title" xfId="85"/>
    <cellStyle name="Title" xfId="5" builtinId="15" customBuiltin="1"/>
    <cellStyle name="Total" xfId="21" builtinId="25" customBuiltin="1"/>
    <cellStyle name="Unprot" xfId="73"/>
    <cellStyle name="Unprot 2" xfId="74"/>
    <cellStyle name="Unprot$" xfId="75"/>
    <cellStyle name="Unprot$ 2" xfId="76"/>
    <cellStyle name="Unprotect" xfId="77"/>
    <cellStyle name="Warning Text" xfId="1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32</xdr:row>
      <xdr:rowOff>9525</xdr:rowOff>
    </xdr:from>
    <xdr:to>
      <xdr:col>3</xdr:col>
      <xdr:colOff>1671637</xdr:colOff>
      <xdr:row>60</xdr:row>
      <xdr:rowOff>104775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5800725"/>
          <a:ext cx="8153400" cy="51625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48</xdr:row>
      <xdr:rowOff>133350</xdr:rowOff>
    </xdr:from>
    <xdr:to>
      <xdr:col>13</xdr:col>
      <xdr:colOff>586164</xdr:colOff>
      <xdr:row>81</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705850"/>
          <a:ext cx="8510964" cy="6162675"/>
        </a:xfrm>
        <a:prstGeom prst="rect">
          <a:avLst/>
        </a:prstGeom>
      </xdr:spPr>
    </xdr:pic>
    <xdr:clientData/>
  </xdr:twoCellAnchor>
  <xdr:twoCellAnchor editAs="oneCell">
    <xdr:from>
      <xdr:col>15</xdr:col>
      <xdr:colOff>0</xdr:colOff>
      <xdr:row>49</xdr:row>
      <xdr:rowOff>0</xdr:rowOff>
    </xdr:from>
    <xdr:to>
      <xdr:col>23</xdr:col>
      <xdr:colOff>123200</xdr:colOff>
      <xdr:row>84</xdr:row>
      <xdr:rowOff>46786</xdr:rowOff>
    </xdr:to>
    <xdr:pic>
      <xdr:nvPicPr>
        <xdr:cNvPr id="3" name="Picture 2"/>
        <xdr:cNvPicPr>
          <a:picLocks noChangeAspect="1"/>
        </xdr:cNvPicPr>
      </xdr:nvPicPr>
      <xdr:blipFill>
        <a:blip xmlns:r="http://schemas.openxmlformats.org/officeDocument/2006/relationships" r:embed="rId2"/>
        <a:stretch>
          <a:fillRect/>
        </a:stretch>
      </xdr:blipFill>
      <xdr:spPr>
        <a:xfrm>
          <a:off x="9144000" y="8763000"/>
          <a:ext cx="5000000" cy="6714286"/>
        </a:xfrm>
        <a:prstGeom prst="rect">
          <a:avLst/>
        </a:prstGeom>
      </xdr:spPr>
    </xdr:pic>
    <xdr:clientData/>
  </xdr:twoCellAnchor>
  <xdr:twoCellAnchor>
    <xdr:from>
      <xdr:col>0</xdr:col>
      <xdr:colOff>0</xdr:colOff>
      <xdr:row>127</xdr:row>
      <xdr:rowOff>0</xdr:rowOff>
    </xdr:from>
    <xdr:to>
      <xdr:col>9</xdr:col>
      <xdr:colOff>85724</xdr:colOff>
      <xdr:row>146</xdr:row>
      <xdr:rowOff>25400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099000"/>
          <a:ext cx="5657849" cy="364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17</xdr:col>
      <xdr:colOff>122590</xdr:colOff>
      <xdr:row>46</xdr:row>
      <xdr:rowOff>18119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333500"/>
          <a:ext cx="9876190" cy="7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942067</xdr:colOff>
      <xdr:row>43</xdr:row>
      <xdr:rowOff>171167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001000"/>
          <a:ext cx="7266667" cy="2266667"/>
        </a:xfrm>
        <a:prstGeom prst="rect">
          <a:avLst/>
        </a:prstGeom>
      </xdr:spPr>
    </xdr:pic>
    <xdr:clientData/>
  </xdr:twoCellAnchor>
  <xdr:twoCellAnchor editAs="oneCell">
    <xdr:from>
      <xdr:col>0</xdr:col>
      <xdr:colOff>0</xdr:colOff>
      <xdr:row>50</xdr:row>
      <xdr:rowOff>0</xdr:rowOff>
    </xdr:from>
    <xdr:to>
      <xdr:col>2</xdr:col>
      <xdr:colOff>1077034</xdr:colOff>
      <xdr:row>73</xdr:row>
      <xdr:rowOff>124454</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334500"/>
          <a:ext cx="5077534" cy="45059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46</xdr:row>
      <xdr:rowOff>0</xdr:rowOff>
    </xdr:from>
    <xdr:ext cx="10278909" cy="3505689"/>
    <xdr:pic>
      <xdr:nvPicPr>
        <xdr:cNvPr id="2" name="Picture 1"/>
        <xdr:cNvPicPr>
          <a:picLocks noChangeAspect="1"/>
        </xdr:cNvPicPr>
      </xdr:nvPicPr>
      <xdr:blipFill>
        <a:blip xmlns:r="http://schemas.openxmlformats.org/officeDocument/2006/relationships" r:embed="rId1"/>
        <a:stretch>
          <a:fillRect/>
        </a:stretch>
      </xdr:blipFill>
      <xdr:spPr>
        <a:xfrm>
          <a:off x="0" y="7448550"/>
          <a:ext cx="10278909" cy="3505689"/>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28</xdr:row>
      <xdr:rowOff>0</xdr:rowOff>
    </xdr:from>
    <xdr:ext cx="5305424" cy="3429000"/>
    <xdr:pic>
      <xdr:nvPicPr>
        <xdr:cNvPr id="2" name="Picture 1"/>
        <xdr:cNvPicPr/>
      </xdr:nvPicPr>
      <xdr:blipFill>
        <a:blip xmlns:r="http://schemas.openxmlformats.org/officeDocument/2006/relationships" r:embed="rId1"/>
        <a:stretch>
          <a:fillRect/>
        </a:stretch>
      </xdr:blipFill>
      <xdr:spPr>
        <a:xfrm>
          <a:off x="0" y="4533900"/>
          <a:ext cx="5305424" cy="3429000"/>
        </a:xfrm>
        <a:prstGeom prst="rect">
          <a:avLst/>
        </a:prstGeom>
      </xdr:spPr>
    </xdr:pic>
    <xdr:clientData/>
  </xdr:oneCellAnchor>
  <xdr:oneCellAnchor>
    <xdr:from>
      <xdr:col>0</xdr:col>
      <xdr:colOff>0</xdr:colOff>
      <xdr:row>56</xdr:row>
      <xdr:rowOff>123709</xdr:rowOff>
    </xdr:from>
    <xdr:ext cx="5343524" cy="7602144"/>
    <xdr:pic>
      <xdr:nvPicPr>
        <xdr:cNvPr id="3" name="Picture 2"/>
        <xdr:cNvPicPr>
          <a:picLocks noChangeAspect="1"/>
        </xdr:cNvPicPr>
      </xdr:nvPicPr>
      <xdr:blipFill>
        <a:blip xmlns:r="http://schemas.openxmlformats.org/officeDocument/2006/relationships" r:embed="rId2"/>
        <a:stretch>
          <a:fillRect/>
        </a:stretch>
      </xdr:blipFill>
      <xdr:spPr>
        <a:xfrm>
          <a:off x="0" y="9191509"/>
          <a:ext cx="5343524" cy="7602144"/>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27</xdr:row>
      <xdr:rowOff>0</xdr:rowOff>
    </xdr:from>
    <xdr:ext cx="5943600" cy="3271520"/>
    <xdr:pic>
      <xdr:nvPicPr>
        <xdr:cNvPr id="2" name="Picture 1"/>
        <xdr:cNvPicPr/>
      </xdr:nvPicPr>
      <xdr:blipFill>
        <a:blip xmlns:r="http://schemas.openxmlformats.org/officeDocument/2006/relationships" r:embed="rId1"/>
        <a:stretch>
          <a:fillRect/>
        </a:stretch>
      </xdr:blipFill>
      <xdr:spPr>
        <a:xfrm>
          <a:off x="0" y="4371975"/>
          <a:ext cx="5943600" cy="3271520"/>
        </a:xfrm>
        <a:prstGeom prst="rect">
          <a:avLst/>
        </a:prstGeom>
      </xdr:spPr>
    </xdr:pic>
    <xdr:clientData/>
  </xdr:oneCellAnchor>
  <xdr:oneCellAnchor>
    <xdr:from>
      <xdr:col>0</xdr:col>
      <xdr:colOff>0</xdr:colOff>
      <xdr:row>55</xdr:row>
      <xdr:rowOff>0</xdr:rowOff>
    </xdr:from>
    <xdr:ext cx="6878010" cy="7725853"/>
    <xdr:pic>
      <xdr:nvPicPr>
        <xdr:cNvPr id="3" name="Picture 2"/>
        <xdr:cNvPicPr>
          <a:picLocks noChangeAspect="1"/>
        </xdr:cNvPicPr>
      </xdr:nvPicPr>
      <xdr:blipFill>
        <a:blip xmlns:r="http://schemas.openxmlformats.org/officeDocument/2006/relationships" r:embed="rId2"/>
        <a:stretch>
          <a:fillRect/>
        </a:stretch>
      </xdr:blipFill>
      <xdr:spPr>
        <a:xfrm>
          <a:off x="0" y="8905875"/>
          <a:ext cx="6878010" cy="7725853"/>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GREET1_201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R/RD%20Model/decision/2019_10_01%20(GTS)/Energy%20Division/RateMod_2019Oct_AL414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R/Monthly%20Calculations/G-CP/2019/1019/CP_10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Petroleum"/>
      <sheetName val="NG"/>
      <sheetName val="MeOH&amp;FTD"/>
      <sheetName val="EtOH"/>
      <sheetName val="Electric"/>
      <sheetName val="Hydrogen"/>
      <sheetName val="BioOil"/>
      <sheetName val="Algae"/>
      <sheetName val="RNG"/>
      <sheetName val="Pyrolysis&amp;IDL"/>
      <sheetName val="IBR"/>
      <sheetName val="PTF"/>
      <sheetName val="Fuel_Prod_TS"/>
      <sheetName val="EF_TS"/>
      <sheetName val="AgMining_EF_TS"/>
      <sheetName val="EF"/>
      <sheetName val="WCF"/>
      <sheetName val="Fuel_Specs"/>
      <sheetName val="Car_TS"/>
      <sheetName val="LDT1_TS"/>
      <sheetName val="LDT2_TS"/>
      <sheetName val="Vehicles"/>
      <sheetName val="Urban_Shares"/>
      <sheetName val="Compression"/>
      <sheetName val="Coal"/>
      <sheetName val="T&amp;D_Flowcharts"/>
      <sheetName val="T&amp;D"/>
      <sheetName val="Uranium"/>
      <sheetName val="Ag_Inputs"/>
      <sheetName val="Enzymes_Yeast"/>
      <sheetName val="Pretreatment"/>
      <sheetName val="Catalyst"/>
      <sheetName val="Bioproducts"/>
      <sheetName val="E-D Additives"/>
      <sheetName val="OilGasCoalInfra"/>
      <sheetName val="ElecInfra"/>
      <sheetName val="Woody"/>
      <sheetName val="HDV_TS"/>
      <sheetName val="HDV_WTW"/>
      <sheetName val="JetFuel_WTP"/>
      <sheetName val="JetFuel_PTWa"/>
      <sheetName val="JetFuel_WTWa"/>
      <sheetName val="Rail_PTW"/>
      <sheetName val="Rail_WTW"/>
      <sheetName val="MarineFuel_PTH"/>
      <sheetName val="MarineFuel_WTH"/>
      <sheetName val="Dist_Spec"/>
      <sheetName val="Forecast_Specs"/>
      <sheetName val="Forecast_Deleted"/>
    </sheetNames>
    <sheetDataSet>
      <sheetData sheetId="0" refreshError="1"/>
      <sheetData sheetId="1">
        <row r="16">
          <cell r="E16">
            <v>1</v>
          </cell>
        </row>
      </sheetData>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Log_Revision_History"/>
      <sheetName val="Model_Layout"/>
      <sheetName val="OUT_TranspRatesInTariffs"/>
      <sheetName val="IN_Switches"/>
      <sheetName val="Checks_RevReq_Live"/>
      <sheetName val="CheckOnRatesandRev"/>
      <sheetName val="IN_DataSetOptions"/>
      <sheetName val="IN_Marg_Cost_Rev_Scenarios"/>
      <sheetName val="IN_4_DataSet_201511_Baseline"/>
      <sheetName val="CALC_CurrentDataSet"/>
      <sheetName val="IN_ThroughputScen"/>
      <sheetName val="TestPeriod_ThroughputDetail"/>
      <sheetName val="TestPeriod_ThroughputSummary"/>
      <sheetName val="AYvolumes"/>
      <sheetName val="Cust"/>
      <sheetName val="AvgUsagePerCustomer"/>
      <sheetName val="Transportation_Alloc_Factors"/>
      <sheetName val="Distr_and_Cust_MCR"/>
      <sheetName val="CCC"/>
      <sheetName val="CCC_GTSundercollection"/>
      <sheetName val="State_Agency_Cost_Alloc"/>
      <sheetName val="PPPS_Allocation"/>
      <sheetName val="Proc_Alloc_Factors"/>
      <sheetName val="ProcRates"/>
      <sheetName val="Res_RD"/>
      <sheetName val="ResMinMoTranspBillRev"/>
      <sheetName val="G1_NGV_45mpd"/>
      <sheetName val="Comm_CC"/>
      <sheetName val="Comm_VR"/>
      <sheetName val="Core_NGV_RD"/>
      <sheetName val="Ind_Dist_Cust_Chrg_RD"/>
      <sheetName val="Ind_Distr_Vol_RD"/>
      <sheetName val="IND_Dist_Tiering"/>
      <sheetName val="LNG - Proxy Plant Costs"/>
      <sheetName val="LNG - Income Taxes"/>
      <sheetName val="LNG - Noncore Rate"/>
      <sheetName val="Calc_Mainline_Extension"/>
      <sheetName val="Mainline_Extension_Factors"/>
      <sheetName val="AnnualAvgRates_PPP"/>
      <sheetName val="ListOfTables"/>
      <sheetName val="ExecSummaryRateChange"/>
      <sheetName val="AvgRate"/>
      <sheetName val="Res_Bill_Impact"/>
      <sheetName val="SummaryOfRates"/>
      <sheetName val="SummaryOfRates_Aug19"/>
      <sheetName val="SummaryOfRates_CHGfrom_Aug19"/>
      <sheetName val="Allocation_Summary"/>
      <sheetName val="Allocation_Summary Aug 19"/>
      <sheetName val="Allocation_SummaryChange"/>
      <sheetName val="CoreRates_NoPPP_NoLT"/>
      <sheetName val="G1_NGV_RateSummary"/>
      <sheetName val="NC_Rates_noPPP_NoGasAccord"/>
      <sheetName val="Rates_PPP"/>
      <sheetName val="NGV2_CompressionCost"/>
      <sheetName val="MonthlyChrgs_Min"/>
      <sheetName val="Seasonal_Distr_Rates"/>
      <sheetName val="PrelimB"/>
      <sheetName val="PrelimB_PPP"/>
      <sheetName val="Prelim C All RRQ"/>
      <sheetName val="FFandU_AdjForRRQModel"/>
      <sheetName val="WorkpaperTableOfContents"/>
      <sheetName val="MACROS"/>
      <sheetName val="Module1"/>
      <sheetName val="Module2"/>
      <sheetName val="Constants_Input"/>
    </sheetNames>
    <sheetDataSet>
      <sheetData sheetId="0" refreshError="1"/>
      <sheetData sheetId="1" refreshError="1"/>
      <sheetData sheetId="2" refreshError="1"/>
      <sheetData sheetId="3" refreshError="1">
        <row r="16">
          <cell r="D16">
            <v>6.694E-2</v>
          </cell>
        </row>
        <row r="36">
          <cell r="D36">
            <v>6.5879999999999994E-2</v>
          </cell>
        </row>
        <row r="37">
          <cell r="D37">
            <v>0.15523480520067401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_RE"/>
      <sheetName val="CV_Cover Sheet"/>
      <sheetName val="TC_Table of Contents"/>
      <sheetName val="LOG_Revision History"/>
      <sheetName val="CHK_Model Checks"/>
      <sheetName val="IN_Inputs"/>
      <sheetName val="IN_Proc Volumes"/>
      <sheetName val="IN_BCAP Proc Vol"/>
      <sheetName val="CALC_PGA Amort"/>
      <sheetName val="CALC_Intrastate Backbone"/>
      <sheetName val="CALC_Interstate Charge"/>
      <sheetName val="CALC_Seasonal Interstate Chrg"/>
      <sheetName val="CALC_Canadian Charge"/>
      <sheetName val="CALC_Residential NGV"/>
      <sheetName val="CALC_Cycled CC Storage"/>
      <sheetName val="CALC_G-CFS Rate"/>
      <sheetName val="CALC_Base&amp;Noncycled CC Storage"/>
      <sheetName val="CALC_Total Rate"/>
      <sheetName val="CALC_Core Rate Table"/>
      <sheetName val="CALC_Core Rate Table-Seasonal"/>
      <sheetName val="CALC_CPDCA Explanation"/>
      <sheetName val="OUT_Tariff G-CP"/>
      <sheetName val="OUT_Summary"/>
      <sheetName val="OUT_Summary Annual"/>
      <sheetName val="OUT_Sum Tot Rate"/>
      <sheetName val="OUT_Proc Prelim B"/>
      <sheetName val="OUT_Res Natural Gas Watch"/>
      <sheetName val="OUT_ResNatGasWatch_NewsRelease"/>
      <sheetName val="OUT_G-NR1 Natural Gas Watch"/>
      <sheetName val="OUT_G-NR2 Natural Gas Watch"/>
      <sheetName val="OUT_JULY G-CP Rate"/>
      <sheetName val="Chart1"/>
      <sheetName val="OUT_Tariff G-SUR"/>
      <sheetName val="OUT_PPP Components"/>
      <sheetName val="OUT_Tariff G-CPX"/>
      <sheetName val="OUT_Workpapers New Amort"/>
      <sheetName val="OUT_PGA Balances_CPUC"/>
      <sheetName val="OUT_Avg Res Bill Forecast_Revsd"/>
      <sheetName val="OUT_Tables for Mgmt E-Mail"/>
      <sheetName val="OUT_TEB Binder Res Mo Rate Calc"/>
      <sheetName val="OUT_GCP WP Cover"/>
      <sheetName val="INF_BaselineTableAdviceLetter"/>
      <sheetName val="INF_Daily&amp;MonthlyBaselineQuant"/>
      <sheetName val="Macros"/>
      <sheetName val="Module1"/>
      <sheetName val="Modul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17">
          <cell r="G17">
            <v>1.3500000000000001E-3</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mi.org/RFGraph-US_industry_energy_saving_potential" TargetMode="External"/><Relationship Id="rId3" Type="http://schemas.openxmlformats.org/officeDocument/2006/relationships/hyperlink" Target="https://www.lazard.com/media/450784/lazards-levelized-cost-of-energy-version-120-vfinal.pdf" TargetMode="External"/><Relationship Id="rId7" Type="http://schemas.openxmlformats.org/officeDocument/2006/relationships/hyperlink" Target="http://www1.eere.energy.gov/manufacturing/distributedenergy/pdfs/characterization_industrial_commerical_boiler_population.pdf" TargetMode="External"/><Relationship Id="rId2" Type="http://schemas.openxmlformats.org/officeDocument/2006/relationships/hyperlink" Target="https://www.iea.org/statistics/resources/unitconverter/" TargetMode="External"/><Relationship Id="rId1" Type="http://schemas.openxmlformats.org/officeDocument/2006/relationships/hyperlink" Target="https://www.wecc.biz/Reliability/2014_TEPPC_GenCapCostCalculator.xlsm" TargetMode="External"/><Relationship Id="rId6" Type="http://schemas.openxmlformats.org/officeDocument/2006/relationships/hyperlink" Target="http://www.rmi.org/RFGraph-Cumulative_2010_value_capital_investment_fuel_savings" TargetMode="External"/><Relationship Id="rId5" Type="http://schemas.openxmlformats.org/officeDocument/2006/relationships/hyperlink" Target="http://aceee.org/files/proceedings/2013/data/papers/3_166.pdf" TargetMode="External"/><Relationship Id="rId10" Type="http://schemas.openxmlformats.org/officeDocument/2006/relationships/printerSettings" Target="../printerSettings/printerSettings1.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www.babcock.com/library/Documents/MS-14.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lazard.com/media/450773/lazards-levelized-cost-of-energy-version-120-vfinal.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ebudget.ca.gov/budget/publication/"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taxpolicycenter.org/statistics/state-corporate-income-tax-rates" TargetMode="External"/><Relationship Id="rId1" Type="http://schemas.openxmlformats.org/officeDocument/2006/relationships/hyperlink" Target="https://www.irs.gov/pub/irs-pdf/p946.pdf"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cpuc.ca.gov/natural_ga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socalgas.com/sites/default/files/1443740512263/Rate_Summary.pdf"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pge.com/tariffs/GRF1217.pdf" TargetMode="External"/><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 Id="rId5" Type="http://schemas.openxmlformats.org/officeDocument/2006/relationships/drawing" Target="../drawings/drawing6.xml"/><Relationship Id="rId4" Type="http://schemas.openxmlformats.org/officeDocument/2006/relationships/hyperlink" Target="https://www.pge.com/tariffs/GRF.SHTML"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eia.gov/energyexplained/units-and-calculators/british-thermal-units.php" TargetMode="External"/><Relationship Id="rId1" Type="http://schemas.openxmlformats.org/officeDocument/2006/relationships/hyperlink" Target="https://www.pge.com/tariffs/GRF1019.pdf" TargetMode="External"/><Relationship Id="rId4" Type="http://schemas.openxmlformats.org/officeDocument/2006/relationships/drawing" Target="../drawings/drawing7.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sce.com/SC3/b-rs/large-business/spc/calculating-energy-savings.ht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wecc.biz/Reliability/2014_TEPPC_GenCapCostCalculator.xls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reentechmedia.com/articles/read/glasspoint-is-building-the-worlds-largest-solar-project-in-an-omani-oilfie" TargetMode="External"/><Relationship Id="rId2" Type="http://schemas.openxmlformats.org/officeDocument/2006/relationships/hyperlink" Target="https://www.greentechmedia.com/articles/tag/glasspoint-solar" TargetMode="External"/><Relationship Id="rId1" Type="http://schemas.openxmlformats.org/officeDocument/2006/relationships/hyperlink" Target="https://www.irs.gov/pub/irs-pdf/p946.pdf" TargetMode="External"/><Relationship Id="rId5" Type="http://schemas.openxmlformats.org/officeDocument/2006/relationships/drawing" Target="../drawings/drawing2.xml"/><Relationship Id="rId4" Type="http://schemas.openxmlformats.org/officeDocument/2006/relationships/hyperlink" Target="https://www.seia.org/sites/default/files/resources/Solar_Powered_Oil_Production_California_Economy_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tabSelected="1" workbookViewId="0">
      <selection activeCell="A64" sqref="A64:XFD76"/>
    </sheetView>
  </sheetViews>
  <sheetFormatPr defaultColWidth="8.86328125" defaultRowHeight="14.25"/>
  <cols>
    <col min="2" max="2" width="41.1328125" customWidth="1"/>
    <col min="3" max="3" width="29.86328125" customWidth="1"/>
  </cols>
  <sheetData>
    <row r="1" spans="1:2">
      <c r="A1" s="53" t="s">
        <v>114</v>
      </c>
    </row>
    <row r="3" spans="1:2" s="131" customFormat="1">
      <c r="A3" s="53" t="s">
        <v>619</v>
      </c>
      <c r="B3" s="4" t="s">
        <v>620</v>
      </c>
    </row>
    <row r="4" spans="1:2" s="131" customFormat="1">
      <c r="B4" s="131" t="s">
        <v>621</v>
      </c>
    </row>
    <row r="5" spans="1:2" s="131" customFormat="1">
      <c r="B5" s="145">
        <v>2013</v>
      </c>
    </row>
    <row r="6" spans="1:2" s="131" customFormat="1">
      <c r="B6" s="131" t="s">
        <v>622</v>
      </c>
    </row>
    <row r="7" spans="1:2" s="131" customFormat="1">
      <c r="B7" s="3" t="s">
        <v>623</v>
      </c>
    </row>
    <row r="8" spans="1:2" s="131" customFormat="1">
      <c r="B8" s="131" t="s">
        <v>624</v>
      </c>
    </row>
    <row r="9" spans="1:2" s="131" customFormat="1"/>
    <row r="10" spans="1:2" s="131" customFormat="1">
      <c r="B10" s="4" t="s">
        <v>625</v>
      </c>
    </row>
    <row r="11" spans="1:2" s="131" customFormat="1">
      <c r="B11" s="131" t="s">
        <v>626</v>
      </c>
    </row>
    <row r="12" spans="1:2" s="131" customFormat="1">
      <c r="B12" s="2">
        <v>2011</v>
      </c>
    </row>
    <row r="13" spans="1:2" s="131" customFormat="1">
      <c r="B13" s="131" t="s">
        <v>627</v>
      </c>
    </row>
    <row r="14" spans="1:2" s="131" customFormat="1">
      <c r="B14" s="3" t="s">
        <v>628</v>
      </c>
    </row>
    <row r="15" spans="1:2" s="131" customFormat="1">
      <c r="B15" s="131" t="s">
        <v>629</v>
      </c>
    </row>
    <row r="16" spans="1:2" s="131" customFormat="1"/>
    <row r="17" spans="2:2" s="131" customFormat="1">
      <c r="B17" s="4" t="s">
        <v>630</v>
      </c>
    </row>
    <row r="18" spans="2:2" s="131" customFormat="1">
      <c r="B18" s="131" t="s">
        <v>626</v>
      </c>
    </row>
    <row r="19" spans="2:2" s="131" customFormat="1">
      <c r="B19" s="2">
        <v>2011</v>
      </c>
    </row>
    <row r="20" spans="2:2" s="131" customFormat="1">
      <c r="B20" s="131" t="s">
        <v>631</v>
      </c>
    </row>
    <row r="21" spans="2:2" s="131" customFormat="1">
      <c r="B21" s="3" t="s">
        <v>632</v>
      </c>
    </row>
    <row r="22" spans="2:2" s="131" customFormat="1">
      <c r="B22" s="131" t="s">
        <v>633</v>
      </c>
    </row>
    <row r="23" spans="2:2" s="131" customFormat="1"/>
    <row r="24" spans="2:2" s="131" customFormat="1">
      <c r="B24" s="4" t="s">
        <v>634</v>
      </c>
    </row>
    <row r="25" spans="2:2" s="131" customFormat="1">
      <c r="B25" s="131" t="s">
        <v>343</v>
      </c>
    </row>
    <row r="26" spans="2:2" s="131" customFormat="1">
      <c r="B26" s="145">
        <v>2010</v>
      </c>
    </row>
    <row r="27" spans="2:2" s="131" customFormat="1">
      <c r="B27" s="131" t="s">
        <v>344</v>
      </c>
    </row>
    <row r="28" spans="2:2" s="131" customFormat="1">
      <c r="B28" s="3" t="s">
        <v>345</v>
      </c>
    </row>
    <row r="29" spans="2:2" s="131" customFormat="1">
      <c r="B29" s="131" t="s">
        <v>346</v>
      </c>
    </row>
    <row r="30" spans="2:2" s="131" customFormat="1"/>
    <row r="31" spans="2:2" s="131" customFormat="1">
      <c r="B31" s="4" t="s">
        <v>635</v>
      </c>
    </row>
    <row r="32" spans="2:2" s="131" customFormat="1">
      <c r="B32" s="131" t="s">
        <v>347</v>
      </c>
    </row>
    <row r="33" spans="1:4" s="131" customFormat="1">
      <c r="B33" s="2">
        <v>2005</v>
      </c>
    </row>
    <row r="34" spans="1:4" s="131" customFormat="1">
      <c r="B34" s="131" t="s">
        <v>348</v>
      </c>
    </row>
    <row r="35" spans="1:4" s="131" customFormat="1">
      <c r="B35" s="3" t="s">
        <v>349</v>
      </c>
    </row>
    <row r="36" spans="1:4" s="131" customFormat="1">
      <c r="B36" s="131" t="s">
        <v>350</v>
      </c>
    </row>
    <row r="37" spans="1:4" s="131" customFormat="1"/>
    <row r="38" spans="1:4" s="131" customFormat="1"/>
    <row r="39" spans="1:4" s="62" customFormat="1">
      <c r="A39" s="4" t="s">
        <v>702</v>
      </c>
      <c r="B39" s="4"/>
      <c r="C39" s="41"/>
      <c r="D39"/>
    </row>
    <row r="40" spans="1:4" s="8" customFormat="1">
      <c r="A40" s="42"/>
    </row>
    <row r="41" spans="1:4">
      <c r="B41" s="129" t="s">
        <v>102</v>
      </c>
    </row>
    <row r="42" spans="1:4">
      <c r="B42" s="55" t="s">
        <v>103</v>
      </c>
    </row>
    <row r="43" spans="1:4">
      <c r="B43" s="55" t="s">
        <v>104</v>
      </c>
    </row>
    <row r="44" spans="1:4">
      <c r="B44" s="55" t="s">
        <v>105</v>
      </c>
    </row>
    <row r="45" spans="1:4">
      <c r="B45" s="55" t="s">
        <v>106</v>
      </c>
    </row>
    <row r="46" spans="1:4">
      <c r="B46" s="2" t="s">
        <v>107</v>
      </c>
    </row>
    <row r="47" spans="1:4" s="52" customFormat="1">
      <c r="B47" s="2"/>
    </row>
    <row r="48" spans="1:4">
      <c r="B48" s="42" t="s">
        <v>4</v>
      </c>
    </row>
    <row r="49" spans="2:11">
      <c r="B49" t="s">
        <v>5</v>
      </c>
    </row>
    <row r="50" spans="2:11">
      <c r="B50" s="2">
        <v>2014</v>
      </c>
    </row>
    <row r="51" spans="2:11">
      <c r="B51" t="s">
        <v>6</v>
      </c>
    </row>
    <row r="52" spans="2:11">
      <c r="B52" s="3" t="s">
        <v>7</v>
      </c>
    </row>
    <row r="54" spans="2:11" s="62" customFormat="1">
      <c r="B54" s="43" t="s">
        <v>297</v>
      </c>
    </row>
    <row r="55" spans="2:11" s="62" customFormat="1">
      <c r="B55" s="130">
        <v>2018</v>
      </c>
    </row>
    <row r="56" spans="2:11" s="62" customFormat="1">
      <c r="B56" s="43" t="s">
        <v>298</v>
      </c>
      <c r="K56"/>
    </row>
    <row r="57" spans="2:11" s="62" customFormat="1">
      <c r="B57" s="3" t="s">
        <v>299</v>
      </c>
    </row>
    <row r="58" spans="2:11" s="62" customFormat="1">
      <c r="B58" s="43"/>
    </row>
    <row r="59" spans="2:11" s="62" customFormat="1">
      <c r="B59" s="43" t="s">
        <v>300</v>
      </c>
    </row>
    <row r="60" spans="2:11" s="62" customFormat="1">
      <c r="B60" s="43" t="s">
        <v>301</v>
      </c>
    </row>
    <row r="61" spans="2:11" s="62" customFormat="1">
      <c r="B61" s="43" t="s">
        <v>302</v>
      </c>
    </row>
    <row r="62" spans="2:11" s="62" customFormat="1">
      <c r="B62" s="3" t="s">
        <v>303</v>
      </c>
    </row>
    <row r="63" spans="2:11" s="62" customFormat="1">
      <c r="B63" s="43"/>
    </row>
    <row r="64" spans="2:11" s="131" customFormat="1">
      <c r="B64" s="43"/>
    </row>
    <row r="65" spans="1:2">
      <c r="A65" s="1" t="s">
        <v>0</v>
      </c>
    </row>
    <row r="66" spans="1:2">
      <c r="A66" s="131" t="s">
        <v>636</v>
      </c>
    </row>
    <row r="67" spans="1:2">
      <c r="A67" s="131" t="s">
        <v>637</v>
      </c>
    </row>
    <row r="68" spans="1:2">
      <c r="A68" s="131"/>
    </row>
    <row r="69" spans="1:2" s="52" customFormat="1">
      <c r="A69" s="131" t="s">
        <v>638</v>
      </c>
    </row>
    <row r="70" spans="1:2" s="52" customFormat="1">
      <c r="A70" s="131" t="s">
        <v>639</v>
      </c>
    </row>
    <row r="71" spans="1:2" s="52" customFormat="1">
      <c r="A71" s="131"/>
    </row>
    <row r="72" spans="1:2" s="52" customFormat="1">
      <c r="A72" s="131" t="s">
        <v>640</v>
      </c>
    </row>
    <row r="73" spans="1:2" s="52" customFormat="1">
      <c r="A73" s="131" t="s">
        <v>641</v>
      </c>
    </row>
    <row r="74" spans="1:2" s="52" customFormat="1">
      <c r="A74" s="131"/>
    </row>
    <row r="75" spans="1:2" s="62" customFormat="1">
      <c r="A75" s="131" t="s">
        <v>642</v>
      </c>
    </row>
    <row r="76" spans="1:2" s="52" customFormat="1">
      <c r="A76" s="54"/>
    </row>
    <row r="77" spans="1:2" s="52" customFormat="1">
      <c r="A77" s="59" t="s">
        <v>296</v>
      </c>
      <c r="B77" s="59"/>
    </row>
    <row r="78" spans="1:2" s="8" customFormat="1">
      <c r="A78" s="42"/>
      <c r="B78" s="42"/>
    </row>
    <row r="79" spans="1:2" s="8" customFormat="1">
      <c r="A79" s="52" t="s">
        <v>113</v>
      </c>
      <c r="B79" s="42"/>
    </row>
    <row r="80" spans="1:2" s="8" customFormat="1">
      <c r="A80" s="52" t="s">
        <v>304</v>
      </c>
      <c r="B80" s="42"/>
    </row>
    <row r="81" spans="1:3" s="52" customFormat="1">
      <c r="A81" s="54" t="s">
        <v>295</v>
      </c>
    </row>
    <row r="82" spans="1:3" s="52" customFormat="1">
      <c r="A82" s="53"/>
    </row>
    <row r="83" spans="1:3" s="52" customFormat="1"/>
    <row r="84" spans="1:3">
      <c r="A84" s="53" t="s">
        <v>99</v>
      </c>
    </row>
    <row r="85" spans="1:3">
      <c r="A85" s="52" t="s">
        <v>100</v>
      </c>
    </row>
    <row r="86" spans="1:3">
      <c r="A86" s="52">
        <v>1.0680000000000001</v>
      </c>
    </row>
    <row r="87" spans="1:3">
      <c r="A87" s="52" t="s">
        <v>101</v>
      </c>
    </row>
    <row r="89" spans="1:3">
      <c r="A89" s="53" t="s">
        <v>108</v>
      </c>
    </row>
    <row r="90" spans="1:3">
      <c r="A90" s="6">
        <v>947817</v>
      </c>
      <c r="B90" t="s">
        <v>3</v>
      </c>
      <c r="C90" t="s">
        <v>109</v>
      </c>
    </row>
    <row r="91" spans="1:3">
      <c r="C91" s="3" t="s">
        <v>110</v>
      </c>
    </row>
  </sheetData>
  <hyperlinks>
    <hyperlink ref="B52" r:id="rId1"/>
    <hyperlink ref="C91" r:id="rId2" display="https://www.iea.org/statistics/resources/unitconverter/"/>
    <hyperlink ref="B57" r:id="rId3"/>
    <hyperlink ref="B62" r:id="rId4"/>
    <hyperlink ref="B7" r:id="rId5"/>
    <hyperlink ref="B14" r:id="rId6"/>
    <hyperlink ref="B35" r:id="rId7"/>
    <hyperlink ref="B21" r:id="rId8"/>
    <hyperlink ref="B28" r:id="rId9"/>
  </hyperlinks>
  <pageMargins left="0.7" right="0.7" top="0.75" bottom="0.75" header="0.3" footer="0.3"/>
  <pageSetup orientation="portrait" horizontalDpi="1200"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C17" sqref="C17"/>
    </sheetView>
  </sheetViews>
  <sheetFormatPr defaultRowHeight="14.25"/>
  <cols>
    <col min="1" max="1" width="35.86328125" customWidth="1"/>
    <col min="2" max="2" width="22.73046875" bestFit="1" customWidth="1"/>
  </cols>
  <sheetData>
    <row r="1" spans="1:4">
      <c r="A1" t="str">
        <f>'Production and earnings'!A4</f>
        <v>sum of earnings</v>
      </c>
      <c r="B1" s="68">
        <f>'Production and earnings'!B4</f>
        <v>3970450704.3036699</v>
      </c>
    </row>
    <row r="2" spans="1:4">
      <c r="B2" s="68"/>
    </row>
    <row r="3" spans="1:4">
      <c r="A3" t="str">
        <f>Equity!A15</f>
        <v>Equity costs</v>
      </c>
      <c r="B3" s="68">
        <f>Equity!B15</f>
        <v>4424000000</v>
      </c>
    </row>
    <row r="4" spans="1:4">
      <c r="A4" t="s">
        <v>293</v>
      </c>
      <c r="B4" s="147">
        <f>Taxes!$B$1</f>
        <v>-5379849.8233511243</v>
      </c>
    </row>
    <row r="5" spans="1:4">
      <c r="A5" s="69" t="s">
        <v>182</v>
      </c>
      <c r="B5" s="148">
        <f>Debt!$B$24</f>
        <v>5917496864.843586</v>
      </c>
    </row>
    <row r="6" spans="1:4">
      <c r="B6" s="68"/>
    </row>
    <row r="7" spans="1:4">
      <c r="A7" t="s">
        <v>184</v>
      </c>
      <c r="B7" s="68">
        <f>B3+B4+B5</f>
        <v>10336117015.020235</v>
      </c>
    </row>
    <row r="8" spans="1:4">
      <c r="B8" s="68"/>
    </row>
    <row r="9" spans="1:4">
      <c r="A9" t="s">
        <v>185</v>
      </c>
      <c r="B9" s="68">
        <f>B7-B1</f>
        <v>6365666310.7165651</v>
      </c>
    </row>
    <row r="10" spans="1:4">
      <c r="B10" s="68"/>
    </row>
    <row r="11" spans="1:4">
      <c r="A11" t="s">
        <v>186</v>
      </c>
      <c r="B11" s="57">
        <f>SUM('Production and earnings'!F25:Q25)</f>
        <v>719706242350061.25</v>
      </c>
      <c r="D11" t="s">
        <v>387</v>
      </c>
    </row>
    <row r="12" spans="1:4">
      <c r="B12" s="68"/>
    </row>
    <row r="13" spans="1:4">
      <c r="A13" t="s">
        <v>188</v>
      </c>
      <c r="B13" s="132">
        <f>B9/B11</f>
        <v>8.8448118636997169E-6</v>
      </c>
    </row>
    <row r="14" spans="1:4">
      <c r="B14" s="132"/>
    </row>
    <row r="15" spans="1:4">
      <c r="A15" t="str">
        <f>'Cost to adminster policy'!A19</f>
        <v>Estimated program implementation cost ($/Btu)</v>
      </c>
      <c r="B15" s="132"/>
      <c r="C15" s="132">
        <f>'Cost to adminster policy'!$B$1</f>
        <v>6.4534415621837322E-7</v>
      </c>
    </row>
    <row r="16" spans="1:4">
      <c r="B16" s="132"/>
    </row>
    <row r="17" spans="1:7">
      <c r="A17" t="s">
        <v>401</v>
      </c>
      <c r="B17" s="132"/>
      <c r="C17" s="132">
        <f>B13+C15</f>
        <v>9.4901560199180906E-6</v>
      </c>
    </row>
    <row r="18" spans="1:7">
      <c r="D18" s="53"/>
      <c r="E18" s="53"/>
      <c r="F18" s="53"/>
      <c r="G18" s="5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U35" sqref="U35"/>
    </sheetView>
  </sheetViews>
  <sheetFormatPr defaultRowHeight="14.25"/>
  <sheetData>
    <row r="1" spans="1:1">
      <c r="A1" t="s">
        <v>321</v>
      </c>
    </row>
    <row r="3" spans="1:1">
      <c r="A3" s="3" t="s">
        <v>142</v>
      </c>
    </row>
    <row r="5" spans="1:1">
      <c r="A5" t="s">
        <v>355</v>
      </c>
    </row>
    <row r="30" spans="19:21">
      <c r="S30" t="s">
        <v>372</v>
      </c>
      <c r="U30">
        <v>0.4</v>
      </c>
    </row>
  </sheetData>
  <hyperlinks>
    <hyperlink ref="A3" r:id="rId1"/>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8"/>
  <sheetViews>
    <sheetView topLeftCell="A22" workbookViewId="0">
      <selection activeCell="D38" sqref="D38"/>
    </sheetView>
  </sheetViews>
  <sheetFormatPr defaultRowHeight="14.25"/>
  <cols>
    <col min="1" max="1" width="56.3984375" customWidth="1"/>
    <col min="2" max="2" width="20" bestFit="1" customWidth="1"/>
    <col min="3" max="3" width="18" bestFit="1" customWidth="1"/>
    <col min="6" max="6" width="22.86328125" customWidth="1"/>
    <col min="7" max="7" width="54.86328125" customWidth="1"/>
    <col min="8" max="8" width="17.59765625" customWidth="1"/>
    <col min="12" max="12" width="14.59765625" customWidth="1"/>
    <col min="21" max="21" width="18.59765625" customWidth="1"/>
  </cols>
  <sheetData>
    <row r="1" spans="1:28">
      <c r="B1">
        <f>F23</f>
        <v>1</v>
      </c>
      <c r="C1" s="62">
        <f t="shared" ref="C1:U1" si="0">G23</f>
        <v>2</v>
      </c>
      <c r="D1" s="62">
        <f t="shared" si="0"/>
        <v>3</v>
      </c>
      <c r="E1" s="62">
        <f t="shared" si="0"/>
        <v>4</v>
      </c>
      <c r="F1" s="62">
        <f t="shared" si="0"/>
        <v>5</v>
      </c>
      <c r="G1" s="62">
        <f t="shared" si="0"/>
        <v>6</v>
      </c>
      <c r="H1" s="62">
        <f t="shared" si="0"/>
        <v>7</v>
      </c>
      <c r="I1" s="62">
        <f t="shared" si="0"/>
        <v>8</v>
      </c>
      <c r="J1" s="62">
        <f t="shared" si="0"/>
        <v>9</v>
      </c>
      <c r="K1" s="62">
        <f t="shared" si="0"/>
        <v>10</v>
      </c>
      <c r="L1" s="62">
        <f t="shared" si="0"/>
        <v>11</v>
      </c>
      <c r="M1" s="62">
        <f t="shared" si="0"/>
        <v>12</v>
      </c>
      <c r="N1" s="62">
        <f t="shared" si="0"/>
        <v>13</v>
      </c>
      <c r="O1" s="62">
        <f t="shared" si="0"/>
        <v>14</v>
      </c>
      <c r="P1" s="62">
        <f t="shared" si="0"/>
        <v>15</v>
      </c>
      <c r="Q1" s="62">
        <f t="shared" si="0"/>
        <v>16</v>
      </c>
      <c r="R1" s="62">
        <f t="shared" si="0"/>
        <v>17</v>
      </c>
      <c r="S1" s="62">
        <f t="shared" si="0"/>
        <v>18</v>
      </c>
      <c r="T1" s="62">
        <f t="shared" si="0"/>
        <v>19</v>
      </c>
      <c r="U1" s="62">
        <f t="shared" si="0"/>
        <v>20</v>
      </c>
      <c r="V1" s="62"/>
      <c r="W1" s="62"/>
      <c r="X1" s="62"/>
      <c r="Y1" s="62"/>
      <c r="Z1" s="62"/>
      <c r="AA1" s="62"/>
      <c r="AB1" s="62"/>
    </row>
    <row r="2" spans="1:28" s="62" customFormat="1">
      <c r="A2" s="62" t="s">
        <v>162</v>
      </c>
      <c r="B2" s="56">
        <f t="shared" ref="B2:U2" si="1">B15</f>
        <v>292942385.41746545</v>
      </c>
      <c r="C2" s="56">
        <f t="shared" si="1"/>
        <v>303059384.74767286</v>
      </c>
      <c r="D2" s="56">
        <f t="shared" si="1"/>
        <v>306682196.66159612</v>
      </c>
      <c r="E2" s="56">
        <f t="shared" si="1"/>
        <v>310633242.84930015</v>
      </c>
      <c r="F2" s="56">
        <f t="shared" si="1"/>
        <v>315728095.73585606</v>
      </c>
      <c r="G2" s="56">
        <f t="shared" si="1"/>
        <v>319132952.55241203</v>
      </c>
      <c r="H2" s="56">
        <f t="shared" si="1"/>
        <v>330134127.84877938</v>
      </c>
      <c r="I2" s="56">
        <f t="shared" si="1"/>
        <v>339731139.30414313</v>
      </c>
      <c r="J2" s="56">
        <f t="shared" si="1"/>
        <v>349317637.54337323</v>
      </c>
      <c r="K2" s="56">
        <f t="shared" si="1"/>
        <v>358689231.38052201</v>
      </c>
      <c r="L2" s="56">
        <f t="shared" si="1"/>
        <v>367577209.57916594</v>
      </c>
      <c r="M2" s="56">
        <f t="shared" si="1"/>
        <v>376823100.68338454</v>
      </c>
      <c r="N2" s="56">
        <f t="shared" si="1"/>
        <v>383893955.05216873</v>
      </c>
      <c r="O2" s="56">
        <f t="shared" si="1"/>
        <v>393985984.4167431</v>
      </c>
      <c r="P2" s="56">
        <f t="shared" si="1"/>
        <v>409835237.58140886</v>
      </c>
      <c r="Q2" s="56">
        <f t="shared" si="1"/>
        <v>429414821.80764896</v>
      </c>
      <c r="R2" s="56">
        <f t="shared" si="1"/>
        <v>442089237.1922214</v>
      </c>
      <c r="S2" s="56">
        <f t="shared" si="1"/>
        <v>455112078.39018416</v>
      </c>
      <c r="T2" s="56">
        <f t="shared" si="1"/>
        <v>468493352.6047734</v>
      </c>
      <c r="U2" s="56">
        <f t="shared" si="1"/>
        <v>482243364.46624458</v>
      </c>
    </row>
    <row r="3" spans="1:28" s="62" customFormat="1"/>
    <row r="4" spans="1:28" s="62" customFormat="1">
      <c r="A4" s="62" t="s">
        <v>183</v>
      </c>
      <c r="B4" s="56">
        <f>SUM(B2:M2)</f>
        <v>3970450704.3036699</v>
      </c>
    </row>
    <row r="5" spans="1:28" s="62" customFormat="1"/>
    <row r="6" spans="1:28" s="62" customFormat="1">
      <c r="A6" s="62" t="s">
        <v>388</v>
      </c>
    </row>
    <row r="7" spans="1:28" s="62" customFormat="1"/>
    <row r="8" spans="1:28" s="62" customFormat="1"/>
    <row r="9" spans="1:28">
      <c r="A9" t="s">
        <v>149</v>
      </c>
    </row>
    <row r="11" spans="1:28" s="131" customFormat="1">
      <c r="B11" s="56"/>
    </row>
    <row r="12" spans="1:28" s="45" customFormat="1">
      <c r="A12" s="59" t="s">
        <v>149</v>
      </c>
      <c r="B12" s="67"/>
    </row>
    <row r="13" spans="1:28" s="62" customFormat="1"/>
    <row r="14" spans="1:28" s="131" customFormat="1">
      <c r="A14" t="s">
        <v>318</v>
      </c>
      <c r="B14" s="46">
        <f>F25*J40</f>
        <v>348942385.41746545</v>
      </c>
      <c r="C14" s="46">
        <f t="shared" ref="C14:U14" si="2">G25*K40</f>
        <v>359059384.74767286</v>
      </c>
      <c r="D14" s="46">
        <f t="shared" si="2"/>
        <v>362682196.66159612</v>
      </c>
      <c r="E14" s="46">
        <f t="shared" si="2"/>
        <v>366633242.84930015</v>
      </c>
      <c r="F14" s="46">
        <f t="shared" si="2"/>
        <v>371728095.73585606</v>
      </c>
      <c r="G14" s="46">
        <f t="shared" si="2"/>
        <v>375132952.55241203</v>
      </c>
      <c r="H14" s="46">
        <f t="shared" si="2"/>
        <v>386134127.84877938</v>
      </c>
      <c r="I14" s="46">
        <f t="shared" si="2"/>
        <v>395731139.30414313</v>
      </c>
      <c r="J14" s="46">
        <f t="shared" si="2"/>
        <v>405317637.54337323</v>
      </c>
      <c r="K14" s="46">
        <f t="shared" si="2"/>
        <v>414689231.38052201</v>
      </c>
      <c r="L14" s="46">
        <f t="shared" si="2"/>
        <v>423577209.57916594</v>
      </c>
      <c r="M14" s="46">
        <f t="shared" si="2"/>
        <v>432823100.68338454</v>
      </c>
      <c r="N14" s="46">
        <f t="shared" si="2"/>
        <v>439893955.05216873</v>
      </c>
      <c r="O14" s="46">
        <f t="shared" si="2"/>
        <v>449985984.4167431</v>
      </c>
      <c r="P14" s="46">
        <f t="shared" si="2"/>
        <v>465835237.58140886</v>
      </c>
      <c r="Q14" s="46">
        <f t="shared" si="2"/>
        <v>485414821.80764896</v>
      </c>
      <c r="R14" s="46">
        <f t="shared" si="2"/>
        <v>498089237.1922214</v>
      </c>
      <c r="S14" s="46">
        <f t="shared" si="2"/>
        <v>511112078.39018416</v>
      </c>
      <c r="T14" s="46">
        <f t="shared" si="2"/>
        <v>524493352.6047734</v>
      </c>
      <c r="U14" s="46">
        <f t="shared" si="2"/>
        <v>538243364.46624458</v>
      </c>
    </row>
    <row r="15" spans="1:28" s="131" customFormat="1">
      <c r="A15" t="s">
        <v>384</v>
      </c>
      <c r="B15" s="46">
        <f t="shared" ref="B15:U15" si="3">B14-$B$20</f>
        <v>292942385.41746545</v>
      </c>
      <c r="C15" s="46">
        <f t="shared" si="3"/>
        <v>303059384.74767286</v>
      </c>
      <c r="D15" s="46">
        <f t="shared" si="3"/>
        <v>306682196.66159612</v>
      </c>
      <c r="E15" s="46">
        <f t="shared" si="3"/>
        <v>310633242.84930015</v>
      </c>
      <c r="F15" s="46">
        <f t="shared" si="3"/>
        <v>315728095.73585606</v>
      </c>
      <c r="G15" s="46">
        <f t="shared" si="3"/>
        <v>319132952.55241203</v>
      </c>
      <c r="H15" s="46">
        <f t="shared" si="3"/>
        <v>330134127.84877938</v>
      </c>
      <c r="I15" s="46">
        <f t="shared" si="3"/>
        <v>339731139.30414313</v>
      </c>
      <c r="J15" s="46">
        <f t="shared" si="3"/>
        <v>349317637.54337323</v>
      </c>
      <c r="K15" s="46">
        <f t="shared" si="3"/>
        <v>358689231.38052201</v>
      </c>
      <c r="L15" s="46">
        <f t="shared" si="3"/>
        <v>367577209.57916594</v>
      </c>
      <c r="M15" s="46">
        <f t="shared" si="3"/>
        <v>376823100.68338454</v>
      </c>
      <c r="N15" s="46">
        <f t="shared" si="3"/>
        <v>383893955.05216873</v>
      </c>
      <c r="O15" s="46">
        <f t="shared" si="3"/>
        <v>393985984.4167431</v>
      </c>
      <c r="P15" s="46">
        <f t="shared" si="3"/>
        <v>409835237.58140886</v>
      </c>
      <c r="Q15" s="46">
        <f t="shared" si="3"/>
        <v>429414821.80764896</v>
      </c>
      <c r="R15" s="46">
        <f t="shared" si="3"/>
        <v>442089237.1922214</v>
      </c>
      <c r="S15" s="46">
        <f t="shared" si="3"/>
        <v>455112078.39018416</v>
      </c>
      <c r="T15" s="46">
        <f t="shared" si="3"/>
        <v>468493352.6047734</v>
      </c>
      <c r="U15" s="46">
        <f t="shared" si="3"/>
        <v>482243364.46624458</v>
      </c>
    </row>
    <row r="16" spans="1:28" s="131" customFormat="1">
      <c r="F16" s="46"/>
      <c r="G16" s="46"/>
      <c r="H16" s="46"/>
      <c r="I16" s="46"/>
      <c r="J16" s="46"/>
      <c r="K16" s="46"/>
      <c r="L16" s="46"/>
      <c r="M16" s="46"/>
      <c r="N16" s="46"/>
      <c r="O16" s="46"/>
      <c r="P16" s="46"/>
      <c r="Q16" s="46"/>
      <c r="R16" s="46"/>
      <c r="S16" s="46"/>
      <c r="T16" s="46"/>
      <c r="U16" s="46"/>
      <c r="V16" s="46"/>
      <c r="W16" s="46"/>
      <c r="X16" s="46"/>
      <c r="Y16" s="46"/>
    </row>
    <row r="17" spans="1:42" s="131" customFormat="1">
      <c r="A17" s="59" t="s">
        <v>163</v>
      </c>
      <c r="B17" s="45"/>
    </row>
    <row r="18" spans="1:42" s="131" customFormat="1">
      <c r="A18" s="54" t="s">
        <v>317</v>
      </c>
      <c r="B18"/>
    </row>
    <row r="19" spans="1:42" s="131" customFormat="1">
      <c r="A19" t="str">
        <f>Debt!A2</f>
        <v>Total capital cost (installed)</v>
      </c>
      <c r="B19">
        <f>Debt!B2</f>
        <v>5600000000</v>
      </c>
    </row>
    <row r="20" spans="1:42" s="131" customFormat="1">
      <c r="A20" s="54" t="s">
        <v>316</v>
      </c>
      <c r="B20" s="57">
        <f>0.01*B19</f>
        <v>56000000</v>
      </c>
    </row>
    <row r="21" spans="1:42" s="131" customFormat="1">
      <c r="A21" s="59" t="s">
        <v>385</v>
      </c>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row>
    <row r="22" spans="1:42" s="131" customFormat="1">
      <c r="F22" s="131">
        <v>2023</v>
      </c>
    </row>
    <row r="23" spans="1:42">
      <c r="A23" t="s">
        <v>152</v>
      </c>
      <c r="F23">
        <v>1</v>
      </c>
      <c r="G23">
        <f>F23+1</f>
        <v>2</v>
      </c>
      <c r="H23" s="62">
        <f t="shared" ref="H23:X23" si="4">G23+1</f>
        <v>3</v>
      </c>
      <c r="I23" s="62">
        <f t="shared" si="4"/>
        <v>4</v>
      </c>
      <c r="J23" s="62">
        <f t="shared" si="4"/>
        <v>5</v>
      </c>
      <c r="K23" s="62">
        <f t="shared" si="4"/>
        <v>6</v>
      </c>
      <c r="L23" s="62">
        <f t="shared" si="4"/>
        <v>7</v>
      </c>
      <c r="M23" s="62">
        <f t="shared" si="4"/>
        <v>8</v>
      </c>
      <c r="N23" s="62">
        <f t="shared" si="4"/>
        <v>9</v>
      </c>
      <c r="O23" s="62">
        <f t="shared" si="4"/>
        <v>10</v>
      </c>
      <c r="P23" s="62">
        <f t="shared" si="4"/>
        <v>11</v>
      </c>
      <c r="Q23" s="62">
        <f t="shared" si="4"/>
        <v>12</v>
      </c>
      <c r="R23" s="62">
        <f t="shared" si="4"/>
        <v>13</v>
      </c>
      <c r="S23" s="62">
        <f t="shared" si="4"/>
        <v>14</v>
      </c>
      <c r="T23" s="62">
        <f t="shared" si="4"/>
        <v>15</v>
      </c>
      <c r="U23" s="62">
        <f t="shared" si="4"/>
        <v>16</v>
      </c>
      <c r="V23" s="62">
        <f>U23+1</f>
        <v>17</v>
      </c>
      <c r="W23" s="62">
        <f t="shared" si="4"/>
        <v>18</v>
      </c>
      <c r="X23" s="62">
        <f t="shared" si="4"/>
        <v>19</v>
      </c>
      <c r="Y23" s="62">
        <f>X23+1</f>
        <v>20</v>
      </c>
    </row>
    <row r="24" spans="1:42">
      <c r="A24" t="s">
        <v>146</v>
      </c>
      <c r="F24" s="56">
        <f t="shared" ref="F24:Y24" si="5">$B$49</f>
        <v>49000000000000</v>
      </c>
      <c r="G24" s="56">
        <f t="shared" si="5"/>
        <v>49000000000000</v>
      </c>
      <c r="H24" s="56">
        <f t="shared" si="5"/>
        <v>49000000000000</v>
      </c>
      <c r="I24" s="56">
        <f t="shared" si="5"/>
        <v>49000000000000</v>
      </c>
      <c r="J24" s="56">
        <f t="shared" si="5"/>
        <v>49000000000000</v>
      </c>
      <c r="K24" s="56">
        <f t="shared" si="5"/>
        <v>49000000000000</v>
      </c>
      <c r="L24" s="56">
        <f t="shared" si="5"/>
        <v>49000000000000</v>
      </c>
      <c r="M24" s="56">
        <f t="shared" si="5"/>
        <v>49000000000000</v>
      </c>
      <c r="N24" s="56">
        <f t="shared" si="5"/>
        <v>49000000000000</v>
      </c>
      <c r="O24" s="56">
        <f t="shared" si="5"/>
        <v>49000000000000</v>
      </c>
      <c r="P24" s="56">
        <f t="shared" si="5"/>
        <v>49000000000000</v>
      </c>
      <c r="Q24" s="56">
        <f t="shared" si="5"/>
        <v>49000000000000</v>
      </c>
      <c r="R24" s="56">
        <f t="shared" si="5"/>
        <v>49000000000000</v>
      </c>
      <c r="S24" s="56">
        <f t="shared" si="5"/>
        <v>49000000000000</v>
      </c>
      <c r="T24" s="56">
        <f t="shared" si="5"/>
        <v>49000000000000</v>
      </c>
      <c r="U24" s="56">
        <f t="shared" si="5"/>
        <v>49000000000000</v>
      </c>
      <c r="V24" s="56">
        <f t="shared" si="5"/>
        <v>49000000000000</v>
      </c>
      <c r="W24" s="56">
        <f t="shared" si="5"/>
        <v>49000000000000</v>
      </c>
      <c r="X24" s="56">
        <f t="shared" si="5"/>
        <v>49000000000000</v>
      </c>
      <c r="Y24" s="56">
        <f t="shared" si="5"/>
        <v>49000000000000</v>
      </c>
      <c r="Z24" s="56"/>
    </row>
    <row r="25" spans="1:42" s="62" customFormat="1" ht="42.75">
      <c r="A25" s="6" t="s">
        <v>187</v>
      </c>
      <c r="F25" s="56">
        <f t="shared" ref="F25:Y25" si="6">F24/$B$28</f>
        <v>59975520195838.437</v>
      </c>
      <c r="G25" s="56">
        <f t="shared" si="6"/>
        <v>59975520195838.437</v>
      </c>
      <c r="H25" s="56">
        <f t="shared" si="6"/>
        <v>59975520195838.437</v>
      </c>
      <c r="I25" s="56">
        <f t="shared" si="6"/>
        <v>59975520195838.437</v>
      </c>
      <c r="J25" s="56">
        <f t="shared" si="6"/>
        <v>59975520195838.437</v>
      </c>
      <c r="K25" s="56">
        <f t="shared" si="6"/>
        <v>59975520195838.437</v>
      </c>
      <c r="L25" s="56">
        <f t="shared" si="6"/>
        <v>59975520195838.437</v>
      </c>
      <c r="M25" s="56">
        <f t="shared" si="6"/>
        <v>59975520195838.437</v>
      </c>
      <c r="N25" s="56">
        <f t="shared" si="6"/>
        <v>59975520195838.437</v>
      </c>
      <c r="O25" s="56">
        <f t="shared" si="6"/>
        <v>59975520195838.437</v>
      </c>
      <c r="P25" s="56">
        <f t="shared" si="6"/>
        <v>59975520195838.437</v>
      </c>
      <c r="Q25" s="56">
        <f t="shared" si="6"/>
        <v>59975520195838.437</v>
      </c>
      <c r="R25" s="56">
        <f t="shared" si="6"/>
        <v>59975520195838.437</v>
      </c>
      <c r="S25" s="56">
        <f t="shared" si="6"/>
        <v>59975520195838.437</v>
      </c>
      <c r="T25" s="56">
        <f t="shared" si="6"/>
        <v>59975520195838.437</v>
      </c>
      <c r="U25" s="56">
        <f t="shared" si="6"/>
        <v>59975520195838.437</v>
      </c>
      <c r="V25" s="56">
        <f t="shared" si="6"/>
        <v>59975520195838.437</v>
      </c>
      <c r="W25" s="56">
        <f t="shared" si="6"/>
        <v>59975520195838.437</v>
      </c>
      <c r="X25" s="56">
        <f t="shared" si="6"/>
        <v>59975520195838.437</v>
      </c>
      <c r="Y25" s="56">
        <f t="shared" si="6"/>
        <v>59975520195838.437</v>
      </c>
    </row>
    <row r="26" spans="1:42" s="62" customFormat="1">
      <c r="F26" s="56"/>
      <c r="G26" s="56"/>
      <c r="H26" s="56"/>
      <c r="I26" s="56"/>
      <c r="J26" s="56"/>
      <c r="K26" s="56"/>
      <c r="L26" s="56"/>
      <c r="M26" s="56"/>
      <c r="N26" s="56"/>
      <c r="O26" s="56"/>
      <c r="P26" s="56"/>
      <c r="Q26" s="56"/>
      <c r="R26" s="56"/>
      <c r="S26" s="56"/>
      <c r="T26" s="56"/>
      <c r="U26" s="56"/>
      <c r="V26" s="56"/>
      <c r="W26" s="56"/>
      <c r="X26" s="56"/>
      <c r="Y26" s="56"/>
    </row>
    <row r="27" spans="1:42" s="62" customFormat="1">
      <c r="A27" s="59" t="s">
        <v>381</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131"/>
      <c r="AK27" s="131"/>
      <c r="AL27" s="131"/>
      <c r="AM27" s="131"/>
      <c r="AN27" s="131"/>
      <c r="AO27" s="131"/>
      <c r="AP27" s="131"/>
    </row>
    <row r="28" spans="1:42">
      <c r="A28" s="62" t="s">
        <v>319</v>
      </c>
      <c r="B28">
        <f>Method!D46</f>
        <v>0.81699999999999995</v>
      </c>
    </row>
    <row r="29" spans="1:42" s="62" customFormat="1">
      <c r="A29" s="62" t="str">
        <f>'Thermal EOR natural gas price'!A3</f>
        <v xml:space="preserve">Calculated ratio of thermal EOR rate paid for natural gas over the natural gas price paid for electricity generators. </v>
      </c>
      <c r="B29" s="62">
        <f>'Average price calculation'!$B$1</f>
        <v>1.0378925476922605</v>
      </c>
    </row>
    <row r="30" spans="1:42" s="131" customFormat="1">
      <c r="A30" s="131" t="s">
        <v>366</v>
      </c>
      <c r="B30" s="56">
        <f>Method!$C$14</f>
        <v>12</v>
      </c>
    </row>
    <row r="31" spans="1:42" s="131" customFormat="1"/>
    <row r="32" spans="1:42">
      <c r="A32" t="s">
        <v>378</v>
      </c>
    </row>
    <row r="33" spans="1:35" s="131" customFormat="1"/>
    <row r="34" spans="1:35">
      <c r="A34" t="s">
        <v>351</v>
      </c>
      <c r="B34">
        <v>2017</v>
      </c>
      <c r="C34">
        <v>2018</v>
      </c>
      <c r="D34">
        <v>2019</v>
      </c>
      <c r="E34">
        <v>2020</v>
      </c>
      <c r="F34">
        <v>2021</v>
      </c>
      <c r="G34">
        <v>2022</v>
      </c>
      <c r="H34">
        <v>2023</v>
      </c>
      <c r="I34">
        <v>2024</v>
      </c>
      <c r="J34">
        <v>2025</v>
      </c>
      <c r="K34">
        <v>2026</v>
      </c>
      <c r="L34">
        <v>2027</v>
      </c>
      <c r="M34">
        <v>2028</v>
      </c>
      <c r="N34">
        <v>2029</v>
      </c>
      <c r="O34">
        <v>2030</v>
      </c>
      <c r="P34">
        <v>2031</v>
      </c>
      <c r="Q34">
        <v>2032</v>
      </c>
      <c r="R34">
        <v>2033</v>
      </c>
      <c r="S34">
        <v>2034</v>
      </c>
      <c r="T34">
        <v>2035</v>
      </c>
      <c r="U34">
        <v>2036</v>
      </c>
      <c r="V34">
        <v>2037</v>
      </c>
      <c r="W34">
        <v>2038</v>
      </c>
      <c r="X34">
        <v>2039</v>
      </c>
      <c r="Y34">
        <v>2040</v>
      </c>
      <c r="Z34">
        <v>2041</v>
      </c>
      <c r="AA34">
        <v>2042</v>
      </c>
      <c r="AB34">
        <v>2043</v>
      </c>
      <c r="AC34">
        <v>2044</v>
      </c>
      <c r="AD34">
        <v>2045</v>
      </c>
      <c r="AE34">
        <v>2046</v>
      </c>
      <c r="AF34">
        <v>2047</v>
      </c>
      <c r="AG34">
        <v>2048</v>
      </c>
      <c r="AH34">
        <v>2049</v>
      </c>
      <c r="AI34">
        <v>2050</v>
      </c>
    </row>
    <row r="35" spans="1:35">
      <c r="A35" s="131" t="s">
        <v>377</v>
      </c>
      <c r="B35">
        <v>3.8090646094503381E-6</v>
      </c>
      <c r="C35">
        <v>4.5708775313404061E-6</v>
      </c>
      <c r="D35">
        <v>4.788847457686551E-6</v>
      </c>
      <c r="E35">
        <v>5.002904279663796E-6</v>
      </c>
      <c r="F35">
        <v>5.1224955327660125E-6</v>
      </c>
      <c r="G35">
        <v>5.2098627682859349E-6</v>
      </c>
      <c r="H35">
        <v>5.3429126885558361E-6</v>
      </c>
      <c r="I35">
        <v>5.4488250848852131E-6</v>
      </c>
      <c r="J35">
        <v>5.5501655155785762E-6</v>
      </c>
      <c r="K35">
        <v>5.7110832577338338E-6</v>
      </c>
      <c r="L35">
        <v>5.768706540528867E-6</v>
      </c>
      <c r="M35">
        <v>5.8315506122664353E-6</v>
      </c>
      <c r="N35">
        <v>5.9125877060092276E-6</v>
      </c>
      <c r="O35">
        <v>5.9667442650243301E-6</v>
      </c>
      <c r="P35">
        <v>6.1417254261340198E-6</v>
      </c>
      <c r="Q35">
        <v>6.2943724081521188E-6</v>
      </c>
      <c r="R35">
        <v>6.4468521703308367E-6</v>
      </c>
      <c r="S35">
        <v>6.5959137321090759E-6</v>
      </c>
      <c r="T35">
        <v>6.7372830588599985E-6</v>
      </c>
      <c r="U35">
        <v>6.8843452333391329E-6</v>
      </c>
      <c r="V35">
        <v>6.9968119720425815E-6</v>
      </c>
      <c r="W35">
        <v>7.1573325499438737E-6</v>
      </c>
      <c r="X35">
        <v>7.4094256806105953E-6</v>
      </c>
      <c r="Y35">
        <v>7.7208522591038731E-6</v>
      </c>
      <c r="Z35">
        <v>7.9224474396761995E-6</v>
      </c>
      <c r="AA35">
        <v>8.1295845693353457E-6</v>
      </c>
      <c r="AB35">
        <v>8.3424228194420536E-6</v>
      </c>
      <c r="AC35">
        <v>8.561126092135717E-6</v>
      </c>
      <c r="AD35">
        <v>8.7858631635810463E-6</v>
      </c>
      <c r="AE35">
        <v>9.0168078336759125E-6</v>
      </c>
      <c r="AF35">
        <v>9.2541390780802442E-6</v>
      </c>
      <c r="AG35">
        <v>9.4980412072336104E-6</v>
      </c>
      <c r="AH35">
        <v>9.7487040292588622E-6</v>
      </c>
      <c r="AI35">
        <v>1.0006323011572849E-5</v>
      </c>
    </row>
    <row r="36" spans="1:35">
      <c r="A36" t="s">
        <v>380</v>
      </c>
      <c r="B36">
        <v>6.7984570877531343E-6</v>
      </c>
      <c r="C36">
        <v>7.0587809232193803E-6</v>
      </c>
      <c r="D36">
        <v>7.4606153426940573E-6</v>
      </c>
      <c r="E36">
        <v>7.8553578350389439E-6</v>
      </c>
      <c r="F36">
        <v>8.0519669420535188E-6</v>
      </c>
      <c r="G36">
        <v>8.1803068216322706E-6</v>
      </c>
      <c r="H36">
        <v>8.4070302514031444E-6</v>
      </c>
      <c r="I36">
        <v>8.5756762421719789E-6</v>
      </c>
      <c r="J36">
        <v>8.7085209868374609E-6</v>
      </c>
      <c r="K36">
        <v>8.9867137845200866E-6</v>
      </c>
      <c r="L36">
        <v>9.0499963879118796E-6</v>
      </c>
      <c r="M36">
        <v>9.1287336103281364E-6</v>
      </c>
      <c r="N36">
        <v>9.2359536826140596E-6</v>
      </c>
      <c r="O36">
        <v>9.2956128078183126E-6</v>
      </c>
      <c r="P36">
        <v>9.6010481226273633E-6</v>
      </c>
      <c r="Q36">
        <v>9.8509870916448776E-6</v>
      </c>
      <c r="R36">
        <v>1.0098958230299464E-5</v>
      </c>
      <c r="S36">
        <v>1.0323423007748079E-5</v>
      </c>
      <c r="T36">
        <v>1.0549686037990351E-5</v>
      </c>
      <c r="U36">
        <v>1.0786475837639639E-5</v>
      </c>
      <c r="V36">
        <v>1.0949383474137261E-5</v>
      </c>
      <c r="W36">
        <v>1.1211483606197356E-5</v>
      </c>
      <c r="X36">
        <v>1.1663894088535045E-5</v>
      </c>
      <c r="Y36">
        <v>1.223906272268135E-5</v>
      </c>
      <c r="Z36">
        <v>1.258265529431149E-5</v>
      </c>
      <c r="AA36">
        <v>1.2936282402401637E-5</v>
      </c>
      <c r="AB36">
        <v>1.3300245966481013E-5</v>
      </c>
      <c r="AC36">
        <v>1.3674857185289036E-5</v>
      </c>
      <c r="AD36">
        <v>1.4060436824214281E-5</v>
      </c>
      <c r="AE36">
        <v>1.4457315516013956E-5</v>
      </c>
      <c r="AF36">
        <v>1.4865834066137309E-5</v>
      </c>
      <c r="AG36">
        <v>1.5286343772426733E-5</v>
      </c>
      <c r="AH36">
        <v>1.5719206752687622E-5</v>
      </c>
      <c r="AI36">
        <v>1.6164796269281299E-5</v>
      </c>
    </row>
    <row r="38" spans="1:35">
      <c r="A38" s="53" t="s">
        <v>382</v>
      </c>
      <c r="B38">
        <f t="shared" ref="B38:AI38" si="7">B35*$B$29</f>
        <v>3.9533997718268365E-6</v>
      </c>
      <c r="C38" s="131">
        <f t="shared" si="7"/>
        <v>4.744079726192204E-6</v>
      </c>
      <c r="D38" s="131">
        <f t="shared" si="7"/>
        <v>4.970309088367899E-6</v>
      </c>
      <c r="E38" s="131">
        <f t="shared" si="7"/>
        <v>5.1924770686807706E-6</v>
      </c>
      <c r="F38" s="131">
        <f t="shared" si="7"/>
        <v>5.3165999390447402E-6</v>
      </c>
      <c r="G38" s="131">
        <f t="shared" si="7"/>
        <v>5.4072777417033418E-6</v>
      </c>
      <c r="H38" s="131">
        <f t="shared" si="7"/>
        <v>5.545369262422522E-6</v>
      </c>
      <c r="I38" s="131">
        <f t="shared" si="7"/>
        <v>5.6552949492810109E-6</v>
      </c>
      <c r="J38" s="131">
        <f t="shared" si="7"/>
        <v>5.7604754270775764E-6</v>
      </c>
      <c r="K38" s="131">
        <f t="shared" si="7"/>
        <v>5.9274907524519835E-6</v>
      </c>
      <c r="L38" s="131">
        <f t="shared" si="7"/>
        <v>5.9872975282385124E-6</v>
      </c>
      <c r="M38" s="131">
        <f t="shared" si="7"/>
        <v>6.0525229219615718E-6</v>
      </c>
      <c r="N38" s="131">
        <f t="shared" si="7"/>
        <v>6.1366307176438553E-6</v>
      </c>
      <c r="O38" s="131">
        <f t="shared" si="7"/>
        <v>6.1928394066542858E-6</v>
      </c>
      <c r="P38" s="131">
        <f t="shared" si="7"/>
        <v>6.3744510497565718E-6</v>
      </c>
      <c r="Q38" s="131">
        <f t="shared" si="7"/>
        <v>6.5328822148208713E-6</v>
      </c>
      <c r="R38" s="131">
        <f t="shared" si="7"/>
        <v>6.6911398236600508E-6</v>
      </c>
      <c r="S38" s="131">
        <f t="shared" si="7"/>
        <v>6.8458497077770551E-6</v>
      </c>
      <c r="T38" s="131">
        <f t="shared" si="7"/>
        <v>6.9925758784841095E-6</v>
      </c>
      <c r="U38" s="131">
        <f t="shared" si="7"/>
        <v>7.1452106134234217E-6</v>
      </c>
      <c r="V38" s="131">
        <f t="shared" si="7"/>
        <v>7.261939003386984E-6</v>
      </c>
      <c r="W38" s="131">
        <f t="shared" si="7"/>
        <v>7.4285421149419898E-6</v>
      </c>
      <c r="X38" s="131">
        <f t="shared" si="7"/>
        <v>7.690187696585392E-6</v>
      </c>
      <c r="Y38" s="131">
        <f t="shared" si="7"/>
        <v>8.0134150215568644E-6</v>
      </c>
      <c r="Z38" s="131">
        <f t="shared" si="7"/>
        <v>8.2226491571235569E-6</v>
      </c>
      <c r="AA38" s="131">
        <f t="shared" si="7"/>
        <v>8.4376352403471499E-6</v>
      </c>
      <c r="AB38" s="131">
        <f t="shared" si="7"/>
        <v>8.6585384739967633E-6</v>
      </c>
      <c r="AC38" s="131">
        <f t="shared" si="7"/>
        <v>8.8855289708814256E-6</v>
      </c>
      <c r="AD38" s="131">
        <f t="shared" si="7"/>
        <v>9.1187819025247162E-6</v>
      </c>
      <c r="AE38" s="131">
        <f t="shared" si="7"/>
        <v>9.3584776545454256E-6</v>
      </c>
      <c r="AF38" s="131">
        <f t="shared" si="7"/>
        <v>9.6048019844472117E-6</v>
      </c>
      <c r="AG38" s="131">
        <f t="shared" si="7"/>
        <v>9.8579461866617654E-6</v>
      </c>
      <c r="AH38" s="131">
        <f t="shared" si="7"/>
        <v>1.0118107261625285E-5</v>
      </c>
      <c r="AI38" s="131">
        <f t="shared" si="7"/>
        <v>1.0385488083513037E-5</v>
      </c>
    </row>
    <row r="40" spans="1:35" s="62" customFormat="1">
      <c r="A40" t="s">
        <v>383</v>
      </c>
      <c r="B40" s="62">
        <f>B38*1.01</f>
        <v>3.992933769545105E-6</v>
      </c>
      <c r="C40" s="131">
        <f t="shared" ref="C40:AI40" si="8">C38*1.01</f>
        <v>4.7915205234541263E-6</v>
      </c>
      <c r="D40" s="131">
        <f t="shared" si="8"/>
        <v>5.0200121792515777E-6</v>
      </c>
      <c r="E40" s="131">
        <f t="shared" si="8"/>
        <v>5.2444018393675781E-6</v>
      </c>
      <c r="F40" s="131">
        <f t="shared" si="8"/>
        <v>5.3697659384351875E-6</v>
      </c>
      <c r="G40" s="131">
        <f t="shared" si="8"/>
        <v>5.4613505191203749E-6</v>
      </c>
      <c r="H40" s="131">
        <f t="shared" si="8"/>
        <v>5.6008229550467471E-6</v>
      </c>
      <c r="I40" s="131">
        <f t="shared" si="8"/>
        <v>5.7118478987738213E-6</v>
      </c>
      <c r="J40" s="131">
        <f t="shared" si="8"/>
        <v>5.8180801813483519E-6</v>
      </c>
      <c r="K40" s="131">
        <f t="shared" si="8"/>
        <v>5.9867656599765037E-6</v>
      </c>
      <c r="L40" s="131">
        <f t="shared" si="8"/>
        <v>6.0471705035208979E-6</v>
      </c>
      <c r="M40" s="131">
        <f t="shared" si="8"/>
        <v>6.1130481511811876E-6</v>
      </c>
      <c r="N40" s="131">
        <f t="shared" si="8"/>
        <v>6.1979970248202938E-6</v>
      </c>
      <c r="O40" s="131">
        <f t="shared" si="8"/>
        <v>6.2547678007208283E-6</v>
      </c>
      <c r="P40" s="131">
        <f t="shared" si="8"/>
        <v>6.4381955602541374E-6</v>
      </c>
      <c r="Q40" s="131">
        <f t="shared" si="8"/>
        <v>6.5982110369690798E-6</v>
      </c>
      <c r="R40" s="131">
        <f t="shared" si="8"/>
        <v>6.758051221896651E-6</v>
      </c>
      <c r="S40" s="131">
        <f t="shared" si="8"/>
        <v>6.9143082048548254E-6</v>
      </c>
      <c r="T40" s="131">
        <f t="shared" si="8"/>
        <v>7.0625016372689504E-6</v>
      </c>
      <c r="U40" s="131">
        <f t="shared" si="8"/>
        <v>7.2166627195576558E-6</v>
      </c>
      <c r="V40" s="131">
        <f t="shared" si="8"/>
        <v>7.3345583934208536E-6</v>
      </c>
      <c r="W40" s="131">
        <f t="shared" si="8"/>
        <v>7.5028275360914096E-6</v>
      </c>
      <c r="X40" s="131">
        <f t="shared" si="8"/>
        <v>7.7670895735512456E-6</v>
      </c>
      <c r="Y40" s="131">
        <f t="shared" si="8"/>
        <v>8.0935491717724325E-6</v>
      </c>
      <c r="Z40" s="131">
        <f t="shared" si="8"/>
        <v>8.3048756486947928E-6</v>
      </c>
      <c r="AA40" s="131">
        <f t="shared" si="8"/>
        <v>8.5220115927506216E-6</v>
      </c>
      <c r="AB40" s="131">
        <f t="shared" si="8"/>
        <v>8.7451238587367318E-6</v>
      </c>
      <c r="AC40" s="131">
        <f t="shared" si="8"/>
        <v>8.9743842605902397E-6</v>
      </c>
      <c r="AD40" s="131">
        <f t="shared" si="8"/>
        <v>9.2099697215499629E-6</v>
      </c>
      <c r="AE40" s="131">
        <f t="shared" si="8"/>
        <v>9.4520624310908793E-6</v>
      </c>
      <c r="AF40" s="131">
        <f t="shared" si="8"/>
        <v>9.7008500042916843E-6</v>
      </c>
      <c r="AG40" s="131">
        <f t="shared" si="8"/>
        <v>9.9565256485283827E-6</v>
      </c>
      <c r="AH40" s="131">
        <f t="shared" si="8"/>
        <v>1.0219288334241538E-5</v>
      </c>
      <c r="AI40" s="131">
        <f t="shared" si="8"/>
        <v>1.0489342964348167E-5</v>
      </c>
    </row>
    <row r="41" spans="1:35">
      <c r="B41" s="57"/>
    </row>
    <row r="42" spans="1:35" s="131" customFormat="1">
      <c r="B42" s="57"/>
    </row>
    <row r="43" spans="1:35">
      <c r="A43" s="59" t="s">
        <v>386</v>
      </c>
    </row>
    <row r="44" spans="1:35">
      <c r="A44" t="s">
        <v>150</v>
      </c>
    </row>
    <row r="45" spans="1:35">
      <c r="A45" t="s">
        <v>151</v>
      </c>
    </row>
    <row r="46" spans="1:35">
      <c r="H46" s="132"/>
      <c r="I46" s="132"/>
      <c r="J46" s="132"/>
      <c r="K46" s="132"/>
      <c r="L46" s="132"/>
      <c r="M46" s="132"/>
      <c r="N46" s="132"/>
      <c r="O46" s="132"/>
      <c r="P46" s="132"/>
      <c r="Q46" s="132"/>
      <c r="R46" s="132"/>
      <c r="S46" s="132"/>
      <c r="T46" s="132"/>
      <c r="U46" s="132"/>
    </row>
    <row r="47" spans="1:35">
      <c r="A47" t="s">
        <v>144</v>
      </c>
      <c r="B47" t="s">
        <v>143</v>
      </c>
      <c r="E47" t="s">
        <v>145</v>
      </c>
      <c r="H47" s="132"/>
      <c r="I47" s="132"/>
      <c r="J47" s="132"/>
      <c r="K47" s="132"/>
      <c r="L47" s="132"/>
      <c r="M47" s="132"/>
      <c r="N47" s="132"/>
      <c r="O47" s="132"/>
      <c r="P47" s="132"/>
      <c r="Q47" s="132"/>
      <c r="R47" s="132"/>
      <c r="S47" s="132"/>
      <c r="T47" s="132"/>
      <c r="U47" s="132"/>
    </row>
    <row r="48" spans="1:35">
      <c r="A48" s="62"/>
      <c r="B48" s="57">
        <f>49*1000000</f>
        <v>49000000</v>
      </c>
      <c r="C48" s="62" t="s">
        <v>147</v>
      </c>
      <c r="D48" s="62"/>
      <c r="E48" s="62"/>
      <c r="H48" s="132"/>
      <c r="I48" s="132"/>
      <c r="J48" s="132"/>
      <c r="K48" s="132"/>
      <c r="L48" s="132"/>
      <c r="M48" s="132"/>
      <c r="N48" s="132"/>
      <c r="O48" s="132"/>
      <c r="P48" s="132"/>
      <c r="Q48" s="132"/>
      <c r="R48" s="132"/>
      <c r="S48" s="132"/>
      <c r="T48" s="132"/>
      <c r="U48" s="132"/>
    </row>
    <row r="49" spans="1:21">
      <c r="B49" s="56">
        <f>B48*1000000</f>
        <v>49000000000000</v>
      </c>
      <c r="C49" t="s">
        <v>148</v>
      </c>
      <c r="H49" s="132"/>
      <c r="I49" s="132"/>
      <c r="J49" s="132"/>
      <c r="K49" s="132"/>
      <c r="L49" s="132"/>
      <c r="M49" s="132"/>
      <c r="N49" s="132"/>
      <c r="O49" s="132"/>
      <c r="P49" s="132"/>
      <c r="Q49" s="132"/>
      <c r="R49" s="132"/>
      <c r="S49" s="132"/>
      <c r="T49" s="132"/>
      <c r="U49" s="132"/>
    </row>
    <row r="50" spans="1:21" s="131" customFormat="1">
      <c r="H50" s="132"/>
      <c r="I50" s="132"/>
      <c r="J50" s="132"/>
      <c r="K50" s="132"/>
      <c r="L50" s="132"/>
      <c r="M50" s="132"/>
      <c r="N50" s="132"/>
      <c r="O50" s="132"/>
      <c r="P50" s="132"/>
      <c r="Q50" s="132"/>
      <c r="R50" s="132"/>
      <c r="S50" s="132"/>
      <c r="T50" s="132"/>
      <c r="U50" s="132"/>
    </row>
    <row r="51" spans="1:21">
      <c r="A51" s="62"/>
      <c r="B51" s="56"/>
      <c r="C51" s="62"/>
      <c r="D51" s="62"/>
      <c r="E51" s="62"/>
      <c r="H51" s="132"/>
      <c r="I51" s="132"/>
      <c r="J51" s="132"/>
      <c r="K51" s="132"/>
      <c r="L51" s="132"/>
      <c r="M51" s="132"/>
      <c r="N51" s="132"/>
      <c r="O51" s="132"/>
      <c r="P51" s="132"/>
      <c r="Q51" s="132"/>
      <c r="R51" s="132"/>
      <c r="S51" s="132"/>
      <c r="T51" s="132"/>
      <c r="U51" s="132"/>
    </row>
    <row r="52" spans="1:21">
      <c r="H52" s="132"/>
      <c r="I52" s="132"/>
      <c r="J52" s="132"/>
      <c r="K52" s="132"/>
      <c r="L52" s="132"/>
      <c r="M52" s="132"/>
      <c r="N52" s="132"/>
      <c r="O52" s="132"/>
      <c r="P52" s="132"/>
      <c r="Q52" s="132"/>
      <c r="R52" s="132"/>
      <c r="S52" s="132"/>
      <c r="T52" s="132"/>
      <c r="U52" s="132"/>
    </row>
    <row r="55" spans="1:21">
      <c r="H55" s="132"/>
      <c r="I55" s="132"/>
      <c r="J55" s="132"/>
      <c r="K55" s="132"/>
      <c r="L55" s="132"/>
      <c r="M55" s="132"/>
      <c r="N55" s="132"/>
      <c r="O55" s="132"/>
      <c r="P55" s="132"/>
      <c r="Q55" s="132"/>
      <c r="R55" s="132"/>
      <c r="S55" s="132"/>
      <c r="T55" s="132"/>
      <c r="U55" s="132"/>
    </row>
    <row r="56" spans="1:21">
      <c r="H56" s="132"/>
      <c r="I56" s="132"/>
      <c r="J56" s="132"/>
      <c r="K56" s="132"/>
      <c r="L56" s="132"/>
      <c r="M56" s="132"/>
      <c r="N56" s="132"/>
      <c r="O56" s="132"/>
      <c r="P56" s="132"/>
      <c r="Q56" s="132"/>
      <c r="R56" s="132"/>
      <c r="S56" s="132"/>
      <c r="T56" s="132"/>
      <c r="U56" s="132"/>
    </row>
    <row r="57" spans="1:21">
      <c r="H57" s="132"/>
      <c r="I57" s="132"/>
      <c r="J57" s="132"/>
      <c r="K57" s="132"/>
      <c r="L57" s="132"/>
      <c r="M57" s="132"/>
      <c r="N57" s="132"/>
      <c r="O57" s="132"/>
      <c r="P57" s="132"/>
      <c r="Q57" s="132"/>
      <c r="R57" s="132"/>
      <c r="S57" s="132"/>
      <c r="T57" s="132"/>
      <c r="U57" s="132"/>
    </row>
    <row r="58" spans="1:21">
      <c r="H58" s="132"/>
      <c r="I58" s="132"/>
      <c r="J58" s="132"/>
      <c r="K58" s="132"/>
      <c r="L58" s="132"/>
      <c r="M58" s="132"/>
      <c r="N58" s="132"/>
      <c r="O58" s="132"/>
      <c r="P58" s="132"/>
      <c r="Q58" s="132"/>
      <c r="R58" s="132"/>
      <c r="S58" s="132"/>
      <c r="T58" s="132"/>
      <c r="U58" s="13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4.25"/>
  <cols>
    <col min="1" max="1" width="20.265625" customWidth="1"/>
  </cols>
  <sheetData>
    <row r="1" spans="1:2">
      <c r="A1" t="s">
        <v>373</v>
      </c>
    </row>
    <row r="3" spans="1:2">
      <c r="A3" t="s">
        <v>407</v>
      </c>
      <c r="B3">
        <v>1.1136776430767814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B5" sqref="B5"/>
    </sheetView>
  </sheetViews>
  <sheetFormatPr defaultRowHeight="14.25"/>
  <cols>
    <col min="1" max="1" width="39.86328125" bestFit="1" customWidth="1"/>
    <col min="2" max="2" width="18" bestFit="1" customWidth="1"/>
    <col min="3" max="3" width="16.3984375" bestFit="1" customWidth="1"/>
    <col min="13" max="13" width="24.86328125" customWidth="1"/>
    <col min="16" max="16" width="15" bestFit="1" customWidth="1"/>
    <col min="20" max="21" width="15.59765625" bestFit="1" customWidth="1"/>
  </cols>
  <sheetData>
    <row r="1" spans="1:21">
      <c r="A1" t="s">
        <v>153</v>
      </c>
      <c r="B1" s="58">
        <v>0.6</v>
      </c>
    </row>
    <row r="2" spans="1:21">
      <c r="A2" t="s">
        <v>165</v>
      </c>
      <c r="B2" s="64">
        <v>5600000000</v>
      </c>
    </row>
    <row r="3" spans="1:21">
      <c r="A3" t="s">
        <v>154</v>
      </c>
      <c r="B3" s="65">
        <f>B1*B2</f>
        <v>3360000000</v>
      </c>
    </row>
    <row r="4" spans="1:21">
      <c r="A4" t="s">
        <v>156</v>
      </c>
      <c r="B4">
        <v>0.1</v>
      </c>
    </row>
    <row r="5" spans="1:21">
      <c r="A5" t="s">
        <v>157</v>
      </c>
      <c r="B5">
        <f>Method!$C$14</f>
        <v>12</v>
      </c>
    </row>
    <row r="6" spans="1:21">
      <c r="A6" t="s">
        <v>158</v>
      </c>
      <c r="B6">
        <v>1</v>
      </c>
    </row>
    <row r="9" spans="1:21">
      <c r="A9" t="s">
        <v>159</v>
      </c>
      <c r="B9" s="66">
        <f>PMT(B4,B5,B3)</f>
        <v>-493124738.73696548</v>
      </c>
    </row>
    <row r="10" spans="1:21">
      <c r="A10" t="s">
        <v>161</v>
      </c>
    </row>
    <row r="11" spans="1:21">
      <c r="B11" s="66"/>
    </row>
    <row r="12" spans="1:21">
      <c r="B12">
        <f>'Production and earnings'!B1</f>
        <v>1</v>
      </c>
      <c r="C12">
        <f>'Production and earnings'!C1</f>
        <v>2</v>
      </c>
      <c r="D12">
        <f>'Production and earnings'!D1</f>
        <v>3</v>
      </c>
      <c r="E12">
        <f>'Production and earnings'!E1</f>
        <v>4</v>
      </c>
      <c r="F12">
        <f>'Production and earnings'!F1</f>
        <v>5</v>
      </c>
      <c r="G12">
        <f>'Production and earnings'!G1</f>
        <v>6</v>
      </c>
      <c r="H12">
        <f>'Production and earnings'!H1</f>
        <v>7</v>
      </c>
      <c r="I12">
        <f>'Production and earnings'!I1</f>
        <v>8</v>
      </c>
      <c r="J12">
        <f>'Production and earnings'!J1</f>
        <v>9</v>
      </c>
      <c r="K12">
        <f>'Production and earnings'!K1</f>
        <v>10</v>
      </c>
      <c r="L12">
        <f>'Production and earnings'!L1</f>
        <v>11</v>
      </c>
      <c r="M12">
        <f>'Production and earnings'!M1</f>
        <v>12</v>
      </c>
    </row>
    <row r="13" spans="1:21">
      <c r="A13" t="s">
        <v>169</v>
      </c>
      <c r="B13" s="68">
        <f>$B$2/$B$5</f>
        <v>466666666.66666669</v>
      </c>
      <c r="C13" s="68">
        <f t="shared" ref="C13:M13" si="0">$B$2/$B$5</f>
        <v>466666666.66666669</v>
      </c>
      <c r="D13" s="68">
        <f t="shared" si="0"/>
        <v>466666666.66666669</v>
      </c>
      <c r="E13" s="68">
        <f t="shared" si="0"/>
        <v>466666666.66666669</v>
      </c>
      <c r="F13" s="68">
        <f t="shared" si="0"/>
        <v>466666666.66666669</v>
      </c>
      <c r="G13" s="68">
        <f t="shared" si="0"/>
        <v>466666666.66666669</v>
      </c>
      <c r="H13" s="68">
        <f t="shared" si="0"/>
        <v>466666666.66666669</v>
      </c>
      <c r="I13" s="68">
        <f t="shared" si="0"/>
        <v>466666666.66666669</v>
      </c>
      <c r="J13" s="68">
        <f t="shared" si="0"/>
        <v>466666666.66666669</v>
      </c>
      <c r="K13" s="68">
        <f t="shared" si="0"/>
        <v>466666666.66666669</v>
      </c>
      <c r="L13" s="68">
        <f t="shared" si="0"/>
        <v>466666666.66666669</v>
      </c>
      <c r="M13" s="68">
        <f t="shared" si="0"/>
        <v>466666666.66666669</v>
      </c>
      <c r="N13" s="68"/>
      <c r="O13" s="68"/>
      <c r="P13" s="68"/>
      <c r="Q13" s="68"/>
      <c r="R13" s="68"/>
      <c r="S13" s="68"/>
      <c r="T13" s="68"/>
      <c r="U13" s="68"/>
    </row>
    <row r="14" spans="1:21">
      <c r="B14" s="68"/>
    </row>
    <row r="16" spans="1:21">
      <c r="A16" t="s">
        <v>171</v>
      </c>
      <c r="B16" s="65">
        <f>B3</f>
        <v>3360000000</v>
      </c>
      <c r="C16" s="68">
        <f>B16-B18</f>
        <v>3202875261.2630343</v>
      </c>
      <c r="D16" s="68">
        <f t="shared" ref="D16:M16" si="1">C16-C18</f>
        <v>3030038048.6523724</v>
      </c>
      <c r="E16" s="68">
        <f t="shared" si="1"/>
        <v>2839917114.7806439</v>
      </c>
      <c r="F16" s="68">
        <f t="shared" si="1"/>
        <v>2630784087.5217428</v>
      </c>
      <c r="G16" s="68">
        <f t="shared" si="1"/>
        <v>2400737757.5369515</v>
      </c>
      <c r="H16" s="68">
        <f t="shared" si="1"/>
        <v>2147686794.5536814</v>
      </c>
      <c r="I16" s="68">
        <f t="shared" si="1"/>
        <v>1869330735.272084</v>
      </c>
      <c r="J16" s="68">
        <f t="shared" si="1"/>
        <v>1563139070.0623269</v>
      </c>
      <c r="K16" s="68">
        <f t="shared" si="1"/>
        <v>1226328238.331594</v>
      </c>
      <c r="L16" s="68">
        <f t="shared" si="1"/>
        <v>855836323.4277879</v>
      </c>
      <c r="M16" s="68">
        <f t="shared" si="1"/>
        <v>448295217.03360122</v>
      </c>
      <c r="N16" s="68"/>
      <c r="O16" s="68"/>
      <c r="P16" s="68"/>
      <c r="Q16" s="68"/>
      <c r="R16" s="68"/>
      <c r="S16" s="68"/>
      <c r="T16" s="68"/>
      <c r="U16" s="68"/>
    </row>
    <row r="17" spans="1:21">
      <c r="A17" t="s">
        <v>170</v>
      </c>
      <c r="B17" s="65">
        <f>$B$4*B16</f>
        <v>336000000</v>
      </c>
      <c r="C17" s="65">
        <f>$B$4*C16</f>
        <v>320287526.12630343</v>
      </c>
      <c r="D17" s="65">
        <f t="shared" ref="D17:M17" si="2">$B$4*D16</f>
        <v>303003804.86523724</v>
      </c>
      <c r="E17" s="65">
        <f t="shared" si="2"/>
        <v>283991711.47806442</v>
      </c>
      <c r="F17" s="65">
        <f t="shared" si="2"/>
        <v>263078408.75217429</v>
      </c>
      <c r="G17" s="65">
        <f t="shared" si="2"/>
        <v>240073775.75369516</v>
      </c>
      <c r="H17" s="65">
        <f t="shared" si="2"/>
        <v>214768679.45536816</v>
      </c>
      <c r="I17" s="65">
        <f t="shared" si="2"/>
        <v>186933073.52720842</v>
      </c>
      <c r="J17" s="65">
        <f t="shared" si="2"/>
        <v>156313907.00623271</v>
      </c>
      <c r="K17" s="65">
        <f t="shared" si="2"/>
        <v>122632823.8331594</v>
      </c>
      <c r="L17" s="65">
        <f t="shared" si="2"/>
        <v>85583632.342778802</v>
      </c>
      <c r="M17" s="65">
        <f t="shared" si="2"/>
        <v>44829521.703360125</v>
      </c>
      <c r="N17" s="65"/>
      <c r="O17" s="65"/>
      <c r="P17" s="65"/>
      <c r="Q17" s="65"/>
      <c r="R17" s="65"/>
      <c r="S17" s="65"/>
      <c r="T17" s="65"/>
      <c r="U17" s="65"/>
    </row>
    <row r="18" spans="1:21">
      <c r="A18" t="s">
        <v>172</v>
      </c>
      <c r="B18" s="66">
        <f>-(B17+$B$9)</f>
        <v>157124738.73696548</v>
      </c>
      <c r="C18" s="66">
        <f>-(C17+$B$9)</f>
        <v>172837212.61066204</v>
      </c>
      <c r="D18" s="66">
        <f t="shared" ref="D18:M18" si="3">-(D17+$B$9)</f>
        <v>190120933.87172824</v>
      </c>
      <c r="E18" s="66">
        <f t="shared" si="3"/>
        <v>209133027.25890106</v>
      </c>
      <c r="F18" s="66">
        <f t="shared" si="3"/>
        <v>230046329.98479119</v>
      </c>
      <c r="G18" s="66">
        <f t="shared" si="3"/>
        <v>253050962.98327032</v>
      </c>
      <c r="H18" s="66">
        <f t="shared" si="3"/>
        <v>278356059.28159732</v>
      </c>
      <c r="I18" s="66">
        <f t="shared" si="3"/>
        <v>306191665.20975709</v>
      </c>
      <c r="J18" s="66">
        <f t="shared" si="3"/>
        <v>336810831.7307328</v>
      </c>
      <c r="K18" s="66">
        <f t="shared" si="3"/>
        <v>370491914.90380609</v>
      </c>
      <c r="L18" s="66">
        <f t="shared" si="3"/>
        <v>407541106.39418668</v>
      </c>
      <c r="M18" s="66">
        <f t="shared" si="3"/>
        <v>448295217.03360534</v>
      </c>
      <c r="N18" s="66"/>
      <c r="O18" s="66"/>
      <c r="P18" s="66"/>
      <c r="Q18" s="66"/>
      <c r="R18" s="66"/>
      <c r="S18" s="66"/>
      <c r="T18" s="66"/>
      <c r="U18" s="66"/>
    </row>
    <row r="21" spans="1:21">
      <c r="A21" t="s">
        <v>173</v>
      </c>
    </row>
    <row r="23" spans="1:21">
      <c r="A23" t="s">
        <v>361</v>
      </c>
      <c r="B23" s="66">
        <f>-B5*B9</f>
        <v>5917496864.843586</v>
      </c>
    </row>
    <row r="24" spans="1:21">
      <c r="A24" t="s">
        <v>362</v>
      </c>
      <c r="B24" s="68">
        <f>SUM(B17:U17)+SUM(B18:U18)</f>
        <v>5917496864.843586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workbookViewId="0">
      <selection activeCell="H31" sqref="H31"/>
    </sheetView>
  </sheetViews>
  <sheetFormatPr defaultRowHeight="14.25"/>
  <cols>
    <col min="1" max="1" width="18.86328125" customWidth="1"/>
    <col min="2" max="2" width="24.86328125" customWidth="1"/>
    <col min="3" max="3" width="11" bestFit="1" customWidth="1"/>
  </cols>
  <sheetData>
    <row r="1" spans="1:21">
      <c r="A1" t="s">
        <v>160</v>
      </c>
      <c r="B1" s="58">
        <v>0.4</v>
      </c>
    </row>
    <row r="2" spans="1:21">
      <c r="A2" s="62" t="s">
        <v>155</v>
      </c>
      <c r="B2" s="64">
        <v>5600000000</v>
      </c>
    </row>
    <row r="3" spans="1:21">
      <c r="A3" t="s">
        <v>356</v>
      </c>
      <c r="B3">
        <f>B1*B2</f>
        <v>2240000000</v>
      </c>
    </row>
    <row r="4" spans="1:21">
      <c r="A4" t="s">
        <v>363</v>
      </c>
      <c r="B4">
        <f>B3/B5</f>
        <v>186666666.66666666</v>
      </c>
    </row>
    <row r="5" spans="1:21" s="131" customFormat="1">
      <c r="A5" s="131" t="s">
        <v>364</v>
      </c>
      <c r="B5" s="131">
        <v>12</v>
      </c>
    </row>
    <row r="6" spans="1:21">
      <c r="A6" t="s">
        <v>177</v>
      </c>
      <c r="B6">
        <v>0.15</v>
      </c>
    </row>
    <row r="8" spans="1:21">
      <c r="B8">
        <f>'Production and earnings'!F23</f>
        <v>1</v>
      </c>
      <c r="C8">
        <f>'Production and earnings'!G23</f>
        <v>2</v>
      </c>
      <c r="D8">
        <f>'Production and earnings'!H23</f>
        <v>3</v>
      </c>
      <c r="E8">
        <f>'Production and earnings'!I23</f>
        <v>4</v>
      </c>
      <c r="F8">
        <f>'Production and earnings'!J23</f>
        <v>5</v>
      </c>
      <c r="G8">
        <f>'Production and earnings'!K23</f>
        <v>6</v>
      </c>
      <c r="H8">
        <f>'Production and earnings'!L23</f>
        <v>7</v>
      </c>
      <c r="I8">
        <f>'Production and earnings'!M23</f>
        <v>8</v>
      </c>
      <c r="J8">
        <f>'Production and earnings'!N23</f>
        <v>9</v>
      </c>
      <c r="K8">
        <f>'Production and earnings'!O23</f>
        <v>10</v>
      </c>
      <c r="L8">
        <f>'Production and earnings'!P23</f>
        <v>11</v>
      </c>
      <c r="M8">
        <f>'Production and earnings'!Q23</f>
        <v>12</v>
      </c>
    </row>
    <row r="9" spans="1:21" s="131" customFormat="1">
      <c r="A9" s="131" t="s">
        <v>357</v>
      </c>
      <c r="B9" s="131">
        <f>$B$4</f>
        <v>186666666.66666666</v>
      </c>
      <c r="C9" s="131">
        <f t="shared" ref="C9:M9" si="0">$B$4</f>
        <v>186666666.66666666</v>
      </c>
      <c r="D9" s="131">
        <f t="shared" si="0"/>
        <v>186666666.66666666</v>
      </c>
      <c r="E9" s="131">
        <f t="shared" si="0"/>
        <v>186666666.66666666</v>
      </c>
      <c r="F9" s="131">
        <f t="shared" si="0"/>
        <v>186666666.66666666</v>
      </c>
      <c r="G9" s="131">
        <f t="shared" si="0"/>
        <v>186666666.66666666</v>
      </c>
      <c r="H9" s="131">
        <f t="shared" si="0"/>
        <v>186666666.66666666</v>
      </c>
      <c r="I9" s="131">
        <f t="shared" si="0"/>
        <v>186666666.66666666</v>
      </c>
      <c r="J9" s="131">
        <f t="shared" si="0"/>
        <v>186666666.66666666</v>
      </c>
      <c r="K9" s="131">
        <f t="shared" si="0"/>
        <v>186666666.66666666</v>
      </c>
      <c r="L9" s="131">
        <f t="shared" si="0"/>
        <v>186666666.66666666</v>
      </c>
      <c r="M9" s="131">
        <f t="shared" si="0"/>
        <v>186666666.66666666</v>
      </c>
    </row>
    <row r="10" spans="1:21">
      <c r="A10" t="s">
        <v>178</v>
      </c>
      <c r="B10">
        <f>B3</f>
        <v>2240000000</v>
      </c>
      <c r="C10">
        <f>B10-$B$4</f>
        <v>2053333333.3333333</v>
      </c>
      <c r="D10" s="62">
        <f t="shared" ref="D10:M10" si="1">C10-$B$4</f>
        <v>1866666666.6666665</v>
      </c>
      <c r="E10" s="62">
        <f t="shared" si="1"/>
        <v>1679999999.9999998</v>
      </c>
      <c r="F10" s="62">
        <f t="shared" si="1"/>
        <v>1493333333.333333</v>
      </c>
      <c r="G10" s="62">
        <f t="shared" si="1"/>
        <v>1306666666.6666663</v>
      </c>
      <c r="H10" s="62">
        <f t="shared" si="1"/>
        <v>1119999999.9999995</v>
      </c>
      <c r="I10" s="62">
        <f t="shared" si="1"/>
        <v>933333333.3333329</v>
      </c>
      <c r="J10" s="62">
        <f t="shared" si="1"/>
        <v>746666666.66666627</v>
      </c>
      <c r="K10" s="62">
        <f t="shared" si="1"/>
        <v>559999999.99999964</v>
      </c>
      <c r="L10" s="62">
        <f t="shared" si="1"/>
        <v>373333333.33333302</v>
      </c>
      <c r="M10" s="62">
        <f t="shared" si="1"/>
        <v>186666666.66666636</v>
      </c>
      <c r="N10" s="62"/>
      <c r="O10" s="62"/>
      <c r="P10" s="62"/>
      <c r="Q10" s="62"/>
      <c r="R10" s="62"/>
      <c r="S10" s="62"/>
      <c r="T10" s="62"/>
      <c r="U10" s="62"/>
    </row>
    <row r="11" spans="1:21">
      <c r="A11" t="s">
        <v>179</v>
      </c>
      <c r="B11">
        <f>$B$6*B10</f>
        <v>336000000</v>
      </c>
      <c r="C11" s="62">
        <f>$B$6*C10</f>
        <v>308000000</v>
      </c>
      <c r="D11" s="62">
        <f t="shared" ref="D11:M11" si="2">$B$6*D10</f>
        <v>279999999.99999994</v>
      </c>
      <c r="E11" s="62">
        <f t="shared" si="2"/>
        <v>251999999.99999994</v>
      </c>
      <c r="F11" s="62">
        <f t="shared" si="2"/>
        <v>223999999.99999994</v>
      </c>
      <c r="G11" s="62">
        <f t="shared" si="2"/>
        <v>195999999.99999994</v>
      </c>
      <c r="H11" s="62">
        <f t="shared" si="2"/>
        <v>167999999.99999991</v>
      </c>
      <c r="I11" s="62">
        <f t="shared" si="2"/>
        <v>139999999.99999994</v>
      </c>
      <c r="J11" s="62">
        <f t="shared" si="2"/>
        <v>111999999.99999994</v>
      </c>
      <c r="K11" s="62">
        <f t="shared" si="2"/>
        <v>83999999.99999994</v>
      </c>
      <c r="L11" s="62">
        <f t="shared" si="2"/>
        <v>55999999.999999948</v>
      </c>
      <c r="M11" s="62">
        <f t="shared" si="2"/>
        <v>27999999.999999952</v>
      </c>
      <c r="N11" s="62"/>
      <c r="O11" s="62"/>
      <c r="P11" s="62"/>
      <c r="Q11" s="62"/>
      <c r="R11" s="62"/>
      <c r="S11" s="62"/>
      <c r="T11" s="62"/>
      <c r="U11" s="62"/>
    </row>
    <row r="13" spans="1:21">
      <c r="A13" t="s">
        <v>181</v>
      </c>
    </row>
    <row r="15" spans="1:21">
      <c r="A15" t="s">
        <v>180</v>
      </c>
      <c r="B15" s="65">
        <f>SUM(B11:U11)+SUM(B9:P9)</f>
        <v>4424000000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workbookViewId="0">
      <selection activeCell="H25" sqref="H25"/>
    </sheetView>
  </sheetViews>
  <sheetFormatPr defaultRowHeight="14.25"/>
  <cols>
    <col min="1" max="1" width="26.265625" customWidth="1"/>
  </cols>
  <sheetData>
    <row r="1" spans="1:24">
      <c r="I1" s="62"/>
      <c r="J1" s="126">
        <v>43220</v>
      </c>
      <c r="K1" s="71"/>
      <c r="L1" s="71"/>
      <c r="M1" s="71"/>
      <c r="N1" s="71"/>
      <c r="O1" s="71"/>
      <c r="P1" s="71"/>
      <c r="Q1" s="71"/>
      <c r="R1" s="71"/>
      <c r="S1" s="71"/>
      <c r="T1" s="71"/>
      <c r="U1" s="71"/>
      <c r="V1" s="71"/>
      <c r="W1" s="71"/>
      <c r="X1" s="71"/>
    </row>
    <row r="2" spans="1:24">
      <c r="A2" t="s">
        <v>290</v>
      </c>
      <c r="B2">
        <f>K11-B4</f>
        <v>2.2845000000000004</v>
      </c>
      <c r="I2" s="62"/>
      <c r="J2" s="127" t="s">
        <v>191</v>
      </c>
      <c r="K2" s="72"/>
      <c r="L2" s="72"/>
      <c r="M2" s="72"/>
      <c r="N2" s="72"/>
      <c r="O2" s="72"/>
      <c r="P2" s="72"/>
      <c r="Q2" s="72"/>
      <c r="R2" s="72"/>
      <c r="S2" s="72"/>
      <c r="T2" s="72"/>
      <c r="U2" s="72"/>
      <c r="V2" s="72"/>
      <c r="W2" s="72"/>
      <c r="X2" s="72"/>
    </row>
    <row r="3" spans="1:24" ht="14.65" thickBot="1">
      <c r="I3" s="62"/>
      <c r="J3" s="71"/>
      <c r="K3" s="71"/>
      <c r="L3" s="71"/>
      <c r="M3" s="71"/>
      <c r="N3" s="71"/>
      <c r="O3" s="71"/>
      <c r="P3" s="71"/>
      <c r="Q3" s="71"/>
      <c r="R3" s="71"/>
      <c r="S3" s="71"/>
      <c r="T3" s="71"/>
      <c r="U3" s="71"/>
      <c r="V3" s="71"/>
      <c r="W3" s="71"/>
      <c r="X3" s="71"/>
    </row>
    <row r="4" spans="1:24" ht="14.65" thickTop="1">
      <c r="A4" t="s">
        <v>289</v>
      </c>
      <c r="B4">
        <f>AVERAGE(B7:B55)</f>
        <v>6.5554999999999994</v>
      </c>
      <c r="I4" s="62"/>
      <c r="J4" s="73"/>
      <c r="K4" s="405" t="s">
        <v>192</v>
      </c>
      <c r="L4" s="405" t="s">
        <v>193</v>
      </c>
      <c r="M4" s="407" t="s">
        <v>194</v>
      </c>
      <c r="N4" s="408"/>
      <c r="O4" s="409"/>
      <c r="P4" s="405" t="s">
        <v>195</v>
      </c>
      <c r="Q4" s="405" t="s">
        <v>196</v>
      </c>
      <c r="R4" s="405" t="s">
        <v>197</v>
      </c>
      <c r="S4" s="405" t="s">
        <v>198</v>
      </c>
      <c r="T4" s="403" t="s">
        <v>199</v>
      </c>
      <c r="U4" s="403" t="s">
        <v>200</v>
      </c>
      <c r="V4" s="403" t="s">
        <v>201</v>
      </c>
      <c r="W4" s="403" t="s">
        <v>202</v>
      </c>
      <c r="X4" s="403" t="s">
        <v>203</v>
      </c>
    </row>
    <row r="5" spans="1:24">
      <c r="I5" s="62"/>
      <c r="J5" s="74"/>
      <c r="K5" s="406"/>
      <c r="L5" s="406"/>
      <c r="M5" s="75" t="s">
        <v>204</v>
      </c>
      <c r="N5" s="75" t="s">
        <v>205</v>
      </c>
      <c r="O5" s="75" t="s">
        <v>206</v>
      </c>
      <c r="P5" s="406"/>
      <c r="Q5" s="406"/>
      <c r="R5" s="406"/>
      <c r="S5" s="406"/>
      <c r="T5" s="404"/>
      <c r="U5" s="404"/>
      <c r="V5" s="404"/>
      <c r="W5" s="404"/>
      <c r="X5" s="404"/>
    </row>
    <row r="6" spans="1:24">
      <c r="B6" t="s">
        <v>287</v>
      </c>
      <c r="I6" s="62"/>
      <c r="J6" s="76"/>
      <c r="K6" s="76"/>
      <c r="L6" s="77"/>
      <c r="M6" s="77"/>
      <c r="N6" s="77"/>
      <c r="O6" s="77"/>
      <c r="P6" s="77"/>
      <c r="Q6" s="77"/>
      <c r="R6" s="77"/>
      <c r="S6" s="78"/>
      <c r="T6" s="78"/>
      <c r="U6" s="78"/>
      <c r="V6" s="78"/>
      <c r="W6" s="78"/>
      <c r="X6" s="78"/>
    </row>
    <row r="7" spans="1:24">
      <c r="A7" s="70" t="str">
        <f t="shared" ref="A7:A38" si="0">J7</f>
        <v>Alabama</v>
      </c>
      <c r="B7">
        <f>K7</f>
        <v>6.5</v>
      </c>
      <c r="I7" s="62"/>
      <c r="J7" s="79" t="s">
        <v>207</v>
      </c>
      <c r="K7" s="80">
        <v>6.5</v>
      </c>
      <c r="L7" s="81"/>
      <c r="M7" s="82">
        <v>0.5</v>
      </c>
      <c r="N7" s="82">
        <v>0.25</v>
      </c>
      <c r="O7" s="82">
        <v>0.25</v>
      </c>
      <c r="P7" s="81"/>
      <c r="Q7" s="80" t="s">
        <v>208</v>
      </c>
      <c r="R7" s="80" t="s">
        <v>208</v>
      </c>
      <c r="S7" s="83">
        <v>15</v>
      </c>
      <c r="T7" s="83">
        <v>2</v>
      </c>
      <c r="U7" s="84"/>
      <c r="V7" s="85"/>
      <c r="W7" s="85"/>
      <c r="X7" s="85"/>
    </row>
    <row r="8" spans="1:24" ht="58.9">
      <c r="A8" s="70" t="str">
        <f t="shared" si="0"/>
        <v>Alaska</v>
      </c>
      <c r="I8" s="62"/>
      <c r="J8" s="86" t="s">
        <v>209</v>
      </c>
      <c r="K8" s="80" t="s">
        <v>210</v>
      </c>
      <c r="L8" s="80"/>
      <c r="M8" s="87">
        <v>0.33</v>
      </c>
      <c r="N8" s="87">
        <v>0.33</v>
      </c>
      <c r="O8" s="87">
        <v>0.33</v>
      </c>
      <c r="P8" s="88"/>
      <c r="Q8" s="80" t="s">
        <v>208</v>
      </c>
      <c r="R8" s="80" t="s">
        <v>211</v>
      </c>
      <c r="S8" s="89">
        <v>20</v>
      </c>
      <c r="T8" s="89">
        <v>2</v>
      </c>
      <c r="U8" s="90" t="s">
        <v>208</v>
      </c>
      <c r="V8" s="90" t="s">
        <v>212</v>
      </c>
      <c r="W8" s="80" t="s">
        <v>211</v>
      </c>
      <c r="X8" s="91" t="s">
        <v>213</v>
      </c>
    </row>
    <row r="9" spans="1:24" ht="46.5">
      <c r="A9" s="70" t="str">
        <f t="shared" si="0"/>
        <v>Arizona</v>
      </c>
      <c r="B9">
        <f>K9</f>
        <v>4.9000000000000004</v>
      </c>
      <c r="I9" s="62"/>
      <c r="J9" s="86" t="s">
        <v>45</v>
      </c>
      <c r="K9" s="80">
        <v>4.9000000000000004</v>
      </c>
      <c r="L9" s="92">
        <v>100</v>
      </c>
      <c r="M9" s="87">
        <v>0.5</v>
      </c>
      <c r="N9" s="87">
        <v>0.25</v>
      </c>
      <c r="O9" s="87">
        <v>0.25</v>
      </c>
      <c r="P9" s="93" t="s">
        <v>214</v>
      </c>
      <c r="Q9" s="80" t="s">
        <v>211</v>
      </c>
      <c r="R9" s="80" t="s">
        <v>211</v>
      </c>
      <c r="S9" s="89">
        <v>20</v>
      </c>
      <c r="T9" s="89">
        <v>0</v>
      </c>
      <c r="U9" s="90" t="s">
        <v>208</v>
      </c>
      <c r="V9" s="90" t="s">
        <v>215</v>
      </c>
      <c r="W9" s="80" t="s">
        <v>211</v>
      </c>
      <c r="X9" s="94" t="s">
        <v>216</v>
      </c>
    </row>
    <row r="10" spans="1:24">
      <c r="A10" s="70" t="str">
        <f t="shared" si="0"/>
        <v>Arkansas</v>
      </c>
      <c r="I10" s="62"/>
      <c r="J10" s="79" t="s">
        <v>217</v>
      </c>
      <c r="K10" s="80" t="s">
        <v>218</v>
      </c>
      <c r="L10" s="92"/>
      <c r="M10" s="82">
        <v>0.5</v>
      </c>
      <c r="N10" s="82">
        <v>0.25</v>
      </c>
      <c r="O10" s="82">
        <v>0.25</v>
      </c>
      <c r="P10" s="81"/>
      <c r="Q10" s="80" t="s">
        <v>208</v>
      </c>
      <c r="R10" s="80" t="s">
        <v>208</v>
      </c>
      <c r="S10" s="83">
        <v>5</v>
      </c>
      <c r="T10" s="83">
        <v>0</v>
      </c>
      <c r="U10" s="84"/>
      <c r="V10" s="85"/>
      <c r="W10" s="85"/>
      <c r="X10" s="85"/>
    </row>
    <row r="11" spans="1:24">
      <c r="A11" s="70" t="str">
        <f t="shared" si="0"/>
        <v>California</v>
      </c>
      <c r="I11" s="62"/>
      <c r="J11" s="79" t="s">
        <v>51</v>
      </c>
      <c r="K11" s="80">
        <v>8.84</v>
      </c>
      <c r="L11" s="92">
        <v>800</v>
      </c>
      <c r="M11" s="82">
        <v>1</v>
      </c>
      <c r="N11" s="82">
        <v>0</v>
      </c>
      <c r="O11" s="82">
        <v>0</v>
      </c>
      <c r="P11" s="81"/>
      <c r="Q11" s="80" t="s">
        <v>208</v>
      </c>
      <c r="R11" s="80" t="s">
        <v>211</v>
      </c>
      <c r="S11" s="83">
        <v>20</v>
      </c>
      <c r="T11" s="83">
        <v>2</v>
      </c>
      <c r="U11" s="90" t="s">
        <v>208</v>
      </c>
      <c r="V11" s="90" t="s">
        <v>215</v>
      </c>
      <c r="W11" s="90" t="s">
        <v>219</v>
      </c>
      <c r="X11" s="85"/>
    </row>
    <row r="12" spans="1:24">
      <c r="A12" s="70" t="str">
        <f t="shared" si="0"/>
        <v>Colorado</v>
      </c>
      <c r="B12" s="62">
        <f>K12</f>
        <v>4.63</v>
      </c>
      <c r="I12" s="62"/>
      <c r="J12" s="79" t="s">
        <v>53</v>
      </c>
      <c r="K12" s="80">
        <v>4.63</v>
      </c>
      <c r="L12" s="92"/>
      <c r="M12" s="82">
        <v>1</v>
      </c>
      <c r="N12" s="82">
        <v>0</v>
      </c>
      <c r="O12" s="82">
        <v>0</v>
      </c>
      <c r="P12" s="81"/>
      <c r="Q12" s="80" t="s">
        <v>208</v>
      </c>
      <c r="R12" s="80" t="s">
        <v>211</v>
      </c>
      <c r="S12" s="83">
        <v>20</v>
      </c>
      <c r="T12" s="83">
        <v>0</v>
      </c>
      <c r="U12" s="90" t="s">
        <v>208</v>
      </c>
      <c r="V12" s="90" t="s">
        <v>212</v>
      </c>
      <c r="W12" s="80" t="s">
        <v>211</v>
      </c>
      <c r="X12" s="85"/>
    </row>
    <row r="13" spans="1:24" ht="58.15">
      <c r="A13" s="70" t="str">
        <f t="shared" si="0"/>
        <v>Connecticut</v>
      </c>
      <c r="B13">
        <f>8</f>
        <v>8</v>
      </c>
      <c r="I13" s="62"/>
      <c r="J13" s="86" t="s">
        <v>220</v>
      </c>
      <c r="K13" s="95" t="s">
        <v>221</v>
      </c>
      <c r="L13" s="92">
        <v>250</v>
      </c>
      <c r="M13" s="87">
        <v>1</v>
      </c>
      <c r="N13" s="87">
        <v>0</v>
      </c>
      <c r="O13" s="87">
        <v>0</v>
      </c>
      <c r="P13" s="93" t="s">
        <v>222</v>
      </c>
      <c r="Q13" s="80" t="s">
        <v>211</v>
      </c>
      <c r="R13" s="80" t="s">
        <v>208</v>
      </c>
      <c r="S13" s="89">
        <v>20</v>
      </c>
      <c r="T13" s="89">
        <v>0</v>
      </c>
      <c r="U13" s="96"/>
      <c r="V13" s="94"/>
      <c r="W13" s="94"/>
      <c r="X13" s="85"/>
    </row>
    <row r="14" spans="1:24">
      <c r="A14" s="70" t="str">
        <f t="shared" si="0"/>
        <v>Delaware (3)</v>
      </c>
      <c r="C14" t="s">
        <v>288</v>
      </c>
      <c r="I14" s="62"/>
      <c r="J14" s="79" t="s">
        <v>223</v>
      </c>
      <c r="K14" s="97"/>
      <c r="L14" s="98"/>
      <c r="M14" s="82">
        <v>0.6</v>
      </c>
      <c r="N14" s="82">
        <v>0.2</v>
      </c>
      <c r="O14" s="82">
        <v>0.2</v>
      </c>
      <c r="P14" s="81"/>
      <c r="Q14" s="80" t="s">
        <v>211</v>
      </c>
      <c r="R14" s="80" t="s">
        <v>208</v>
      </c>
      <c r="S14" s="83">
        <v>20</v>
      </c>
      <c r="T14" s="83">
        <v>2</v>
      </c>
      <c r="U14" s="84"/>
      <c r="V14" s="85"/>
      <c r="W14" s="85"/>
      <c r="X14" s="85"/>
    </row>
    <row r="15" spans="1:24">
      <c r="A15" s="70" t="str">
        <f t="shared" si="0"/>
        <v>Florida</v>
      </c>
      <c r="B15">
        <f>K15</f>
        <v>5.5</v>
      </c>
      <c r="I15" s="62"/>
      <c r="J15" s="79" t="s">
        <v>224</v>
      </c>
      <c r="K15" s="80">
        <v>5.5</v>
      </c>
      <c r="L15" s="92"/>
      <c r="M15" s="82">
        <v>0.5</v>
      </c>
      <c r="N15" s="82">
        <v>0.25</v>
      </c>
      <c r="O15" s="82">
        <v>0.25</v>
      </c>
      <c r="P15" s="81"/>
      <c r="Q15" s="80" t="s">
        <v>211</v>
      </c>
      <c r="R15" s="80" t="s">
        <v>211</v>
      </c>
      <c r="S15" s="83">
        <v>20</v>
      </c>
      <c r="T15" s="83">
        <v>0</v>
      </c>
      <c r="U15" s="84"/>
      <c r="V15" s="85"/>
      <c r="W15" s="85"/>
      <c r="X15" s="85"/>
    </row>
    <row r="16" spans="1:24">
      <c r="A16" s="70" t="str">
        <f t="shared" si="0"/>
        <v>Georgia</v>
      </c>
      <c r="B16" s="62">
        <f t="shared" ref="B16:B55" si="1">K16</f>
        <v>6</v>
      </c>
      <c r="I16" s="62"/>
      <c r="J16" s="79" t="s">
        <v>225</v>
      </c>
      <c r="K16" s="80">
        <v>6</v>
      </c>
      <c r="L16" s="92"/>
      <c r="M16" s="82">
        <v>1</v>
      </c>
      <c r="N16" s="82">
        <v>0</v>
      </c>
      <c r="O16" s="82">
        <v>0</v>
      </c>
      <c r="P16" s="81"/>
      <c r="Q16" s="80" t="s">
        <v>211</v>
      </c>
      <c r="R16" s="80" t="s">
        <v>208</v>
      </c>
      <c r="S16" s="83">
        <v>20</v>
      </c>
      <c r="T16" s="83">
        <v>2</v>
      </c>
      <c r="U16" s="84"/>
      <c r="V16" s="85"/>
      <c r="W16" s="85"/>
      <c r="X16" s="85"/>
    </row>
    <row r="17" spans="1:24">
      <c r="A17" s="70" t="str">
        <f t="shared" si="0"/>
        <v>Hawaii</v>
      </c>
      <c r="B17" s="62">
        <v>5.4</v>
      </c>
      <c r="I17" s="62"/>
      <c r="J17" s="79" t="s">
        <v>226</v>
      </c>
      <c r="K17" s="80" t="s">
        <v>227</v>
      </c>
      <c r="L17" s="92"/>
      <c r="M17" s="82">
        <v>0.33</v>
      </c>
      <c r="N17" s="82">
        <v>0.33</v>
      </c>
      <c r="O17" s="82">
        <v>0.33</v>
      </c>
      <c r="P17" s="99"/>
      <c r="Q17" s="80" t="s">
        <v>208</v>
      </c>
      <c r="R17" s="80" t="s">
        <v>211</v>
      </c>
      <c r="S17" s="83">
        <v>20</v>
      </c>
      <c r="T17" s="83">
        <v>2</v>
      </c>
      <c r="U17" s="90" t="s">
        <v>208</v>
      </c>
      <c r="V17" s="90" t="s">
        <v>212</v>
      </c>
      <c r="W17" s="80" t="s">
        <v>211</v>
      </c>
      <c r="X17" s="85"/>
    </row>
    <row r="18" spans="1:24">
      <c r="A18" s="70" t="str">
        <f t="shared" si="0"/>
        <v>Idaho</v>
      </c>
      <c r="B18" s="62">
        <f t="shared" si="1"/>
        <v>7.4</v>
      </c>
      <c r="I18" s="62"/>
      <c r="J18" s="79" t="s">
        <v>54</v>
      </c>
      <c r="K18" s="80">
        <v>7.4</v>
      </c>
      <c r="L18" s="92">
        <v>20</v>
      </c>
      <c r="M18" s="82">
        <v>0.5</v>
      </c>
      <c r="N18" s="82">
        <v>0.25</v>
      </c>
      <c r="O18" s="82">
        <v>0.25</v>
      </c>
      <c r="P18" s="99"/>
      <c r="Q18" s="80" t="s">
        <v>208</v>
      </c>
      <c r="R18" s="80" t="s">
        <v>211</v>
      </c>
      <c r="S18" s="83">
        <v>20</v>
      </c>
      <c r="T18" s="83">
        <v>2</v>
      </c>
      <c r="U18" s="90" t="s">
        <v>208</v>
      </c>
      <c r="V18" s="90" t="s">
        <v>212</v>
      </c>
      <c r="W18" s="90" t="s">
        <v>219</v>
      </c>
      <c r="X18" s="85"/>
    </row>
    <row r="19" spans="1:24">
      <c r="A19" s="70" t="str">
        <f t="shared" si="0"/>
        <v>Illinois</v>
      </c>
      <c r="B19" s="62">
        <f t="shared" si="1"/>
        <v>9.5</v>
      </c>
      <c r="I19" s="62"/>
      <c r="J19" s="79" t="s">
        <v>228</v>
      </c>
      <c r="K19" s="80">
        <v>9.5</v>
      </c>
      <c r="L19" s="92"/>
      <c r="M19" s="82">
        <v>1</v>
      </c>
      <c r="N19" s="82">
        <v>0</v>
      </c>
      <c r="O19" s="82">
        <v>0</v>
      </c>
      <c r="P19" s="99"/>
      <c r="Q19" s="80" t="s">
        <v>208</v>
      </c>
      <c r="R19" s="80" t="s">
        <v>208</v>
      </c>
      <c r="S19" s="83">
        <v>12</v>
      </c>
      <c r="T19" s="83">
        <v>0</v>
      </c>
      <c r="U19" s="90" t="s">
        <v>208</v>
      </c>
      <c r="V19" s="90" t="s">
        <v>212</v>
      </c>
      <c r="W19" s="80" t="s">
        <v>211</v>
      </c>
      <c r="X19" s="85"/>
    </row>
    <row r="20" spans="1:24">
      <c r="A20" s="70" t="str">
        <f t="shared" si="0"/>
        <v>Indiana</v>
      </c>
      <c r="B20" s="62">
        <f t="shared" si="1"/>
        <v>6</v>
      </c>
      <c r="I20" s="62"/>
      <c r="J20" s="79" t="s">
        <v>229</v>
      </c>
      <c r="K20" s="80">
        <v>6</v>
      </c>
      <c r="L20" s="100"/>
      <c r="M20" s="82">
        <v>1</v>
      </c>
      <c r="N20" s="82">
        <v>0</v>
      </c>
      <c r="O20" s="82">
        <v>0</v>
      </c>
      <c r="P20" s="81"/>
      <c r="Q20" s="80" t="s">
        <v>208</v>
      </c>
      <c r="R20" s="80" t="s">
        <v>208</v>
      </c>
      <c r="S20" s="83">
        <v>20</v>
      </c>
      <c r="T20" s="83">
        <v>0</v>
      </c>
      <c r="U20" s="84"/>
      <c r="V20" s="85"/>
      <c r="W20" s="85"/>
      <c r="X20" s="85"/>
    </row>
    <row r="21" spans="1:24">
      <c r="A21" s="70" t="str">
        <f t="shared" si="0"/>
        <v>Iowa</v>
      </c>
      <c r="B21" s="62">
        <v>9</v>
      </c>
      <c r="I21" s="62"/>
      <c r="J21" s="79" t="s">
        <v>230</v>
      </c>
      <c r="K21" s="80" t="s">
        <v>231</v>
      </c>
      <c r="L21" s="100"/>
      <c r="M21" s="82">
        <v>1</v>
      </c>
      <c r="N21" s="82">
        <v>0</v>
      </c>
      <c r="O21" s="82">
        <v>0</v>
      </c>
      <c r="P21" s="81"/>
      <c r="Q21" s="80" t="s">
        <v>211</v>
      </c>
      <c r="R21" s="80" t="s">
        <v>211</v>
      </c>
      <c r="S21" s="83">
        <v>20</v>
      </c>
      <c r="T21" s="83">
        <v>0</v>
      </c>
      <c r="U21" s="84"/>
      <c r="V21" s="85"/>
      <c r="W21" s="85"/>
      <c r="X21" s="85"/>
    </row>
    <row r="22" spans="1:24">
      <c r="A22" s="70" t="str">
        <f t="shared" si="0"/>
        <v>Kansas</v>
      </c>
      <c r="B22" s="62">
        <v>5.5</v>
      </c>
      <c r="I22" s="62"/>
      <c r="J22" s="79" t="s">
        <v>232</v>
      </c>
      <c r="K22" s="80" t="s">
        <v>233</v>
      </c>
      <c r="L22" s="101"/>
      <c r="M22" s="82">
        <v>0.33</v>
      </c>
      <c r="N22" s="82">
        <v>0.33</v>
      </c>
      <c r="O22" s="82">
        <v>0.33</v>
      </c>
      <c r="P22" s="81"/>
      <c r="Q22" s="80" t="s">
        <v>208</v>
      </c>
      <c r="R22" s="80" t="s">
        <v>211</v>
      </c>
      <c r="S22" s="83">
        <v>10</v>
      </c>
      <c r="T22" s="83">
        <v>2</v>
      </c>
      <c r="U22" s="90" t="s">
        <v>208</v>
      </c>
      <c r="V22" s="90" t="s">
        <v>215</v>
      </c>
      <c r="W22" s="80" t="s">
        <v>211</v>
      </c>
      <c r="X22" s="85"/>
    </row>
    <row r="23" spans="1:24">
      <c r="A23" s="70" t="str">
        <f t="shared" si="0"/>
        <v>Kentucky</v>
      </c>
      <c r="B23" s="62">
        <v>5</v>
      </c>
      <c r="I23" s="62"/>
      <c r="J23" s="79" t="s">
        <v>234</v>
      </c>
      <c r="K23" s="80" t="s">
        <v>235</v>
      </c>
      <c r="L23" s="81"/>
      <c r="M23" s="82">
        <v>0.5</v>
      </c>
      <c r="N23" s="82">
        <v>0.25</v>
      </c>
      <c r="O23" s="82">
        <v>0.25</v>
      </c>
      <c r="P23" s="81"/>
      <c r="Q23" s="80" t="s">
        <v>211</v>
      </c>
      <c r="R23" s="80" t="s">
        <v>208</v>
      </c>
      <c r="S23" s="83">
        <v>20</v>
      </c>
      <c r="T23" s="83">
        <v>0</v>
      </c>
      <c r="U23" s="84"/>
      <c r="V23" s="85"/>
      <c r="W23" s="85"/>
      <c r="X23" s="85"/>
    </row>
    <row r="24" spans="1:24">
      <c r="A24" s="70" t="str">
        <f t="shared" si="0"/>
        <v>Louisiana</v>
      </c>
      <c r="B24" s="62">
        <v>6</v>
      </c>
      <c r="I24" s="62"/>
      <c r="J24" s="79" t="s">
        <v>236</v>
      </c>
      <c r="K24" s="80" t="s">
        <v>237</v>
      </c>
      <c r="L24" s="81"/>
      <c r="M24" s="82">
        <v>1</v>
      </c>
      <c r="N24" s="82">
        <v>0</v>
      </c>
      <c r="O24" s="82">
        <v>0</v>
      </c>
      <c r="P24" s="81"/>
      <c r="Q24" s="80" t="s">
        <v>211</v>
      </c>
      <c r="R24" s="80" t="s">
        <v>211</v>
      </c>
      <c r="S24" s="83">
        <v>20</v>
      </c>
      <c r="T24" s="83">
        <v>0</v>
      </c>
      <c r="U24" s="84"/>
      <c r="V24" s="85"/>
      <c r="W24" s="85"/>
      <c r="X24" s="85"/>
    </row>
    <row r="25" spans="1:24">
      <c r="A25" s="70" t="str">
        <f t="shared" si="0"/>
        <v>Maine</v>
      </c>
      <c r="B25" s="62">
        <v>5</v>
      </c>
      <c r="I25" s="62"/>
      <c r="J25" s="79" t="s">
        <v>238</v>
      </c>
      <c r="K25" s="80" t="s">
        <v>239</v>
      </c>
      <c r="L25" s="81"/>
      <c r="M25" s="82">
        <v>1</v>
      </c>
      <c r="N25" s="82">
        <v>0</v>
      </c>
      <c r="O25" s="82">
        <v>0</v>
      </c>
      <c r="P25" s="81"/>
      <c r="Q25" s="80" t="s">
        <v>208</v>
      </c>
      <c r="R25" s="80" t="s">
        <v>211</v>
      </c>
      <c r="S25" s="83">
        <v>20</v>
      </c>
      <c r="T25" s="83">
        <v>0</v>
      </c>
      <c r="U25" s="90" t="s">
        <v>208</v>
      </c>
      <c r="V25" s="90" t="s">
        <v>212</v>
      </c>
      <c r="W25" s="80" t="s">
        <v>211</v>
      </c>
      <c r="X25" s="85"/>
    </row>
    <row r="26" spans="1:24">
      <c r="A26" s="70" t="str">
        <f t="shared" si="0"/>
        <v>Maryland</v>
      </c>
      <c r="B26" s="62">
        <f t="shared" si="1"/>
        <v>8.25</v>
      </c>
      <c r="I26" s="62"/>
      <c r="J26" s="79" t="s">
        <v>240</v>
      </c>
      <c r="K26" s="80">
        <v>8.25</v>
      </c>
      <c r="L26" s="81"/>
      <c r="M26" s="82">
        <v>0.5</v>
      </c>
      <c r="N26" s="82">
        <v>0.25</v>
      </c>
      <c r="O26" s="82">
        <v>0.25</v>
      </c>
      <c r="P26" s="80" t="s">
        <v>241</v>
      </c>
      <c r="Q26" s="80" t="s">
        <v>211</v>
      </c>
      <c r="R26" s="80" t="s">
        <v>208</v>
      </c>
      <c r="S26" s="83">
        <v>20</v>
      </c>
      <c r="T26" s="83">
        <v>2</v>
      </c>
      <c r="U26" s="84"/>
      <c r="V26" s="85"/>
      <c r="W26" s="85"/>
      <c r="X26" s="85"/>
    </row>
    <row r="27" spans="1:24">
      <c r="A27" s="70" t="str">
        <f t="shared" si="0"/>
        <v>Massachusetts</v>
      </c>
      <c r="B27" s="62">
        <f t="shared" si="1"/>
        <v>8</v>
      </c>
      <c r="I27" s="62"/>
      <c r="J27" s="79" t="s">
        <v>242</v>
      </c>
      <c r="K27" s="80">
        <v>8</v>
      </c>
      <c r="L27" s="81"/>
      <c r="M27" s="82">
        <v>0.5</v>
      </c>
      <c r="N27" s="82">
        <v>0.25</v>
      </c>
      <c r="O27" s="82">
        <v>0.25</v>
      </c>
      <c r="P27" s="80" t="s">
        <v>241</v>
      </c>
      <c r="Q27" s="80" t="s">
        <v>208</v>
      </c>
      <c r="R27" s="80" t="s">
        <v>208</v>
      </c>
      <c r="S27" s="83">
        <v>20</v>
      </c>
      <c r="T27" s="83">
        <v>0</v>
      </c>
      <c r="U27" s="90" t="s">
        <v>208</v>
      </c>
      <c r="V27" s="90" t="s">
        <v>215</v>
      </c>
      <c r="W27" s="80" t="s">
        <v>243</v>
      </c>
      <c r="X27" s="85"/>
    </row>
    <row r="28" spans="1:24">
      <c r="A28" s="70" t="str">
        <f t="shared" si="0"/>
        <v>Michigan</v>
      </c>
      <c r="B28" s="62">
        <f t="shared" si="1"/>
        <v>6</v>
      </c>
      <c r="I28" s="62"/>
      <c r="J28" s="79" t="s">
        <v>244</v>
      </c>
      <c r="K28" s="80">
        <v>6</v>
      </c>
      <c r="L28" s="81"/>
      <c r="M28" s="82">
        <v>1</v>
      </c>
      <c r="N28" s="82">
        <v>0</v>
      </c>
      <c r="O28" s="82">
        <v>0</v>
      </c>
      <c r="P28" s="81"/>
      <c r="Q28" s="80" t="s">
        <v>211</v>
      </c>
      <c r="R28" s="80" t="s">
        <v>208</v>
      </c>
      <c r="S28" s="83">
        <v>10</v>
      </c>
      <c r="T28" s="83">
        <v>0</v>
      </c>
      <c r="U28" s="90" t="s">
        <v>208</v>
      </c>
      <c r="V28" s="90" t="s">
        <v>215</v>
      </c>
      <c r="W28" s="80" t="s">
        <v>211</v>
      </c>
      <c r="X28" s="85"/>
    </row>
    <row r="29" spans="1:24">
      <c r="A29" s="70" t="str">
        <f t="shared" si="0"/>
        <v>Minnesota</v>
      </c>
      <c r="B29" s="62">
        <f t="shared" si="1"/>
        <v>9.8000000000000007</v>
      </c>
      <c r="I29" s="62"/>
      <c r="J29" s="79" t="s">
        <v>245</v>
      </c>
      <c r="K29" s="80">
        <v>9.8000000000000007</v>
      </c>
      <c r="L29" s="81"/>
      <c r="M29" s="82">
        <v>1</v>
      </c>
      <c r="N29" s="82">
        <v>0</v>
      </c>
      <c r="O29" s="82">
        <v>0</v>
      </c>
      <c r="P29" s="81"/>
      <c r="Q29" s="80" t="s">
        <v>211</v>
      </c>
      <c r="R29" s="80" t="s">
        <v>211</v>
      </c>
      <c r="S29" s="83">
        <v>15</v>
      </c>
      <c r="T29" s="83">
        <v>0</v>
      </c>
      <c r="U29" s="90" t="s">
        <v>208</v>
      </c>
      <c r="V29" s="90" t="s">
        <v>212</v>
      </c>
      <c r="W29" s="80" t="s">
        <v>211</v>
      </c>
      <c r="X29" s="85" t="s">
        <v>216</v>
      </c>
    </row>
    <row r="30" spans="1:24">
      <c r="A30" s="70" t="str">
        <f t="shared" si="0"/>
        <v>Mississippi</v>
      </c>
      <c r="B30" s="62">
        <v>4</v>
      </c>
      <c r="I30" s="62"/>
      <c r="J30" s="79" t="s">
        <v>246</v>
      </c>
      <c r="K30" s="80" t="s">
        <v>247</v>
      </c>
      <c r="L30" s="81"/>
      <c r="M30" s="82">
        <v>1</v>
      </c>
      <c r="N30" s="82">
        <v>0</v>
      </c>
      <c r="O30" s="82">
        <v>0</v>
      </c>
      <c r="P30" s="81"/>
      <c r="Q30" s="80" t="s">
        <v>208</v>
      </c>
      <c r="R30" s="80" t="s">
        <v>208</v>
      </c>
      <c r="S30" s="83">
        <v>20</v>
      </c>
      <c r="T30" s="83">
        <v>2</v>
      </c>
      <c r="U30" s="84"/>
      <c r="V30" s="84"/>
      <c r="W30" s="84"/>
      <c r="X30" s="102"/>
    </row>
    <row r="31" spans="1:24">
      <c r="A31" s="70" t="str">
        <f t="shared" si="0"/>
        <v>Missouri</v>
      </c>
      <c r="B31" s="62">
        <f t="shared" si="1"/>
        <v>6.25</v>
      </c>
      <c r="I31" s="62"/>
      <c r="J31" s="79" t="s">
        <v>248</v>
      </c>
      <c r="K31" s="80">
        <v>6.25</v>
      </c>
      <c r="L31" s="81"/>
      <c r="M31" s="82">
        <v>0.33</v>
      </c>
      <c r="N31" s="82">
        <v>0.33</v>
      </c>
      <c r="O31" s="82">
        <v>0.33</v>
      </c>
      <c r="P31" s="81"/>
      <c r="Q31" s="80" t="s">
        <v>208</v>
      </c>
      <c r="R31" s="80" t="s">
        <v>211</v>
      </c>
      <c r="S31" s="83">
        <v>20</v>
      </c>
      <c r="T31" s="83">
        <v>2</v>
      </c>
      <c r="U31" s="84"/>
      <c r="V31" s="84"/>
      <c r="W31" s="84"/>
      <c r="X31" s="102"/>
    </row>
    <row r="32" spans="1:24">
      <c r="A32" s="70" t="str">
        <f t="shared" si="0"/>
        <v>Montana</v>
      </c>
      <c r="B32" s="62">
        <f t="shared" si="1"/>
        <v>6.75</v>
      </c>
      <c r="I32" s="62"/>
      <c r="J32" s="79" t="s">
        <v>55</v>
      </c>
      <c r="K32" s="80">
        <v>6.75</v>
      </c>
      <c r="L32" s="103">
        <v>50</v>
      </c>
      <c r="M32" s="82">
        <v>0.33</v>
      </c>
      <c r="N32" s="82">
        <v>0.33</v>
      </c>
      <c r="O32" s="82">
        <v>0.33</v>
      </c>
      <c r="P32" s="81"/>
      <c r="Q32" s="80" t="s">
        <v>208</v>
      </c>
      <c r="R32" s="80" t="s">
        <v>211</v>
      </c>
      <c r="S32" s="83">
        <v>7</v>
      </c>
      <c r="T32" s="83">
        <v>3</v>
      </c>
      <c r="U32" s="90" t="s">
        <v>208</v>
      </c>
      <c r="V32" s="90" t="s">
        <v>212</v>
      </c>
      <c r="W32" s="90" t="s">
        <v>219</v>
      </c>
      <c r="X32" s="102"/>
    </row>
    <row r="33" spans="1:24">
      <c r="A33" s="70" t="str">
        <f t="shared" si="0"/>
        <v>Nebraska</v>
      </c>
      <c r="B33" s="62">
        <f>(5.8+7.8)/2</f>
        <v>6.8</v>
      </c>
      <c r="I33" s="62"/>
      <c r="J33" s="79" t="s">
        <v>249</v>
      </c>
      <c r="K33" s="80" t="s">
        <v>250</v>
      </c>
      <c r="L33" s="81"/>
      <c r="M33" s="82">
        <v>1</v>
      </c>
      <c r="N33" s="82">
        <v>0</v>
      </c>
      <c r="O33" s="82">
        <v>0</v>
      </c>
      <c r="P33" s="81"/>
      <c r="Q33" s="80" t="s">
        <v>211</v>
      </c>
      <c r="R33" s="80" t="s">
        <v>211</v>
      </c>
      <c r="S33" s="83">
        <v>20</v>
      </c>
      <c r="T33" s="83">
        <v>0</v>
      </c>
      <c r="U33" s="90" t="s">
        <v>208</v>
      </c>
      <c r="V33" s="84"/>
      <c r="W33" s="80" t="s">
        <v>211</v>
      </c>
      <c r="X33" s="102"/>
    </row>
    <row r="34" spans="1:24">
      <c r="A34" s="70" t="str">
        <f t="shared" si="0"/>
        <v>Nevada</v>
      </c>
      <c r="B34" s="62"/>
      <c r="I34" s="62"/>
      <c r="J34" s="79" t="s">
        <v>57</v>
      </c>
      <c r="K34" s="410" t="s">
        <v>251</v>
      </c>
      <c r="L34" s="411"/>
      <c r="M34" s="411"/>
      <c r="N34" s="411"/>
      <c r="O34" s="411"/>
      <c r="P34" s="411"/>
      <c r="Q34" s="411"/>
      <c r="R34" s="411"/>
      <c r="S34" s="411"/>
      <c r="T34" s="411"/>
      <c r="U34" s="411"/>
      <c r="V34" s="411"/>
      <c r="W34" s="412"/>
      <c r="X34" s="71"/>
    </row>
    <row r="35" spans="1:24">
      <c r="A35" s="70" t="str">
        <f t="shared" si="0"/>
        <v>New Hampshire</v>
      </c>
      <c r="B35" s="62">
        <f t="shared" si="1"/>
        <v>8.1999999999999993</v>
      </c>
      <c r="I35" s="62"/>
      <c r="J35" s="79" t="s">
        <v>252</v>
      </c>
      <c r="K35" s="80">
        <v>8.1999999999999993</v>
      </c>
      <c r="L35" s="81"/>
      <c r="M35" s="82">
        <v>0.5</v>
      </c>
      <c r="N35" s="82">
        <v>0.25</v>
      </c>
      <c r="O35" s="82">
        <v>0.25</v>
      </c>
      <c r="P35" s="81"/>
      <c r="Q35" s="80" t="s">
        <v>208</v>
      </c>
      <c r="R35" s="80" t="s">
        <v>211</v>
      </c>
      <c r="S35" s="83">
        <v>10</v>
      </c>
      <c r="T35" s="83">
        <v>0</v>
      </c>
      <c r="U35" s="90" t="s">
        <v>208</v>
      </c>
      <c r="V35" s="90" t="s">
        <v>212</v>
      </c>
      <c r="W35" s="80" t="s">
        <v>211</v>
      </c>
      <c r="X35" s="102"/>
    </row>
    <row r="36" spans="1:24">
      <c r="A36" s="70" t="str">
        <f t="shared" si="0"/>
        <v>New Jersey</v>
      </c>
      <c r="B36" s="62">
        <f t="shared" si="1"/>
        <v>9</v>
      </c>
      <c r="I36" s="62"/>
      <c r="J36" s="79" t="s">
        <v>253</v>
      </c>
      <c r="K36" s="80">
        <v>9</v>
      </c>
      <c r="L36" s="104"/>
      <c r="M36" s="82">
        <v>1</v>
      </c>
      <c r="N36" s="82">
        <v>0</v>
      </c>
      <c r="O36" s="82">
        <v>0</v>
      </c>
      <c r="P36" s="81"/>
      <c r="Q36" s="80" t="s">
        <v>208</v>
      </c>
      <c r="R36" s="80" t="s">
        <v>208</v>
      </c>
      <c r="S36" s="83">
        <v>20</v>
      </c>
      <c r="T36" s="83">
        <v>0</v>
      </c>
      <c r="U36" s="84"/>
      <c r="V36" s="84"/>
      <c r="W36" s="84"/>
      <c r="X36" s="102"/>
    </row>
    <row r="37" spans="1:24" ht="81.400000000000006">
      <c r="A37" s="70" t="str">
        <f t="shared" si="0"/>
        <v>New Mexico</v>
      </c>
      <c r="B37" s="62">
        <v>5.5</v>
      </c>
      <c r="I37" s="62"/>
      <c r="J37" s="86" t="s">
        <v>56</v>
      </c>
      <c r="K37" s="80" t="s">
        <v>254</v>
      </c>
      <c r="L37" s="88"/>
      <c r="M37" s="87">
        <v>1</v>
      </c>
      <c r="N37" s="87">
        <v>0</v>
      </c>
      <c r="O37" s="87">
        <v>0</v>
      </c>
      <c r="P37" s="95"/>
      <c r="Q37" s="80" t="s">
        <v>208</v>
      </c>
      <c r="R37" s="80" t="s">
        <v>211</v>
      </c>
      <c r="S37" s="89">
        <v>20</v>
      </c>
      <c r="T37" s="89">
        <v>0</v>
      </c>
      <c r="U37" s="90" t="s">
        <v>208</v>
      </c>
      <c r="V37" s="90" t="s">
        <v>212</v>
      </c>
      <c r="W37" s="80" t="s">
        <v>211</v>
      </c>
      <c r="X37" s="105" t="s">
        <v>255</v>
      </c>
    </row>
    <row r="38" spans="1:24">
      <c r="A38" s="70" t="str">
        <f t="shared" si="0"/>
        <v>New York</v>
      </c>
      <c r="B38" s="62">
        <f t="shared" si="1"/>
        <v>6.5</v>
      </c>
      <c r="I38" s="62"/>
      <c r="J38" s="79" t="s">
        <v>256</v>
      </c>
      <c r="K38" s="80">
        <v>6.5</v>
      </c>
      <c r="L38" s="106" t="s">
        <v>257</v>
      </c>
      <c r="M38" s="82">
        <v>1</v>
      </c>
      <c r="N38" s="82">
        <v>0</v>
      </c>
      <c r="O38" s="82">
        <v>0</v>
      </c>
      <c r="P38" s="81"/>
      <c r="Q38" s="80" t="s">
        <v>211</v>
      </c>
      <c r="R38" s="80" t="s">
        <v>258</v>
      </c>
      <c r="S38" s="83">
        <v>20</v>
      </c>
      <c r="T38" s="83">
        <v>0</v>
      </c>
      <c r="U38" s="90" t="s">
        <v>208</v>
      </c>
      <c r="V38" s="90" t="s">
        <v>215</v>
      </c>
      <c r="W38" s="80" t="s">
        <v>211</v>
      </c>
      <c r="X38" s="102"/>
    </row>
    <row r="39" spans="1:24">
      <c r="A39" s="70" t="str">
        <f t="shared" ref="A39:A56" si="2">J39</f>
        <v>North Carolina</v>
      </c>
      <c r="B39" s="62">
        <f t="shared" si="1"/>
        <v>3</v>
      </c>
      <c r="I39" s="62"/>
      <c r="J39" s="79" t="s">
        <v>259</v>
      </c>
      <c r="K39" s="80">
        <v>3</v>
      </c>
      <c r="L39" s="81"/>
      <c r="M39" s="82">
        <v>1</v>
      </c>
      <c r="N39" s="82">
        <v>0</v>
      </c>
      <c r="O39" s="82">
        <v>0</v>
      </c>
      <c r="P39" s="81"/>
      <c r="Q39" s="81"/>
      <c r="R39" s="80" t="s">
        <v>258</v>
      </c>
      <c r="S39" s="83">
        <v>15</v>
      </c>
      <c r="T39" s="83">
        <v>0</v>
      </c>
      <c r="U39" s="84"/>
      <c r="V39" s="84"/>
      <c r="W39" s="84"/>
      <c r="X39" s="102"/>
    </row>
    <row r="40" spans="1:24">
      <c r="A40" s="70" t="str">
        <f t="shared" si="2"/>
        <v>North Dakota</v>
      </c>
      <c r="B40" s="62">
        <f>(1.4+4.3)</f>
        <v>5.6999999999999993</v>
      </c>
      <c r="I40" s="62"/>
      <c r="J40" s="79" t="s">
        <v>260</v>
      </c>
      <c r="K40" s="80" t="s">
        <v>261</v>
      </c>
      <c r="L40" s="101" t="s">
        <v>262</v>
      </c>
      <c r="M40" s="82">
        <v>0.75</v>
      </c>
      <c r="N40" s="128">
        <v>0.125</v>
      </c>
      <c r="O40" s="128">
        <v>0.125</v>
      </c>
      <c r="P40" s="81"/>
      <c r="Q40" s="80" t="s">
        <v>208</v>
      </c>
      <c r="R40" s="80" t="s">
        <v>211</v>
      </c>
      <c r="S40" s="83">
        <v>20</v>
      </c>
      <c r="T40" s="83">
        <v>0</v>
      </c>
      <c r="U40" s="90" t="s">
        <v>208</v>
      </c>
      <c r="V40" s="90" t="s">
        <v>212</v>
      </c>
      <c r="W40" s="90" t="s">
        <v>219</v>
      </c>
      <c r="X40" s="102"/>
    </row>
    <row r="41" spans="1:24">
      <c r="A41" s="70" t="str">
        <f t="shared" si="2"/>
        <v>Ohio</v>
      </c>
      <c r="B41" s="62"/>
      <c r="I41" s="62"/>
      <c r="J41" s="86" t="s">
        <v>263</v>
      </c>
      <c r="K41" s="413" t="s">
        <v>264</v>
      </c>
      <c r="L41" s="414"/>
      <c r="M41" s="87"/>
      <c r="N41" s="87"/>
      <c r="O41" s="87"/>
      <c r="P41" s="81"/>
      <c r="Q41" s="80" t="s">
        <v>211</v>
      </c>
      <c r="R41" s="80"/>
      <c r="S41" s="80"/>
      <c r="T41" s="80"/>
      <c r="U41" s="90" t="s">
        <v>208</v>
      </c>
      <c r="V41" s="80"/>
      <c r="W41" s="90" t="s">
        <v>208</v>
      </c>
      <c r="X41" s="71"/>
    </row>
    <row r="42" spans="1:24">
      <c r="A42" s="70" t="str">
        <f t="shared" si="2"/>
        <v>Oklahoma</v>
      </c>
      <c r="B42" s="62">
        <f t="shared" si="1"/>
        <v>6</v>
      </c>
      <c r="I42" s="62"/>
      <c r="J42" s="79" t="s">
        <v>265</v>
      </c>
      <c r="K42" s="80">
        <v>6</v>
      </c>
      <c r="L42" s="81"/>
      <c r="M42" s="82">
        <v>0.33</v>
      </c>
      <c r="N42" s="82">
        <v>0.33</v>
      </c>
      <c r="O42" s="82">
        <v>0.33</v>
      </c>
      <c r="P42" s="81"/>
      <c r="Q42" s="80" t="s">
        <v>208</v>
      </c>
      <c r="R42" s="80" t="s">
        <v>211</v>
      </c>
      <c r="S42" s="107">
        <v>20</v>
      </c>
      <c r="T42" s="107">
        <v>2</v>
      </c>
      <c r="U42" s="84"/>
      <c r="V42" s="84"/>
      <c r="W42" s="84"/>
      <c r="X42" s="102"/>
    </row>
    <row r="43" spans="1:24">
      <c r="A43" s="70" t="str">
        <f t="shared" si="2"/>
        <v>Oregon</v>
      </c>
      <c r="B43" s="62">
        <f>7</f>
        <v>7</v>
      </c>
      <c r="I43" s="62"/>
      <c r="J43" s="79" t="s">
        <v>58</v>
      </c>
      <c r="K43" s="80" t="s">
        <v>266</v>
      </c>
      <c r="L43" s="106" t="s">
        <v>267</v>
      </c>
      <c r="M43" s="82">
        <v>1</v>
      </c>
      <c r="N43" s="82">
        <v>0</v>
      </c>
      <c r="O43" s="82">
        <v>0</v>
      </c>
      <c r="P43" s="81"/>
      <c r="Q43" s="80" t="s">
        <v>208</v>
      </c>
      <c r="R43" s="80" t="s">
        <v>208</v>
      </c>
      <c r="S43" s="107">
        <v>15</v>
      </c>
      <c r="T43" s="89">
        <v>0</v>
      </c>
      <c r="U43" s="90" t="s">
        <v>208</v>
      </c>
      <c r="V43" s="90" t="s">
        <v>212</v>
      </c>
      <c r="W43" s="84"/>
      <c r="X43" s="102"/>
    </row>
    <row r="44" spans="1:24">
      <c r="A44" s="70" t="str">
        <f t="shared" si="2"/>
        <v>Pennsylvania</v>
      </c>
      <c r="B44" s="62">
        <f t="shared" si="1"/>
        <v>9.99</v>
      </c>
      <c r="I44" s="62"/>
      <c r="J44" s="79" t="s">
        <v>268</v>
      </c>
      <c r="K44" s="80">
        <v>9.99</v>
      </c>
      <c r="L44" s="101"/>
      <c r="M44" s="82">
        <v>1</v>
      </c>
      <c r="N44" s="82">
        <v>0</v>
      </c>
      <c r="O44" s="82">
        <v>0</v>
      </c>
      <c r="P44" s="81"/>
      <c r="Q44" s="80" t="s">
        <v>211</v>
      </c>
      <c r="R44" s="80" t="s">
        <v>211</v>
      </c>
      <c r="S44" s="107">
        <v>20</v>
      </c>
      <c r="T44" s="89">
        <v>0</v>
      </c>
      <c r="U44" s="84"/>
      <c r="V44" s="84"/>
      <c r="W44" s="84"/>
      <c r="X44" s="102"/>
    </row>
    <row r="45" spans="1:24">
      <c r="A45" s="70" t="str">
        <f t="shared" si="2"/>
        <v>Rhode Island</v>
      </c>
      <c r="B45" s="62">
        <f t="shared" si="1"/>
        <v>7</v>
      </c>
      <c r="I45" s="62"/>
      <c r="J45" s="79" t="s">
        <v>269</v>
      </c>
      <c r="K45" s="80">
        <v>7</v>
      </c>
      <c r="L45" s="103">
        <v>500</v>
      </c>
      <c r="M45" s="82">
        <v>1</v>
      </c>
      <c r="N45" s="82">
        <v>0</v>
      </c>
      <c r="O45" s="82">
        <v>0</v>
      </c>
      <c r="P45" s="81"/>
      <c r="Q45" s="80" t="s">
        <v>208</v>
      </c>
      <c r="R45" s="80" t="s">
        <v>211</v>
      </c>
      <c r="S45" s="107">
        <v>5</v>
      </c>
      <c r="T45" s="89">
        <v>0</v>
      </c>
      <c r="U45" s="84"/>
      <c r="V45" s="84"/>
      <c r="W45" s="84"/>
      <c r="X45" s="102"/>
    </row>
    <row r="46" spans="1:24">
      <c r="A46" s="70" t="str">
        <f t="shared" si="2"/>
        <v>South Carolina</v>
      </c>
      <c r="B46" s="62">
        <f t="shared" si="1"/>
        <v>5</v>
      </c>
      <c r="I46" s="62"/>
      <c r="J46" s="79" t="s">
        <v>270</v>
      </c>
      <c r="K46" s="80">
        <v>5</v>
      </c>
      <c r="L46" s="81"/>
      <c r="M46" s="82">
        <v>1</v>
      </c>
      <c r="N46" s="82">
        <v>0</v>
      </c>
      <c r="O46" s="82">
        <v>0</v>
      </c>
      <c r="P46" s="81"/>
      <c r="Q46" s="80" t="s">
        <v>211</v>
      </c>
      <c r="R46" s="80" t="s">
        <v>208</v>
      </c>
      <c r="S46" s="107">
        <v>20</v>
      </c>
      <c r="T46" s="89">
        <v>0</v>
      </c>
      <c r="U46" s="84"/>
      <c r="V46" s="84"/>
      <c r="W46" s="84"/>
      <c r="X46" s="102"/>
    </row>
    <row r="47" spans="1:24">
      <c r="A47" s="70" t="str">
        <f t="shared" si="2"/>
        <v xml:space="preserve">South Dakota </v>
      </c>
      <c r="B47" s="62"/>
      <c r="I47" s="62"/>
      <c r="J47" s="79" t="s">
        <v>271</v>
      </c>
      <c r="K47" s="410" t="s">
        <v>251</v>
      </c>
      <c r="L47" s="411"/>
      <c r="M47" s="411"/>
      <c r="N47" s="411"/>
      <c r="O47" s="411"/>
      <c r="P47" s="411"/>
      <c r="Q47" s="411"/>
      <c r="R47" s="411"/>
      <c r="S47" s="411"/>
      <c r="T47" s="411"/>
      <c r="U47" s="411"/>
      <c r="V47" s="411"/>
      <c r="W47" s="412"/>
      <c r="X47" s="71"/>
    </row>
    <row r="48" spans="1:24" ht="128.65">
      <c r="A48" s="70" t="str">
        <f t="shared" si="2"/>
        <v>Tennessee</v>
      </c>
      <c r="B48" s="62">
        <f t="shared" si="1"/>
        <v>6.5</v>
      </c>
      <c r="I48" s="62"/>
      <c r="J48" s="86" t="s">
        <v>272</v>
      </c>
      <c r="K48" s="80">
        <v>6.5</v>
      </c>
      <c r="L48" s="88"/>
      <c r="M48" s="87">
        <v>0.6</v>
      </c>
      <c r="N48" s="87">
        <v>0.2</v>
      </c>
      <c r="O48" s="87">
        <v>0.2</v>
      </c>
      <c r="P48" s="88"/>
      <c r="Q48" s="80" t="s">
        <v>211</v>
      </c>
      <c r="R48" s="80" t="s">
        <v>208</v>
      </c>
      <c r="S48" s="108">
        <v>15</v>
      </c>
      <c r="T48" s="89">
        <v>0</v>
      </c>
      <c r="U48" s="90" t="s">
        <v>208</v>
      </c>
      <c r="V48" s="96"/>
      <c r="W48" s="90" t="s">
        <v>208</v>
      </c>
      <c r="X48" s="109" t="s">
        <v>273</v>
      </c>
    </row>
    <row r="49" spans="1:24">
      <c r="A49" s="70" t="str">
        <f t="shared" si="2"/>
        <v>Texas</v>
      </c>
      <c r="B49" s="62"/>
      <c r="I49" s="62"/>
      <c r="J49" s="79" t="s">
        <v>59</v>
      </c>
      <c r="K49" s="413" t="s">
        <v>274</v>
      </c>
      <c r="L49" s="414"/>
      <c r="M49" s="87">
        <v>1</v>
      </c>
      <c r="N49" s="87">
        <v>0</v>
      </c>
      <c r="O49" s="87">
        <v>0</v>
      </c>
      <c r="P49" s="81"/>
      <c r="Q49" s="80" t="s">
        <v>208</v>
      </c>
      <c r="R49" s="80" t="s">
        <v>211</v>
      </c>
      <c r="S49" s="80"/>
      <c r="T49" s="80"/>
      <c r="U49" s="90" t="s">
        <v>208</v>
      </c>
      <c r="V49" s="80"/>
      <c r="W49" s="90" t="s">
        <v>211</v>
      </c>
      <c r="X49" s="71"/>
    </row>
    <row r="50" spans="1:24">
      <c r="A50" s="70" t="str">
        <f t="shared" si="2"/>
        <v>Utah</v>
      </c>
      <c r="B50" s="62">
        <f t="shared" si="1"/>
        <v>5</v>
      </c>
      <c r="I50" s="62"/>
      <c r="J50" s="79" t="s">
        <v>60</v>
      </c>
      <c r="K50" s="80">
        <v>5</v>
      </c>
      <c r="L50" s="110">
        <v>100</v>
      </c>
      <c r="M50" s="82">
        <v>1</v>
      </c>
      <c r="N50" s="82">
        <v>0</v>
      </c>
      <c r="O50" s="82">
        <v>0</v>
      </c>
      <c r="P50" s="81"/>
      <c r="Q50" s="80" t="s">
        <v>208</v>
      </c>
      <c r="R50" s="80" t="s">
        <v>211</v>
      </c>
      <c r="S50" s="107">
        <v>15</v>
      </c>
      <c r="T50" s="107">
        <v>3</v>
      </c>
      <c r="U50" s="90" t="s">
        <v>208</v>
      </c>
      <c r="V50" s="90" t="s">
        <v>215</v>
      </c>
      <c r="W50" s="80" t="s">
        <v>243</v>
      </c>
      <c r="X50" s="102"/>
    </row>
    <row r="51" spans="1:24">
      <c r="A51" s="70" t="str">
        <f t="shared" si="2"/>
        <v>Vermont</v>
      </c>
      <c r="B51" s="62">
        <f>(6+8.5)/2</f>
        <v>7.25</v>
      </c>
      <c r="I51" s="62"/>
      <c r="J51" s="79" t="s">
        <v>275</v>
      </c>
      <c r="K51" s="80" t="s">
        <v>276</v>
      </c>
      <c r="L51" s="103">
        <v>250</v>
      </c>
      <c r="M51" s="82">
        <v>0.5</v>
      </c>
      <c r="N51" s="82">
        <v>0.25</v>
      </c>
      <c r="O51" s="82">
        <v>0.25</v>
      </c>
      <c r="P51" s="81"/>
      <c r="Q51" s="80" t="s">
        <v>208</v>
      </c>
      <c r="R51" s="80" t="s">
        <v>211</v>
      </c>
      <c r="S51" s="107">
        <v>10</v>
      </c>
      <c r="T51" s="89">
        <v>0</v>
      </c>
      <c r="U51" s="90" t="s">
        <v>208</v>
      </c>
      <c r="V51" s="90" t="s">
        <v>212</v>
      </c>
      <c r="W51" s="80" t="s">
        <v>211</v>
      </c>
      <c r="X51" s="102"/>
    </row>
    <row r="52" spans="1:24">
      <c r="A52" s="70" t="str">
        <f t="shared" si="2"/>
        <v>Virginia</v>
      </c>
      <c r="B52" s="62">
        <f t="shared" si="1"/>
        <v>6</v>
      </c>
      <c r="I52" s="62"/>
      <c r="J52" s="79" t="s">
        <v>277</v>
      </c>
      <c r="K52" s="80">
        <v>6</v>
      </c>
      <c r="L52" s="104"/>
      <c r="M52" s="82">
        <v>0.5</v>
      </c>
      <c r="N52" s="82">
        <v>0.25</v>
      </c>
      <c r="O52" s="82">
        <v>0.25</v>
      </c>
      <c r="P52" s="81"/>
      <c r="Q52" s="80" t="s">
        <v>211</v>
      </c>
      <c r="R52" s="80" t="s">
        <v>208</v>
      </c>
      <c r="S52" s="107">
        <v>20</v>
      </c>
      <c r="T52" s="107">
        <v>2</v>
      </c>
      <c r="U52" s="84"/>
      <c r="V52" s="84"/>
      <c r="W52" s="84"/>
      <c r="X52" s="102"/>
    </row>
    <row r="53" spans="1:24">
      <c r="A53" s="70" t="str">
        <f t="shared" si="2"/>
        <v>Washington</v>
      </c>
      <c r="B53" s="62"/>
      <c r="I53" s="62"/>
      <c r="J53" s="79" t="s">
        <v>61</v>
      </c>
      <c r="K53" s="410" t="s">
        <v>251</v>
      </c>
      <c r="L53" s="411"/>
      <c r="M53" s="411"/>
      <c r="N53" s="411"/>
      <c r="O53" s="411"/>
      <c r="P53" s="411"/>
      <c r="Q53" s="411"/>
      <c r="R53" s="411"/>
      <c r="S53" s="411"/>
      <c r="T53" s="411"/>
      <c r="U53" s="411"/>
      <c r="V53" s="411"/>
      <c r="W53" s="412"/>
      <c r="X53" s="102"/>
    </row>
    <row r="54" spans="1:24">
      <c r="A54" s="70" t="str">
        <f t="shared" si="2"/>
        <v>West Virginia</v>
      </c>
      <c r="B54" s="62">
        <f t="shared" si="1"/>
        <v>6.5</v>
      </c>
      <c r="I54" s="62"/>
      <c r="J54" s="79" t="s">
        <v>278</v>
      </c>
      <c r="K54" s="80">
        <v>6.5</v>
      </c>
      <c r="L54" s="81"/>
      <c r="M54" s="82">
        <v>0.5</v>
      </c>
      <c r="N54" s="82">
        <v>0.25</v>
      </c>
      <c r="O54" s="82">
        <v>0.25</v>
      </c>
      <c r="P54" s="81"/>
      <c r="Q54" s="80" t="s">
        <v>208</v>
      </c>
      <c r="R54" s="80" t="s">
        <v>208</v>
      </c>
      <c r="S54" s="107">
        <v>20</v>
      </c>
      <c r="T54" s="107">
        <v>2</v>
      </c>
      <c r="U54" s="90" t="s">
        <v>208</v>
      </c>
      <c r="V54" s="90" t="s">
        <v>212</v>
      </c>
      <c r="W54" s="80" t="s">
        <v>243</v>
      </c>
      <c r="X54" s="102"/>
    </row>
    <row r="55" spans="1:24">
      <c r="A55" s="70" t="str">
        <f t="shared" si="2"/>
        <v>Wisconsin</v>
      </c>
      <c r="B55" s="62">
        <f t="shared" si="1"/>
        <v>7.9</v>
      </c>
      <c r="I55" s="62"/>
      <c r="J55" s="79" t="s">
        <v>279</v>
      </c>
      <c r="K55" s="80">
        <v>7.9</v>
      </c>
      <c r="L55" s="101"/>
      <c r="M55" s="82">
        <v>1</v>
      </c>
      <c r="N55" s="82">
        <v>0</v>
      </c>
      <c r="O55" s="82">
        <v>0</v>
      </c>
      <c r="P55" s="81"/>
      <c r="Q55" s="80" t="s">
        <v>208</v>
      </c>
      <c r="R55" s="80" t="s">
        <v>208</v>
      </c>
      <c r="S55" s="107">
        <v>20</v>
      </c>
      <c r="T55" s="89">
        <v>0</v>
      </c>
      <c r="U55" s="90" t="s">
        <v>208</v>
      </c>
      <c r="V55" s="90" t="s">
        <v>215</v>
      </c>
      <c r="W55" s="80" t="s">
        <v>211</v>
      </c>
      <c r="X55" s="102"/>
    </row>
    <row r="56" spans="1:24">
      <c r="A56" s="70" t="str">
        <f t="shared" si="2"/>
        <v>Wyoming</v>
      </c>
      <c r="B56" s="62"/>
      <c r="I56" s="62"/>
      <c r="J56" s="79" t="s">
        <v>62</v>
      </c>
      <c r="K56" s="410" t="s">
        <v>251</v>
      </c>
      <c r="L56" s="411"/>
      <c r="M56" s="411"/>
      <c r="N56" s="411"/>
      <c r="O56" s="411"/>
      <c r="P56" s="411"/>
      <c r="Q56" s="411"/>
      <c r="R56" s="411"/>
      <c r="S56" s="411"/>
      <c r="T56" s="411"/>
      <c r="U56" s="411"/>
      <c r="V56" s="411"/>
      <c r="W56" s="412"/>
      <c r="X56" s="102"/>
    </row>
    <row r="57" spans="1:24">
      <c r="A57" s="70"/>
      <c r="B57" s="62"/>
      <c r="I57" s="62"/>
      <c r="J57" s="111" t="s">
        <v>280</v>
      </c>
      <c r="K57" s="112">
        <v>8.25</v>
      </c>
      <c r="L57" s="113">
        <v>100</v>
      </c>
      <c r="M57" s="114">
        <v>1</v>
      </c>
      <c r="N57" s="114">
        <v>0</v>
      </c>
      <c r="O57" s="114">
        <v>0</v>
      </c>
      <c r="P57" s="115"/>
      <c r="Q57" s="112" t="s">
        <v>208</v>
      </c>
      <c r="R57" s="112" t="s">
        <v>208</v>
      </c>
      <c r="S57" s="116">
        <v>20</v>
      </c>
      <c r="T57" s="117">
        <v>0</v>
      </c>
      <c r="U57" s="112" t="s">
        <v>208</v>
      </c>
      <c r="V57" s="112" t="s">
        <v>212</v>
      </c>
      <c r="W57" s="112" t="s">
        <v>211</v>
      </c>
      <c r="X57" s="118"/>
    </row>
    <row r="58" spans="1:24">
      <c r="I58" s="62"/>
      <c r="J58" s="119" t="s">
        <v>0</v>
      </c>
      <c r="K58" s="120"/>
      <c r="L58" s="120"/>
      <c r="M58" s="82"/>
      <c r="N58" s="120"/>
      <c r="O58" s="121"/>
      <c r="P58" s="121"/>
      <c r="Q58" s="122"/>
      <c r="R58" s="123"/>
      <c r="S58" s="123"/>
      <c r="T58" s="102"/>
      <c r="U58" s="102"/>
      <c r="V58" s="102"/>
      <c r="W58" s="102"/>
      <c r="X58" s="102"/>
    </row>
    <row r="59" spans="1:24">
      <c r="I59" s="62"/>
      <c r="J59" s="119" t="s">
        <v>281</v>
      </c>
      <c r="K59" s="120"/>
      <c r="L59" s="120"/>
      <c r="M59" s="124"/>
      <c r="N59" s="120"/>
      <c r="O59" s="121"/>
      <c r="P59" s="121"/>
      <c r="Q59" s="122"/>
      <c r="R59" s="123"/>
      <c r="S59" s="123"/>
      <c r="T59" s="102"/>
      <c r="U59" s="102"/>
      <c r="V59" s="102"/>
      <c r="W59" s="102"/>
      <c r="X59" s="102"/>
    </row>
    <row r="60" spans="1:24">
      <c r="I60" s="62"/>
      <c r="J60" s="119" t="s">
        <v>282</v>
      </c>
      <c r="K60" s="120"/>
      <c r="L60" s="120"/>
      <c r="M60" s="124"/>
      <c r="N60" s="120"/>
      <c r="O60" s="121"/>
      <c r="P60" s="121"/>
      <c r="Q60" s="122"/>
      <c r="R60" s="123"/>
      <c r="S60" s="123"/>
      <c r="T60" s="102"/>
      <c r="U60" s="102"/>
      <c r="V60" s="102"/>
      <c r="W60" s="102"/>
      <c r="X60" s="102"/>
    </row>
    <row r="61" spans="1:24">
      <c r="I61" s="62"/>
      <c r="J61" s="119" t="s">
        <v>283</v>
      </c>
      <c r="K61" s="121"/>
      <c r="L61" s="121"/>
      <c r="M61" s="121"/>
      <c r="N61" s="121"/>
      <c r="O61" s="121"/>
      <c r="P61" s="121"/>
      <c r="Q61" s="121"/>
      <c r="R61" s="123"/>
      <c r="S61" s="123"/>
      <c r="T61" s="102"/>
      <c r="U61" s="102"/>
      <c r="V61" s="102"/>
      <c r="W61" s="102"/>
      <c r="X61" s="102"/>
    </row>
    <row r="62" spans="1:24">
      <c r="I62" s="62"/>
      <c r="J62" s="119" t="s">
        <v>284</v>
      </c>
      <c r="K62" s="121"/>
      <c r="L62" s="121"/>
      <c r="M62" s="121"/>
      <c r="N62" s="121"/>
      <c r="O62" s="121"/>
      <c r="P62" s="121"/>
      <c r="Q62" s="121"/>
      <c r="R62" s="123"/>
      <c r="S62" s="123"/>
      <c r="T62" s="102"/>
      <c r="U62" s="102"/>
      <c r="V62" s="102"/>
      <c r="W62" s="102"/>
      <c r="X62" s="102"/>
    </row>
    <row r="63" spans="1:24">
      <c r="I63" s="62"/>
      <c r="J63" s="119" t="s">
        <v>285</v>
      </c>
      <c r="K63" s="121"/>
      <c r="L63" s="121"/>
      <c r="M63" s="121"/>
      <c r="N63" s="121"/>
      <c r="O63" s="121"/>
      <c r="P63" s="121"/>
      <c r="Q63" s="121"/>
      <c r="R63" s="123"/>
      <c r="S63" s="123"/>
      <c r="T63" s="102"/>
      <c r="U63" s="102"/>
      <c r="V63" s="102"/>
      <c r="W63" s="102"/>
      <c r="X63" s="102"/>
    </row>
    <row r="64" spans="1:24">
      <c r="I64" s="62"/>
      <c r="J64" s="119"/>
      <c r="K64" s="121"/>
      <c r="L64" s="121"/>
      <c r="M64" s="121"/>
      <c r="N64" s="121"/>
      <c r="O64" s="121"/>
      <c r="P64" s="121"/>
      <c r="Q64" s="121"/>
      <c r="R64" s="123"/>
      <c r="S64" s="123"/>
      <c r="T64" s="102"/>
      <c r="U64" s="102"/>
      <c r="V64" s="102"/>
      <c r="W64" s="102"/>
      <c r="X64" s="102"/>
    </row>
    <row r="65" spans="9:24">
      <c r="I65" s="62"/>
      <c r="J65" s="119" t="s">
        <v>286</v>
      </c>
      <c r="K65" s="121"/>
      <c r="L65" s="121"/>
      <c r="M65" s="121"/>
      <c r="N65" s="121"/>
      <c r="O65" s="121"/>
      <c r="P65" s="121"/>
      <c r="Q65" s="121"/>
      <c r="R65" s="123"/>
      <c r="S65" s="123"/>
      <c r="T65" s="102"/>
      <c r="U65" s="102"/>
      <c r="V65" s="102"/>
      <c r="W65" s="102"/>
      <c r="X65" s="102"/>
    </row>
    <row r="66" spans="9:24">
      <c r="I66" s="62"/>
      <c r="J66" s="71"/>
      <c r="K66" s="120"/>
      <c r="L66" s="120"/>
      <c r="M66" s="120"/>
      <c r="N66" s="120"/>
      <c r="O66" s="121"/>
      <c r="P66" s="121"/>
      <c r="Q66" s="121"/>
      <c r="R66" s="121"/>
      <c r="S66" s="121"/>
      <c r="T66" s="121"/>
      <c r="U66" s="121"/>
      <c r="V66" s="121"/>
      <c r="W66" s="121"/>
      <c r="X66" s="121"/>
    </row>
    <row r="67" spans="9:24">
      <c r="I67" s="62"/>
      <c r="J67" s="71"/>
      <c r="K67" s="125"/>
      <c r="L67" s="125"/>
      <c r="M67" s="125"/>
      <c r="N67" s="125"/>
      <c r="O67" s="125"/>
      <c r="P67" s="125"/>
      <c r="Q67" s="125"/>
      <c r="R67" s="125"/>
      <c r="S67" s="125"/>
      <c r="T67" s="125"/>
      <c r="U67" s="125"/>
      <c r="V67" s="125"/>
      <c r="W67" s="125"/>
      <c r="X67" s="125"/>
    </row>
    <row r="68" spans="9:24">
      <c r="I68" s="62"/>
      <c r="J68" s="71"/>
      <c r="K68" s="125"/>
      <c r="L68" s="125"/>
      <c r="M68" s="125"/>
      <c r="N68" s="125"/>
      <c r="O68" s="125"/>
      <c r="P68" s="125"/>
      <c r="Q68" s="125"/>
      <c r="R68" s="125"/>
      <c r="S68" s="125"/>
      <c r="T68" s="125"/>
      <c r="U68" s="125"/>
      <c r="V68" s="125"/>
      <c r="W68" s="125"/>
      <c r="X68" s="125"/>
    </row>
  </sheetData>
  <mergeCells count="18">
    <mergeCell ref="K56:W56"/>
    <mergeCell ref="S4:S5"/>
    <mergeCell ref="T4:T5"/>
    <mergeCell ref="U4:U5"/>
    <mergeCell ref="V4:V5"/>
    <mergeCell ref="K53:W53"/>
    <mergeCell ref="K34:W34"/>
    <mergeCell ref="K41:L41"/>
    <mergeCell ref="K47:W47"/>
    <mergeCell ref="K49:L49"/>
    <mergeCell ref="X4:X5"/>
    <mergeCell ref="K4:K5"/>
    <mergeCell ref="L4:L5"/>
    <mergeCell ref="M4:O4"/>
    <mergeCell ref="P4:P5"/>
    <mergeCell ref="Q4:Q5"/>
    <mergeCell ref="R4:R5"/>
    <mergeCell ref="W4:W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activeCell="B1" sqref="B1"/>
    </sheetView>
  </sheetViews>
  <sheetFormatPr defaultRowHeight="14.25"/>
  <cols>
    <col min="1" max="1" width="59.3984375" customWidth="1"/>
    <col min="2" max="2" width="12.86328125" bestFit="1" customWidth="1"/>
    <col min="3" max="3" width="19.86328125" customWidth="1"/>
    <col min="5" max="5" width="11.86328125" bestFit="1" customWidth="1"/>
    <col min="8" max="8" width="12" bestFit="1" customWidth="1"/>
  </cols>
  <sheetData>
    <row r="1" spans="1:2" s="131" customFormat="1">
      <c r="A1" s="131" t="s">
        <v>406</v>
      </c>
      <c r="B1" s="132">
        <f>B5/B3</f>
        <v>6.4534415621837322E-7</v>
      </c>
    </row>
    <row r="2" spans="1:2" s="131" customFormat="1"/>
    <row r="3" spans="1:2" s="131" customFormat="1">
      <c r="A3" t="s">
        <v>139</v>
      </c>
      <c r="B3">
        <f>SUM(E53:O53)</f>
        <v>309726210540541.56</v>
      </c>
    </row>
    <row r="4" spans="1:2" s="131" customFormat="1"/>
    <row r="5" spans="1:2" s="131" customFormat="1">
      <c r="A5" s="53" t="s">
        <v>398</v>
      </c>
      <c r="B5" s="60">
        <f>B15*B9</f>
        <v>199880000</v>
      </c>
    </row>
    <row r="6" spans="1:2" s="131" customFormat="1"/>
    <row r="7" spans="1:2" s="131" customFormat="1">
      <c r="A7" s="53" t="s">
        <v>69</v>
      </c>
    </row>
    <row r="8" spans="1:2" s="131" customFormat="1">
      <c r="A8" s="131" t="s">
        <v>392</v>
      </c>
    </row>
    <row r="9" spans="1:2" s="131" customFormat="1">
      <c r="A9" s="131" t="s">
        <v>393</v>
      </c>
      <c r="B9" s="60">
        <f>1/2*D34*1000</f>
        <v>19988000</v>
      </c>
    </row>
    <row r="10" spans="1:2" s="131" customFormat="1">
      <c r="B10" s="60"/>
    </row>
    <row r="11" spans="1:2" s="131" customFormat="1">
      <c r="A11" s="53" t="s">
        <v>405</v>
      </c>
      <c r="B11" s="60"/>
    </row>
    <row r="12" spans="1:2" s="131" customFormat="1">
      <c r="B12" s="131" t="s">
        <v>395</v>
      </c>
    </row>
    <row r="13" spans="1:2" s="131" customFormat="1">
      <c r="A13" s="131" t="s">
        <v>394</v>
      </c>
      <c r="B13" s="131">
        <v>2</v>
      </c>
    </row>
    <row r="14" spans="1:2" s="131" customFormat="1">
      <c r="A14" s="131" t="s">
        <v>396</v>
      </c>
      <c r="B14" s="131">
        <v>8</v>
      </c>
    </row>
    <row r="15" spans="1:2" s="131" customFormat="1">
      <c r="A15" s="131" t="s">
        <v>397</v>
      </c>
      <c r="B15" s="131">
        <f>B13+B14</f>
        <v>10</v>
      </c>
    </row>
    <row r="16" spans="1:2" s="131" customFormat="1"/>
    <row r="17" spans="1:5" s="131" customFormat="1"/>
    <row r="18" spans="1:5" s="131" customFormat="1"/>
    <row r="19" spans="1:5" s="62" customFormat="1">
      <c r="A19" t="s">
        <v>140</v>
      </c>
      <c r="B19" s="44">
        <f>C28/B3</f>
        <v>1.5488259749240957E-6</v>
      </c>
      <c r="D19" s="62">
        <f>$B$60</f>
        <v>0</v>
      </c>
      <c r="E19" s="62" t="s">
        <v>399</v>
      </c>
    </row>
    <row r="20" spans="1:5" s="62" customFormat="1">
      <c r="A20" s="62" t="s">
        <v>141</v>
      </c>
      <c r="B20" s="63"/>
      <c r="D20" s="132" t="e">
        <f>B5/D19</f>
        <v>#DIV/0!</v>
      </c>
      <c r="E20" s="62" t="s">
        <v>400</v>
      </c>
    </row>
    <row r="21" spans="1:5" s="62" customFormat="1"/>
    <row r="22" spans="1:5">
      <c r="A22" t="s">
        <v>353</v>
      </c>
    </row>
    <row r="23" spans="1:5">
      <c r="A23" s="52" t="s">
        <v>135</v>
      </c>
    </row>
    <row r="24" spans="1:5" s="131" customFormat="1"/>
    <row r="25" spans="1:5">
      <c r="A25" s="52" t="s">
        <v>354</v>
      </c>
      <c r="C25" s="60">
        <f>D34*1000</f>
        <v>39976000</v>
      </c>
    </row>
    <row r="26" spans="1:5" s="131" customFormat="1">
      <c r="A26" s="131" t="s">
        <v>358</v>
      </c>
      <c r="C26" s="60">
        <f>C25*2</f>
        <v>79952000</v>
      </c>
    </row>
    <row r="27" spans="1:5" s="62" customFormat="1"/>
    <row r="28" spans="1:5" s="62" customFormat="1">
      <c r="A28" s="6" t="s">
        <v>359</v>
      </c>
      <c r="C28" s="60">
        <f>10*C25+C26</f>
        <v>479712000</v>
      </c>
    </row>
    <row r="29" spans="1:5" s="131" customFormat="1"/>
    <row r="30" spans="1:5" s="62" customFormat="1"/>
    <row r="31" spans="1:5">
      <c r="A31" t="s">
        <v>133</v>
      </c>
    </row>
    <row r="32" spans="1:5">
      <c r="A32" s="52" t="s">
        <v>115</v>
      </c>
      <c r="B32" s="52" t="s">
        <v>116</v>
      </c>
      <c r="C32" s="52" t="s">
        <v>117</v>
      </c>
      <c r="D32" s="52" t="s">
        <v>125</v>
      </c>
      <c r="E32" s="52"/>
    </row>
    <row r="33" spans="1:5">
      <c r="A33" s="52">
        <v>3500</v>
      </c>
      <c r="B33" s="52" t="s">
        <v>126</v>
      </c>
      <c r="C33" s="52">
        <v>711.9</v>
      </c>
      <c r="D33" s="60">
        <v>470236</v>
      </c>
      <c r="E33" s="52"/>
    </row>
    <row r="34" spans="1:5">
      <c r="A34" s="52">
        <v>3505</v>
      </c>
      <c r="B34" s="52" t="s">
        <v>127</v>
      </c>
      <c r="C34" s="52">
        <v>271.3</v>
      </c>
      <c r="D34" s="60">
        <v>39976</v>
      </c>
      <c r="E34" s="52"/>
    </row>
    <row r="35" spans="1:5">
      <c r="A35" s="52">
        <v>3510</v>
      </c>
      <c r="B35" s="52" t="s">
        <v>128</v>
      </c>
      <c r="C35" s="52">
        <v>205.4</v>
      </c>
      <c r="D35" s="60">
        <v>555260</v>
      </c>
      <c r="E35" s="52"/>
    </row>
    <row r="36" spans="1:5">
      <c r="A36" s="52">
        <v>3515</v>
      </c>
      <c r="B36" s="52" t="s">
        <v>129</v>
      </c>
      <c r="C36" s="52" t="s">
        <v>121</v>
      </c>
      <c r="D36" s="60">
        <v>10111</v>
      </c>
      <c r="E36" s="52"/>
    </row>
    <row r="37" spans="1:5">
      <c r="A37" s="52">
        <v>3525</v>
      </c>
      <c r="B37" s="52" t="s">
        <v>130</v>
      </c>
      <c r="C37" s="52" t="s">
        <v>121</v>
      </c>
      <c r="D37" s="52" t="s">
        <v>119</v>
      </c>
      <c r="E37" s="52"/>
    </row>
    <row r="38" spans="1:5">
      <c r="A38" s="52">
        <v>3530</v>
      </c>
      <c r="B38" s="52" t="s">
        <v>131</v>
      </c>
      <c r="C38" s="52">
        <v>72</v>
      </c>
      <c r="D38" s="60">
        <v>319604</v>
      </c>
      <c r="E38" s="52"/>
    </row>
    <row r="39" spans="1:5">
      <c r="A39" s="52">
        <v>9900100</v>
      </c>
      <c r="B39" s="52" t="s">
        <v>118</v>
      </c>
      <c r="C39" s="52">
        <v>254.8</v>
      </c>
      <c r="D39" s="60">
        <v>54486</v>
      </c>
      <c r="E39" s="52"/>
    </row>
    <row r="40" spans="1:5">
      <c r="A40" s="52">
        <v>9900200</v>
      </c>
      <c r="B40" s="52" t="s">
        <v>120</v>
      </c>
      <c r="C40" s="52" t="s">
        <v>121</v>
      </c>
      <c r="D40" s="60">
        <v>-54486</v>
      </c>
      <c r="E40" s="52"/>
    </row>
    <row r="41" spans="1:5">
      <c r="A41" s="52" t="s">
        <v>122</v>
      </c>
      <c r="B41" s="52"/>
      <c r="C41" s="61">
        <v>1515.4</v>
      </c>
      <c r="D41" s="60">
        <v>1395187</v>
      </c>
      <c r="E41" s="52"/>
    </row>
    <row r="42" spans="1:5">
      <c r="A42" s="52"/>
      <c r="B42" s="52" t="s">
        <v>123</v>
      </c>
      <c r="C42" s="52" t="s">
        <v>121</v>
      </c>
      <c r="D42" s="52" t="s">
        <v>119</v>
      </c>
      <c r="E42" s="52"/>
    </row>
    <row r="43" spans="1:5">
      <c r="A43" s="52" t="s">
        <v>124</v>
      </c>
      <c r="B43" s="52"/>
      <c r="C43" s="61">
        <v>1515.4</v>
      </c>
      <c r="D43" s="60">
        <v>1395187</v>
      </c>
      <c r="E43" s="52"/>
    </row>
    <row r="45" spans="1:5">
      <c r="A45" t="s">
        <v>136</v>
      </c>
    </row>
    <row r="46" spans="1:5">
      <c r="A46" s="3" t="s">
        <v>132</v>
      </c>
    </row>
    <row r="50" spans="1:15">
      <c r="B50">
        <v>2017</v>
      </c>
      <c r="C50">
        <v>2018</v>
      </c>
      <c r="D50">
        <v>2019</v>
      </c>
      <c r="E50">
        <v>2020</v>
      </c>
      <c r="F50">
        <v>2021</v>
      </c>
      <c r="G50">
        <v>2022</v>
      </c>
      <c r="H50">
        <v>2023</v>
      </c>
      <c r="I50">
        <v>2024</v>
      </c>
      <c r="J50">
        <v>2025</v>
      </c>
      <c r="K50">
        <v>2026</v>
      </c>
      <c r="L50">
        <v>2027</v>
      </c>
      <c r="M50">
        <v>2028</v>
      </c>
      <c r="N50">
        <v>2029</v>
      </c>
      <c r="O50">
        <v>2030</v>
      </c>
    </row>
    <row r="51" spans="1:15">
      <c r="A51" t="s">
        <v>137</v>
      </c>
      <c r="B51">
        <v>1112581418304574.7</v>
      </c>
      <c r="C51">
        <v>1107837649624641.5</v>
      </c>
      <c r="D51">
        <v>1042950169635923.5</v>
      </c>
      <c r="E51">
        <v>1027172114641775</v>
      </c>
      <c r="F51">
        <v>1008930796460726.5</v>
      </c>
      <c r="G51">
        <v>991664075254382.75</v>
      </c>
      <c r="H51">
        <v>975998722677214</v>
      </c>
      <c r="I51">
        <v>959930151234222.25</v>
      </c>
      <c r="J51">
        <v>953630764091645.75</v>
      </c>
      <c r="K51">
        <v>948306560715915.25</v>
      </c>
      <c r="L51">
        <v>941226710492495.25</v>
      </c>
      <c r="M51">
        <v>934681720593733.5</v>
      </c>
      <c r="N51">
        <v>928778130872893.62</v>
      </c>
      <c r="O51">
        <v>922625138751276.25</v>
      </c>
    </row>
    <row r="52" spans="1:15">
      <c r="A52" t="s">
        <v>138</v>
      </c>
      <c r="B52">
        <v>0</v>
      </c>
      <c r="C52">
        <v>0</v>
      </c>
      <c r="D52">
        <v>0</v>
      </c>
      <c r="E52">
        <v>0</v>
      </c>
      <c r="F52">
        <v>0</v>
      </c>
      <c r="G52" s="52">
        <v>0</v>
      </c>
      <c r="H52" s="52">
        <f>B56/100</f>
        <v>0.16666666666666669</v>
      </c>
      <c r="I52" s="52">
        <f>H52+($B$56/100)</f>
        <v>0.33333333333333337</v>
      </c>
      <c r="J52" s="131">
        <f t="shared" ref="J52:M52" si="0">I52+($B$56/100)</f>
        <v>0.5</v>
      </c>
      <c r="K52" s="131">
        <f t="shared" si="0"/>
        <v>0.66666666666666674</v>
      </c>
      <c r="L52" s="131">
        <f t="shared" si="0"/>
        <v>0.83333333333333348</v>
      </c>
      <c r="M52" s="131">
        <f t="shared" si="0"/>
        <v>1.0000000000000002</v>
      </c>
      <c r="N52" s="52">
        <v>1</v>
      </c>
      <c r="O52" s="52">
        <v>1</v>
      </c>
    </row>
    <row r="53" spans="1:15">
      <c r="A53" s="6"/>
      <c r="E53">
        <f>0.1*E52*E51</f>
        <v>0</v>
      </c>
      <c r="F53" s="52">
        <f t="shared" ref="F53:G53" si="1">0.1*F52*F51</f>
        <v>0</v>
      </c>
      <c r="G53" s="52">
        <f t="shared" si="1"/>
        <v>0</v>
      </c>
      <c r="H53" s="52">
        <f>$B$54*H52*H51</f>
        <v>9759987226772.1406</v>
      </c>
      <c r="I53" s="131">
        <f t="shared" ref="I53:O53" si="2">$B$54*I52*I51</f>
        <v>19198603024684.445</v>
      </c>
      <c r="J53" s="131">
        <f t="shared" si="2"/>
        <v>28608922922749.371</v>
      </c>
      <c r="K53" s="131">
        <f t="shared" si="2"/>
        <v>37932262428636.609</v>
      </c>
      <c r="L53" s="131">
        <f t="shared" si="2"/>
        <v>47061335524624.773</v>
      </c>
      <c r="M53" s="131">
        <f t="shared" si="2"/>
        <v>56080903235624.023</v>
      </c>
      <c r="N53" s="131">
        <f t="shared" si="2"/>
        <v>55726687852373.617</v>
      </c>
      <c r="O53" s="131">
        <f t="shared" si="2"/>
        <v>55357508325076.57</v>
      </c>
    </row>
    <row r="54" spans="1:15">
      <c r="A54" t="s">
        <v>402</v>
      </c>
      <c r="B54">
        <v>0.06</v>
      </c>
    </row>
    <row r="55" spans="1:15" s="131" customFormat="1">
      <c r="A55" s="131" t="s">
        <v>403</v>
      </c>
      <c r="B55" s="131">
        <v>2028</v>
      </c>
    </row>
    <row r="56" spans="1:15" s="131" customFormat="1">
      <c r="A56" s="131" t="s">
        <v>404</v>
      </c>
      <c r="B56" s="131">
        <f>100/6</f>
        <v>16.666666666666668</v>
      </c>
    </row>
    <row r="57" spans="1:15" s="131" customFormat="1"/>
  </sheetData>
  <hyperlinks>
    <hyperlink ref="A46" r:id="rId1" location="/e/2018-19/Department/3900" display="http://www.ebudget.ca.gov/budget/publication/ - /e/2018-19/Department/39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1" sqref="B1"/>
    </sheetView>
  </sheetViews>
  <sheetFormatPr defaultRowHeight="14.25"/>
  <cols>
    <col min="1" max="1" width="41.86328125" customWidth="1"/>
    <col min="2" max="2" width="18.1328125" bestFit="1" customWidth="1"/>
    <col min="3" max="4" width="17.3984375" bestFit="1" customWidth="1"/>
    <col min="5" max="5" width="16.3984375" bestFit="1" customWidth="1"/>
    <col min="6" max="8" width="15.73046875" bestFit="1" customWidth="1"/>
    <col min="9" max="9" width="19" customWidth="1"/>
    <col min="10" max="12" width="15.73046875" bestFit="1" customWidth="1"/>
    <col min="13" max="13" width="22" customWidth="1"/>
    <col min="14" max="14" width="14.265625" customWidth="1"/>
    <col min="15" max="15" width="14.86328125" bestFit="1" customWidth="1"/>
    <col min="16" max="16" width="20.3984375" customWidth="1"/>
    <col min="17" max="21" width="14.86328125" bestFit="1" customWidth="1"/>
  </cols>
  <sheetData>
    <row r="1" spans="1:21" s="62" customFormat="1">
      <c r="A1" s="53" t="s">
        <v>391</v>
      </c>
      <c r="B1" s="65">
        <f>SUM(B9:M9)</f>
        <v>-5379849.8233511243</v>
      </c>
    </row>
    <row r="3" spans="1:21">
      <c r="B3">
        <f>'Production and earnings'!B1</f>
        <v>1</v>
      </c>
      <c r="C3">
        <f>'Production and earnings'!C1</f>
        <v>2</v>
      </c>
      <c r="D3">
        <f>'Production and earnings'!D1</f>
        <v>3</v>
      </c>
      <c r="E3">
        <f>'Production and earnings'!E1</f>
        <v>4</v>
      </c>
      <c r="F3">
        <f>'Production and earnings'!F1</f>
        <v>5</v>
      </c>
      <c r="G3">
        <f>'Production and earnings'!G1</f>
        <v>6</v>
      </c>
      <c r="H3">
        <f>'Production and earnings'!H1</f>
        <v>7</v>
      </c>
      <c r="I3">
        <f>'Production and earnings'!I1</f>
        <v>8</v>
      </c>
      <c r="J3">
        <f>'Production and earnings'!J1</f>
        <v>9</v>
      </c>
      <c r="K3">
        <f>'Production and earnings'!K1</f>
        <v>10</v>
      </c>
      <c r="L3">
        <f>'Production and earnings'!L1</f>
        <v>11</v>
      </c>
      <c r="M3">
        <f>'Production and earnings'!M1</f>
        <v>12</v>
      </c>
      <c r="N3">
        <f>'Production and earnings'!N1</f>
        <v>13</v>
      </c>
      <c r="O3">
        <f>'Production and earnings'!O1</f>
        <v>14</v>
      </c>
      <c r="P3">
        <f>'Production and earnings'!P1</f>
        <v>15</v>
      </c>
      <c r="Q3">
        <f>'Production and earnings'!Q1</f>
        <v>16</v>
      </c>
      <c r="R3">
        <f>'Production and earnings'!R1</f>
        <v>17</v>
      </c>
      <c r="S3">
        <f>'Production and earnings'!S1</f>
        <v>18</v>
      </c>
      <c r="T3">
        <f>'Production and earnings'!T1</f>
        <v>19</v>
      </c>
      <c r="U3">
        <f>'Production and earnings'!U1</f>
        <v>20</v>
      </c>
    </row>
    <row r="4" spans="1:21" ht="28.5">
      <c r="A4" s="6" t="str">
        <f>'Production and earnings'!A2</f>
        <v>Earnings before interest, taxes, depreciation, and amortization</v>
      </c>
      <c r="B4" s="65">
        <f>'Production and earnings'!B2</f>
        <v>292942385.41746545</v>
      </c>
      <c r="C4" s="65">
        <f>'Production and earnings'!C2</f>
        <v>303059384.74767286</v>
      </c>
      <c r="D4" s="65">
        <f>'Production and earnings'!D2</f>
        <v>306682196.66159612</v>
      </c>
      <c r="E4" s="65">
        <f>'Production and earnings'!E2</f>
        <v>310633242.84930015</v>
      </c>
      <c r="F4" s="65">
        <f>'Production and earnings'!F2</f>
        <v>315728095.73585606</v>
      </c>
      <c r="G4" s="65">
        <f>'Production and earnings'!G2</f>
        <v>319132952.55241203</v>
      </c>
      <c r="H4" s="65">
        <f>'Production and earnings'!H2</f>
        <v>330134127.84877938</v>
      </c>
      <c r="I4" s="65">
        <f>'Production and earnings'!I2</f>
        <v>339731139.30414313</v>
      </c>
      <c r="J4" s="65">
        <f>'Production and earnings'!J2</f>
        <v>349317637.54337323</v>
      </c>
      <c r="K4" s="65">
        <f>'Production and earnings'!K2</f>
        <v>358689231.38052201</v>
      </c>
      <c r="L4" s="65">
        <f>'Production and earnings'!L2</f>
        <v>367577209.57916594</v>
      </c>
      <c r="M4" s="65">
        <f>'Production and earnings'!M2</f>
        <v>376823100.68338454</v>
      </c>
      <c r="N4" s="65">
        <f>'Production and earnings'!N2</f>
        <v>383893955.05216873</v>
      </c>
      <c r="O4" s="65">
        <f>'Production and earnings'!O2</f>
        <v>393985984.4167431</v>
      </c>
      <c r="P4" s="65">
        <f>'Production and earnings'!P2</f>
        <v>409835237.58140886</v>
      </c>
      <c r="Q4" s="65">
        <f>'Production and earnings'!Q2</f>
        <v>429414821.80764896</v>
      </c>
      <c r="R4" s="65">
        <f>'Production and earnings'!R2</f>
        <v>442089237.1922214</v>
      </c>
      <c r="S4" s="65">
        <f>'Production and earnings'!S2</f>
        <v>455112078.39018416</v>
      </c>
      <c r="T4" s="65">
        <f>'Production and earnings'!T2</f>
        <v>468493352.6047734</v>
      </c>
      <c r="U4" s="65">
        <f>'Production and earnings'!U2</f>
        <v>482243364.46624458</v>
      </c>
    </row>
    <row r="5" spans="1:21">
      <c r="A5" t="str">
        <f t="shared" ref="A5:U5" si="0">A28</f>
        <v>Depreciation</v>
      </c>
      <c r="B5" s="65">
        <f t="shared" si="0"/>
        <v>1292687108.1054482</v>
      </c>
      <c r="C5" s="65">
        <f t="shared" si="0"/>
        <v>1206507967.5650852</v>
      </c>
      <c r="D5" s="65">
        <f t="shared" si="0"/>
        <v>1120328827.0247219</v>
      </c>
      <c r="E5" s="65">
        <f t="shared" si="0"/>
        <v>1034149686.4843585</v>
      </c>
      <c r="F5" s="65">
        <f t="shared" si="0"/>
        <v>947970545.94399536</v>
      </c>
      <c r="G5" s="65">
        <f t="shared" si="0"/>
        <v>861791405.40363204</v>
      </c>
      <c r="H5" s="65">
        <f t="shared" si="0"/>
        <v>775612264.86326897</v>
      </c>
      <c r="I5" s="65">
        <f t="shared" si="0"/>
        <v>689433124.32290578</v>
      </c>
      <c r="J5" s="65">
        <f t="shared" si="0"/>
        <v>603253983.78254259</v>
      </c>
      <c r="K5" s="65">
        <f t="shared" si="0"/>
        <v>517074843.24217927</v>
      </c>
      <c r="L5" s="65">
        <f t="shared" si="0"/>
        <v>430895702.70181602</v>
      </c>
      <c r="M5" s="65">
        <f t="shared" si="0"/>
        <v>344716562.16145289</v>
      </c>
      <c r="N5" s="65">
        <f t="shared" si="0"/>
        <v>258537421.62108964</v>
      </c>
      <c r="O5" s="65">
        <f t="shared" si="0"/>
        <v>172358281.08072644</v>
      </c>
      <c r="P5" s="65">
        <f t="shared" si="0"/>
        <v>86179140.540363222</v>
      </c>
      <c r="Q5" s="65">
        <f t="shared" si="0"/>
        <v>0</v>
      </c>
      <c r="R5" s="65">
        <f t="shared" si="0"/>
        <v>0</v>
      </c>
      <c r="S5" s="65">
        <f t="shared" si="0"/>
        <v>0</v>
      </c>
      <c r="T5" s="65">
        <f t="shared" si="0"/>
        <v>0</v>
      </c>
      <c r="U5" s="65">
        <f t="shared" si="0"/>
        <v>0</v>
      </c>
    </row>
    <row r="6" spans="1:21">
      <c r="A6" t="s">
        <v>174</v>
      </c>
      <c r="B6" s="65">
        <f>Debt!B17</f>
        <v>336000000</v>
      </c>
      <c r="C6" s="65">
        <f>Debt!C17</f>
        <v>320287526.12630343</v>
      </c>
      <c r="D6" s="65">
        <f>Debt!D17</f>
        <v>303003804.86523724</v>
      </c>
      <c r="E6" s="65">
        <f>Debt!E17</f>
        <v>283991711.47806442</v>
      </c>
      <c r="F6" s="65">
        <f>Debt!F17</f>
        <v>263078408.75217429</v>
      </c>
      <c r="G6" s="65">
        <f>Debt!G17</f>
        <v>240073775.75369516</v>
      </c>
      <c r="H6" s="65">
        <f>Debt!H17</f>
        <v>214768679.45536816</v>
      </c>
      <c r="I6" s="65">
        <f>Debt!I17</f>
        <v>186933073.52720842</v>
      </c>
      <c r="J6" s="65">
        <f>Debt!J17</f>
        <v>156313907.00623271</v>
      </c>
      <c r="K6" s="65">
        <f>Debt!K17</f>
        <v>122632823.8331594</v>
      </c>
      <c r="L6" s="65">
        <f>Debt!L17</f>
        <v>85583632.342778802</v>
      </c>
      <c r="M6" s="65">
        <f>Debt!M17</f>
        <v>44829521.703360125</v>
      </c>
      <c r="N6" s="65">
        <f>Debt!N17</f>
        <v>0</v>
      </c>
      <c r="O6" s="65">
        <f>Debt!O17</f>
        <v>0</v>
      </c>
      <c r="P6" s="65">
        <f>Debt!P17</f>
        <v>0</v>
      </c>
      <c r="Q6" s="65">
        <f>Debt!Q17</f>
        <v>0</v>
      </c>
      <c r="R6" s="65">
        <f>Debt!R17</f>
        <v>0</v>
      </c>
      <c r="S6" s="65">
        <f>Debt!S17</f>
        <v>0</v>
      </c>
      <c r="T6" s="65">
        <f>Debt!T17</f>
        <v>0</v>
      </c>
      <c r="U6" s="65">
        <f>Debt!U17</f>
        <v>0</v>
      </c>
    </row>
    <row r="7" spans="1:21">
      <c r="A7" t="s">
        <v>175</v>
      </c>
      <c r="B7" s="65">
        <f t="shared" ref="B7:U7" si="1">B4-B5-B6</f>
        <v>-1335744722.6879828</v>
      </c>
      <c r="C7" s="65">
        <f t="shared" si="1"/>
        <v>-1223736108.9437158</v>
      </c>
      <c r="D7" s="65">
        <f t="shared" si="1"/>
        <v>-1116650435.228363</v>
      </c>
      <c r="E7" s="65">
        <f t="shared" si="1"/>
        <v>-1007508155.1131228</v>
      </c>
      <c r="F7" s="65">
        <f t="shared" si="1"/>
        <v>-895320858.96031356</v>
      </c>
      <c r="G7" s="65">
        <f t="shared" si="1"/>
        <v>-782732228.60491514</v>
      </c>
      <c r="H7" s="65">
        <f t="shared" si="1"/>
        <v>-660246816.46985769</v>
      </c>
      <c r="I7" s="65">
        <f t="shared" si="1"/>
        <v>-536635058.54597104</v>
      </c>
      <c r="J7" s="65">
        <f t="shared" si="1"/>
        <v>-410250253.2454021</v>
      </c>
      <c r="K7" s="65">
        <f t="shared" si="1"/>
        <v>-281018435.69481665</v>
      </c>
      <c r="L7" s="65">
        <f t="shared" si="1"/>
        <v>-148902125.46542889</v>
      </c>
      <c r="M7" s="65">
        <f t="shared" si="1"/>
        <v>-12722983.181428477</v>
      </c>
      <c r="N7" s="65">
        <f t="shared" si="1"/>
        <v>125356533.43107909</v>
      </c>
      <c r="O7" s="65">
        <f t="shared" si="1"/>
        <v>221627703.33601665</v>
      </c>
      <c r="P7" s="65">
        <f t="shared" si="1"/>
        <v>323656097.04104567</v>
      </c>
      <c r="Q7" s="65">
        <f t="shared" si="1"/>
        <v>429414821.80764896</v>
      </c>
      <c r="R7" s="65">
        <f t="shared" si="1"/>
        <v>442089237.1922214</v>
      </c>
      <c r="S7" s="65">
        <f t="shared" si="1"/>
        <v>455112078.39018416</v>
      </c>
      <c r="T7" s="65">
        <f t="shared" si="1"/>
        <v>468493352.6047734</v>
      </c>
      <c r="U7" s="65">
        <f t="shared" si="1"/>
        <v>482243364.46624458</v>
      </c>
    </row>
    <row r="8" spans="1:21">
      <c r="A8" t="s">
        <v>389</v>
      </c>
      <c r="B8" s="65">
        <f>B7*$B$15</f>
        <v>-564812977.2650001</v>
      </c>
      <c r="C8" s="65">
        <f t="shared" ref="C8:U8" si="2">C7*$B$15</f>
        <v>-517450694.98630553</v>
      </c>
      <c r="D8" s="65">
        <f t="shared" si="2"/>
        <v>-472170053.28413719</v>
      </c>
      <c r="E8" s="65">
        <f t="shared" si="2"/>
        <v>-426019785.84880847</v>
      </c>
      <c r="F8" s="65">
        <f t="shared" si="2"/>
        <v>-378581948.60707378</v>
      </c>
      <c r="G8" s="65">
        <f t="shared" si="2"/>
        <v>-330974409.20444536</v>
      </c>
      <c r="H8" s="65">
        <f t="shared" si="2"/>
        <v>-279182065.11019701</v>
      </c>
      <c r="I8" s="65">
        <f t="shared" si="2"/>
        <v>-226913451.33087113</v>
      </c>
      <c r="J8" s="65">
        <f t="shared" si="2"/>
        <v>-173472268.33355206</v>
      </c>
      <c r="K8" s="65">
        <f t="shared" si="2"/>
        <v>-118827240.44137475</v>
      </c>
      <c r="L8" s="65">
        <f t="shared" si="2"/>
        <v>-62962519.242429279</v>
      </c>
      <c r="M8" s="65">
        <f t="shared" si="2"/>
        <v>-5379849.8233511243</v>
      </c>
      <c r="N8" s="65">
        <f t="shared" si="2"/>
        <v>53006383.378664643</v>
      </c>
      <c r="O8" s="65">
        <f t="shared" si="2"/>
        <v>93714166.217117965</v>
      </c>
      <c r="P8" s="65">
        <f t="shared" si="2"/>
        <v>136856362.35332096</v>
      </c>
      <c r="Q8" s="65">
        <f t="shared" si="2"/>
        <v>181575910.32725534</v>
      </c>
      <c r="R8" s="65">
        <f t="shared" si="2"/>
        <v>186935223.50054488</v>
      </c>
      <c r="S8" s="65">
        <f t="shared" si="2"/>
        <v>192441866.78689742</v>
      </c>
      <c r="T8" s="65">
        <f t="shared" si="2"/>
        <v>198100071.68216541</v>
      </c>
      <c r="U8" s="65">
        <f t="shared" si="2"/>
        <v>203914195.4477292</v>
      </c>
    </row>
    <row r="9" spans="1:21" s="131" customFormat="1">
      <c r="A9" s="131" t="s">
        <v>390</v>
      </c>
      <c r="B9" s="65">
        <v>0</v>
      </c>
      <c r="C9" s="65">
        <v>0</v>
      </c>
      <c r="D9" s="65">
        <v>0</v>
      </c>
      <c r="E9" s="65">
        <v>0</v>
      </c>
      <c r="F9" s="65">
        <v>0</v>
      </c>
      <c r="G9" s="65">
        <v>0</v>
      </c>
      <c r="H9" s="65">
        <v>0</v>
      </c>
      <c r="I9" s="65">
        <v>0</v>
      </c>
      <c r="J9" s="65">
        <v>0</v>
      </c>
      <c r="K9" s="65">
        <v>0</v>
      </c>
      <c r="L9" s="65">
        <v>0</v>
      </c>
      <c r="M9" s="65">
        <f>M8</f>
        <v>-5379849.8233511243</v>
      </c>
      <c r="N9" s="65"/>
      <c r="O9" s="65"/>
      <c r="P9" s="65"/>
      <c r="Q9" s="65"/>
      <c r="R9" s="65"/>
      <c r="S9" s="65"/>
      <c r="T9" s="65"/>
      <c r="U9" s="65"/>
    </row>
    <row r="10" spans="1:21" s="62" customFormat="1"/>
    <row r="11" spans="1:21" s="62" customFormat="1"/>
    <row r="12" spans="1:21" s="62" customFormat="1"/>
    <row r="13" spans="1:21" s="62" customFormat="1">
      <c r="A13" t="s">
        <v>176</v>
      </c>
      <c r="B13" s="62">
        <f>'Lazard finance model'!$U$30</f>
        <v>0.4</v>
      </c>
    </row>
    <row r="14" spans="1:21">
      <c r="A14" t="s">
        <v>291</v>
      </c>
      <c r="B14">
        <f>'Adjust state corporate tax'!$B$2</f>
        <v>2.2845000000000004</v>
      </c>
    </row>
    <row r="15" spans="1:21" s="62" customFormat="1">
      <c r="A15" s="62" t="s">
        <v>292</v>
      </c>
      <c r="B15" s="62">
        <f>B13+B14/100</f>
        <v>0.42284500000000003</v>
      </c>
    </row>
    <row r="16" spans="1:21" s="62" customFormat="1"/>
    <row r="18" spans="1:21">
      <c r="A18" t="s">
        <v>370</v>
      </c>
    </row>
    <row r="19" spans="1:21" s="131" customFormat="1">
      <c r="A19" s="131" t="s">
        <v>371</v>
      </c>
    </row>
    <row r="20" spans="1:21" s="131" customFormat="1">
      <c r="A20" s="131" t="s">
        <v>369</v>
      </c>
    </row>
    <row r="22" spans="1:21">
      <c r="A22" s="131" t="s">
        <v>368</v>
      </c>
      <c r="B22" s="146">
        <f>B23</f>
        <v>10341496864.843586</v>
      </c>
    </row>
    <row r="23" spans="1:21" s="131" customFormat="1">
      <c r="A23" s="131" t="s">
        <v>368</v>
      </c>
      <c r="B23" s="146">
        <f>Debt!B24+Equity!B15</f>
        <v>10341496864.843586</v>
      </c>
    </row>
    <row r="24" spans="1:21">
      <c r="A24" t="s">
        <v>167</v>
      </c>
      <c r="B24">
        <v>15</v>
      </c>
    </row>
    <row r="25" spans="1:21" s="62" customFormat="1">
      <c r="A25" s="62" t="s">
        <v>168</v>
      </c>
      <c r="B25" s="62">
        <v>0</v>
      </c>
    </row>
    <row r="27" spans="1:21">
      <c r="B27">
        <v>1</v>
      </c>
      <c r="C27">
        <v>2</v>
      </c>
      <c r="D27">
        <v>3</v>
      </c>
      <c r="E27">
        <v>4</v>
      </c>
      <c r="F27">
        <v>5</v>
      </c>
      <c r="G27">
        <v>6</v>
      </c>
      <c r="H27">
        <v>7</v>
      </c>
      <c r="I27">
        <v>8</v>
      </c>
      <c r="J27">
        <v>9</v>
      </c>
      <c r="K27">
        <v>10</v>
      </c>
      <c r="L27">
        <v>11</v>
      </c>
      <c r="M27">
        <v>12</v>
      </c>
      <c r="N27">
        <v>13</v>
      </c>
      <c r="O27">
        <v>14</v>
      </c>
      <c r="P27">
        <v>15</v>
      </c>
      <c r="Q27">
        <v>16</v>
      </c>
      <c r="R27">
        <v>17</v>
      </c>
      <c r="S27">
        <v>18</v>
      </c>
      <c r="T27">
        <v>19</v>
      </c>
      <c r="U27">
        <v>20</v>
      </c>
    </row>
    <row r="28" spans="1:21">
      <c r="A28" t="s">
        <v>166</v>
      </c>
      <c r="B28" s="66">
        <f t="shared" ref="B28:P28" si="3">SYD($B$22,$B$25,$B$24,B27)</f>
        <v>1292687108.1054482</v>
      </c>
      <c r="C28" s="66">
        <f t="shared" si="3"/>
        <v>1206507967.5650852</v>
      </c>
      <c r="D28" s="66">
        <f t="shared" si="3"/>
        <v>1120328827.0247219</v>
      </c>
      <c r="E28" s="66">
        <f t="shared" si="3"/>
        <v>1034149686.4843585</v>
      </c>
      <c r="F28" s="66">
        <f t="shared" si="3"/>
        <v>947970545.94399536</v>
      </c>
      <c r="G28" s="66">
        <f t="shared" si="3"/>
        <v>861791405.40363204</v>
      </c>
      <c r="H28" s="66">
        <f t="shared" si="3"/>
        <v>775612264.86326897</v>
      </c>
      <c r="I28" s="66">
        <f t="shared" si="3"/>
        <v>689433124.32290578</v>
      </c>
      <c r="J28" s="66">
        <f t="shared" si="3"/>
        <v>603253983.78254259</v>
      </c>
      <c r="K28" s="66">
        <f t="shared" si="3"/>
        <v>517074843.24217927</v>
      </c>
      <c r="L28" s="66">
        <f t="shared" si="3"/>
        <v>430895702.70181602</v>
      </c>
      <c r="M28" s="66">
        <f t="shared" si="3"/>
        <v>344716562.16145289</v>
      </c>
      <c r="N28" s="66">
        <f t="shared" si="3"/>
        <v>258537421.62108964</v>
      </c>
      <c r="O28" s="66">
        <f t="shared" si="3"/>
        <v>172358281.08072644</v>
      </c>
      <c r="P28" s="66">
        <f t="shared" si="3"/>
        <v>86179140.540363222</v>
      </c>
      <c r="Q28" s="66">
        <v>0</v>
      </c>
      <c r="R28" s="66">
        <v>0</v>
      </c>
      <c r="S28" s="66">
        <v>0</v>
      </c>
      <c r="T28" s="66">
        <v>0</v>
      </c>
      <c r="U28" s="66">
        <v>0</v>
      </c>
    </row>
    <row r="31" spans="1:21">
      <c r="A31" s="3" t="s">
        <v>164</v>
      </c>
    </row>
    <row r="35" spans="1:7">
      <c r="G35" t="s">
        <v>367</v>
      </c>
    </row>
    <row r="46" spans="1:7">
      <c r="A46">
        <v>8.84</v>
      </c>
      <c r="B46" t="s">
        <v>190</v>
      </c>
    </row>
    <row r="47" spans="1:7">
      <c r="B47" s="3" t="s">
        <v>189</v>
      </c>
    </row>
  </sheetData>
  <hyperlinks>
    <hyperlink ref="A31" r:id="rId1"/>
    <hyperlink ref="B47" r:id="rId2"/>
  </hyperlinks>
  <pageMargins left="0.7" right="0.7" top="0.75" bottom="0.75" header="0.3" footer="0.3"/>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A33" sqref="A33"/>
    </sheetView>
  </sheetViews>
  <sheetFormatPr defaultColWidth="9.1328125" defaultRowHeight="12.75"/>
  <cols>
    <col min="1" max="1" width="30.59765625" style="150" customWidth="1"/>
    <col min="2" max="16384" width="9.1328125" style="150"/>
  </cols>
  <sheetData>
    <row r="1" spans="1:1">
      <c r="A1" s="150" t="s">
        <v>607</v>
      </c>
    </row>
    <row r="3" spans="1:1">
      <c r="A3" s="150" t="s">
        <v>608</v>
      </c>
    </row>
    <row r="5" spans="1:1">
      <c r="A5" s="150" t="s">
        <v>609</v>
      </c>
    </row>
    <row r="6" spans="1:1">
      <c r="A6" s="151" t="s">
        <v>417</v>
      </c>
    </row>
    <row r="8" spans="1:1" ht="14.25">
      <c r="A8" s="380" t="s">
        <v>604</v>
      </c>
    </row>
    <row r="9" spans="1:1" ht="14.25">
      <c r="A9" s="381" t="s">
        <v>605</v>
      </c>
    </row>
    <row r="10" spans="1:1" ht="14.25">
      <c r="A10" s="381" t="s">
        <v>606</v>
      </c>
    </row>
    <row r="11" spans="1:1" ht="14.25">
      <c r="A11" s="380" t="s">
        <v>610</v>
      </c>
    </row>
    <row r="12" spans="1:1" ht="14.25">
      <c r="A12" s="380" t="s">
        <v>416</v>
      </c>
    </row>
    <row r="14" spans="1:1" ht="13.5">
      <c r="A14" s="155"/>
    </row>
    <row r="17" spans="1:5">
      <c r="A17" s="152" t="s">
        <v>415</v>
      </c>
    </row>
    <row r="19" spans="1:5">
      <c r="B19" s="152" t="s">
        <v>414</v>
      </c>
    </row>
    <row r="20" spans="1:5" ht="14.25">
      <c r="A20" s="152" t="s">
        <v>612</v>
      </c>
      <c r="B20" s="149">
        <v>0.75</v>
      </c>
      <c r="C20" s="152"/>
    </row>
    <row r="21" spans="1:5" ht="14.25">
      <c r="A21" s="152" t="s">
        <v>611</v>
      </c>
      <c r="B21" s="149">
        <v>0.25</v>
      </c>
    </row>
    <row r="22" spans="1:5">
      <c r="E22" s="152"/>
    </row>
    <row r="23" spans="1:5">
      <c r="A23" s="152" t="s">
        <v>618</v>
      </c>
      <c r="E23" s="152"/>
    </row>
    <row r="24" spans="1:5">
      <c r="A24" s="152"/>
      <c r="E24" s="152"/>
    </row>
    <row r="25" spans="1:5">
      <c r="B25" s="152" t="s">
        <v>414</v>
      </c>
    </row>
    <row r="26" spans="1:5" ht="14.25">
      <c r="A26" s="152" t="s">
        <v>413</v>
      </c>
      <c r="B26" s="154">
        <v>0.125</v>
      </c>
    </row>
    <row r="27" spans="1:5" ht="14.25">
      <c r="A27" s="152" t="s">
        <v>412</v>
      </c>
      <c r="B27" s="154">
        <f>B26</f>
        <v>0.125</v>
      </c>
    </row>
    <row r="29" spans="1:5">
      <c r="A29" s="152" t="s">
        <v>613</v>
      </c>
    </row>
    <row r="30" spans="1:5">
      <c r="A30" s="152"/>
    </row>
    <row r="31" spans="1:5" ht="25.5">
      <c r="A31" s="153" t="s">
        <v>411</v>
      </c>
      <c r="B31" s="150">
        <v>1</v>
      </c>
    </row>
  </sheetData>
  <hyperlinks>
    <hyperlink ref="A6"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P35"/>
  <sheetViews>
    <sheetView workbookViewId="0">
      <selection activeCell="B7" sqref="B7"/>
    </sheetView>
  </sheetViews>
  <sheetFormatPr defaultColWidth="8.86328125" defaultRowHeight="14.25"/>
  <cols>
    <col min="1" max="1" width="35" customWidth="1"/>
    <col min="2" max="2" width="29.265625" bestFit="1" customWidth="1"/>
    <col min="16" max="16" width="18" bestFit="1" customWidth="1"/>
  </cols>
  <sheetData>
    <row r="1" spans="1:3">
      <c r="A1" s="1" t="s">
        <v>91</v>
      </c>
      <c r="B1" s="49" t="s">
        <v>111</v>
      </c>
    </row>
    <row r="2" spans="1:3">
      <c r="A2" t="s">
        <v>92</v>
      </c>
      <c r="B2" s="132">
        <f>'early retirement'!$A$23</f>
        <v>1.6168366760307604E-4</v>
      </c>
    </row>
    <row r="3" spans="1:3">
      <c r="A3" t="s">
        <v>93</v>
      </c>
      <c r="B3" s="132">
        <v>0</v>
      </c>
    </row>
    <row r="4" spans="1:3">
      <c r="A4" t="s">
        <v>94</v>
      </c>
      <c r="B4" s="132">
        <f>'cogen and WHR + eqpt stds'!$C$29</f>
        <v>2.5584940335071918E-5</v>
      </c>
    </row>
    <row r="5" spans="1:3">
      <c r="A5" t="s">
        <v>95</v>
      </c>
      <c r="B5" s="44">
        <f>'cogen and WHR + eqpt stds'!$C$30</f>
        <v>6.0675747830210071E-6</v>
      </c>
      <c r="C5" s="44"/>
    </row>
    <row r="6" spans="1:3">
      <c r="A6" t="s">
        <v>96</v>
      </c>
      <c r="B6" s="132">
        <f>'substitute fuels for coal'!$A$28</f>
        <v>5.3202760802954588E-6</v>
      </c>
    </row>
    <row r="7" spans="1:3">
      <c r="A7" t="s">
        <v>97</v>
      </c>
      <c r="B7" s="44">
        <f>'Calculate cost solar steam Btu'!$C$17</f>
        <v>9.4901560199180906E-6</v>
      </c>
    </row>
    <row r="8" spans="1:3">
      <c r="A8" t="s">
        <v>98</v>
      </c>
      <c r="B8">
        <v>0</v>
      </c>
    </row>
    <row r="11" spans="1:3">
      <c r="B11" s="132"/>
    </row>
    <row r="27" spans="9:16">
      <c r="P27" s="142"/>
    </row>
    <row r="32" spans="9:16">
      <c r="I32" s="131"/>
      <c r="J32" s="131"/>
      <c r="K32" s="131"/>
      <c r="L32" s="131"/>
      <c r="M32" s="131"/>
      <c r="N32" s="131"/>
      <c r="O32" s="131"/>
    </row>
    <row r="35" spans="16:16">
      <c r="P35" s="14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2" sqref="B22"/>
    </sheetView>
  </sheetViews>
  <sheetFormatPr defaultColWidth="9.1328125" defaultRowHeight="12.75"/>
  <cols>
    <col min="1" max="1" width="20.1328125" style="150" customWidth="1"/>
    <col min="2" max="16384" width="9.1328125" style="150"/>
  </cols>
  <sheetData>
    <row r="1" spans="1:4">
      <c r="A1" s="152" t="s">
        <v>374</v>
      </c>
      <c r="B1" s="150">
        <f>B22*B18+C28*B10+C29*B16</f>
        <v>1.0378925476922605</v>
      </c>
    </row>
    <row r="4" spans="1:4" ht="13.15">
      <c r="A4" s="158" t="s">
        <v>425</v>
      </c>
      <c r="B4" s="158"/>
      <c r="C4" s="158"/>
      <c r="D4" s="158"/>
    </row>
    <row r="6" spans="1:4" ht="13.15">
      <c r="A6" s="157" t="s">
        <v>424</v>
      </c>
    </row>
    <row r="8" spans="1:4">
      <c r="A8" s="152" t="s">
        <v>423</v>
      </c>
      <c r="B8" s="150">
        <f>'SoCal Gas'!B32</f>
        <v>1</v>
      </c>
    </row>
    <row r="9" spans="1:4">
      <c r="A9" s="152" t="s">
        <v>422</v>
      </c>
      <c r="B9" s="150">
        <f>'PG&amp;E calcs- backbone level'!$E$12</f>
        <v>1.0113158552233978</v>
      </c>
    </row>
    <row r="10" spans="1:4" ht="13.15">
      <c r="A10" s="156" t="s">
        <v>418</v>
      </c>
      <c r="B10" s="150">
        <f>(B8+B9)/2</f>
        <v>1.0056579276116988</v>
      </c>
    </row>
    <row r="12" spans="1:4" ht="13.15">
      <c r="A12" s="157" t="s">
        <v>421</v>
      </c>
    </row>
    <row r="14" spans="1:4">
      <c r="A14" s="152" t="s">
        <v>420</v>
      </c>
      <c r="B14" s="150">
        <f>'PG&amp;E calcs - distribution level'!$D$11</f>
        <v>1.3120235970512171</v>
      </c>
    </row>
    <row r="15" spans="1:4">
      <c r="A15" s="152" t="s">
        <v>419</v>
      </c>
      <c r="B15" s="150">
        <f>'SoCal Gas'!E22</f>
        <v>1.282941310801553</v>
      </c>
    </row>
    <row r="16" spans="1:4" ht="13.15">
      <c r="A16" s="156" t="s">
        <v>418</v>
      </c>
      <c r="B16" s="150">
        <f>(B14+B15)/2</f>
        <v>1.2974824539263849</v>
      </c>
    </row>
    <row r="18" spans="1:3" ht="52.5">
      <c r="A18" s="374" t="str">
        <f>'Price natural gas steam EOR'!A31</f>
        <v>Ratio of non-utility supplied price over price for electricity generation</v>
      </c>
      <c r="B18" s="150">
        <f>'Price natural gas steam EOR'!B31</f>
        <v>1</v>
      </c>
    </row>
    <row r="21" spans="1:3">
      <c r="B21" s="150" t="str">
        <f>'Price natural gas steam EOR'!B19</f>
        <v>Shares</v>
      </c>
    </row>
    <row r="22" spans="1:3">
      <c r="A22" s="150" t="str">
        <f>'Price natural gas steam EOR'!A20</f>
        <v xml:space="preserve">Non-utility supplied </v>
      </c>
      <c r="B22" s="150">
        <f>'Price natural gas steam EOR'!B20</f>
        <v>0.75</v>
      </c>
    </row>
    <row r="23" spans="1:3">
      <c r="A23" s="150" t="str">
        <f>'Price natural gas steam EOR'!A21</f>
        <v>Utility supplied</v>
      </c>
      <c r="B23" s="150">
        <f>'Price natural gas steam EOR'!B21</f>
        <v>0.25</v>
      </c>
    </row>
    <row r="25" spans="1:3">
      <c r="A25" s="150" t="str">
        <f>'Price natural gas steam EOR'!A23</f>
        <v>Within the utility supplied segment, assume 50-50</v>
      </c>
    </row>
    <row r="27" spans="1:3">
      <c r="C27" s="150" t="str">
        <f>'Price natural gas steam EOR'!B25</f>
        <v>Shares</v>
      </c>
    </row>
    <row r="28" spans="1:3">
      <c r="B28" s="150" t="str">
        <f>'Price natural gas steam EOR'!A26</f>
        <v>Backbone/Transmission</v>
      </c>
      <c r="C28" s="150">
        <v>0.125</v>
      </c>
    </row>
    <row r="29" spans="1:3">
      <c r="B29" s="150" t="str">
        <f>'Price natural gas steam EOR'!A27</f>
        <v>Retail - highest volume level</v>
      </c>
      <c r="C29" s="150">
        <v>0.125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43"/>
  <sheetViews>
    <sheetView topLeftCell="A4" workbookViewId="0">
      <selection activeCell="J43" sqref="J43"/>
    </sheetView>
  </sheetViews>
  <sheetFormatPr defaultColWidth="9.1328125" defaultRowHeight="12.75"/>
  <cols>
    <col min="1" max="1" width="12.3984375" style="150" bestFit="1" customWidth="1"/>
    <col min="2" max="16384" width="9.1328125" style="150"/>
  </cols>
  <sheetData>
    <row r="12" spans="1:1">
      <c r="A12" s="152" t="s">
        <v>445</v>
      </c>
    </row>
    <row r="14" spans="1:1">
      <c r="A14" s="167" t="s">
        <v>444</v>
      </c>
    </row>
    <row r="15" spans="1:1" ht="14.25">
      <c r="A15" s="166"/>
    </row>
    <row r="17" spans="1:5">
      <c r="A17" s="152" t="s">
        <v>443</v>
      </c>
    </row>
    <row r="19" spans="1:5" ht="13.15">
      <c r="A19" s="158" t="s">
        <v>421</v>
      </c>
      <c r="B19" s="165"/>
      <c r="C19" s="165"/>
    </row>
    <row r="20" spans="1:5">
      <c r="A20" s="150" t="s">
        <v>442</v>
      </c>
      <c r="B20" s="164">
        <v>5.6180000000000003</v>
      </c>
      <c r="C20" s="152" t="s">
        <v>433</v>
      </c>
    </row>
    <row r="21" spans="1:5">
      <c r="A21" s="150" t="s">
        <v>441</v>
      </c>
      <c r="B21" s="150">
        <v>4.3789999999999996</v>
      </c>
      <c r="C21" s="152" t="s">
        <v>433</v>
      </c>
    </row>
    <row r="22" spans="1:5">
      <c r="A22" s="150" t="s">
        <v>440</v>
      </c>
      <c r="D22" s="150" t="s">
        <v>439</v>
      </c>
      <c r="E22" s="150">
        <f>B20/B21</f>
        <v>1.282941310801553</v>
      </c>
    </row>
    <row r="24" spans="1:5">
      <c r="A24" s="152" t="s">
        <v>438</v>
      </c>
    </row>
    <row r="26" spans="1:5" ht="13.15">
      <c r="A26" s="158" t="s">
        <v>435</v>
      </c>
      <c r="B26" s="158"/>
      <c r="C26" s="158"/>
    </row>
    <row r="27" spans="1:5" s="162" customFormat="1" ht="13.15">
      <c r="A27" s="163"/>
      <c r="B27" s="163"/>
      <c r="C27" s="163"/>
    </row>
    <row r="28" spans="1:5">
      <c r="A28" s="152" t="s">
        <v>437</v>
      </c>
    </row>
    <row r="30" spans="1:5">
      <c r="A30" s="152" t="s">
        <v>436</v>
      </c>
    </row>
    <row r="32" spans="1:5">
      <c r="A32" s="161" t="s">
        <v>435</v>
      </c>
      <c r="B32" s="150">
        <v>1</v>
      </c>
    </row>
    <row r="35" spans="1:5" ht="13.15">
      <c r="A35" s="158" t="s">
        <v>434</v>
      </c>
      <c r="B35" s="158"/>
      <c r="C35" s="158"/>
    </row>
    <row r="36" spans="1:5">
      <c r="A36" s="150">
        <v>5.6180000000000003</v>
      </c>
      <c r="B36" s="152" t="s">
        <v>433</v>
      </c>
    </row>
    <row r="37" spans="1:5">
      <c r="A37" s="160">
        <f>A36/1000000</f>
        <v>5.6180000000000003E-6</v>
      </c>
      <c r="B37" s="152" t="s">
        <v>70</v>
      </c>
      <c r="E37" s="152"/>
    </row>
    <row r="38" spans="1:5">
      <c r="A38" s="150" t="s">
        <v>432</v>
      </c>
      <c r="C38" s="150">
        <v>100000</v>
      </c>
      <c r="D38" s="150" t="s">
        <v>72</v>
      </c>
    </row>
    <row r="39" spans="1:5">
      <c r="A39" s="152" t="s">
        <v>431</v>
      </c>
    </row>
    <row r="40" spans="1:5">
      <c r="A40" s="150">
        <f>'EIA annual data'!$N$53</f>
        <v>3.16</v>
      </c>
      <c r="B40" s="152" t="s">
        <v>430</v>
      </c>
    </row>
    <row r="41" spans="1:5">
      <c r="A41" s="150">
        <f>A40/1000</f>
        <v>3.16E-3</v>
      </c>
      <c r="B41" s="152" t="s">
        <v>429</v>
      </c>
    </row>
    <row r="42" spans="1:5" ht="13.15" thickBot="1">
      <c r="A42" s="150">
        <f>A41/1036</f>
        <v>3.0501930501930503E-6</v>
      </c>
      <c r="B42" s="152" t="s">
        <v>70</v>
      </c>
    </row>
    <row r="43" spans="1:5" ht="60.4" thickBot="1">
      <c r="A43" s="152" t="s">
        <v>428</v>
      </c>
      <c r="B43" s="159" t="s">
        <v>427</v>
      </c>
      <c r="C43" s="151" t="s">
        <v>426</v>
      </c>
    </row>
  </sheetData>
  <hyperlinks>
    <hyperlink ref="A14" r:id="rId1"/>
    <hyperlink ref="C43" r:id="rId2"/>
  </hyperlinks>
  <pageMargins left="0.7" right="0.7" top="0.75" bottom="0.75" header="0.3" footer="0.3"/>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workbookViewId="0">
      <selection activeCell="A26" sqref="A26"/>
    </sheetView>
  </sheetViews>
  <sheetFormatPr defaultColWidth="9.1328125" defaultRowHeight="12.75"/>
  <cols>
    <col min="1" max="1" width="24" style="150" customWidth="1"/>
    <col min="2" max="2" width="9.1328125" style="150"/>
    <col min="3" max="3" width="16.265625" style="150" customWidth="1"/>
    <col min="4" max="4" width="16" style="150" customWidth="1"/>
    <col min="5" max="5" width="19.265625" style="150" customWidth="1"/>
    <col min="6" max="16384" width="9.1328125" style="150"/>
  </cols>
  <sheetData>
    <row r="1" spans="1:11" ht="13.15">
      <c r="A1" s="157" t="s">
        <v>463</v>
      </c>
    </row>
    <row r="2" spans="1:11">
      <c r="B2" s="152" t="s">
        <v>462</v>
      </c>
      <c r="C2" s="152" t="s">
        <v>461</v>
      </c>
      <c r="D2" s="152" t="s">
        <v>462</v>
      </c>
      <c r="E2" s="152" t="s">
        <v>461</v>
      </c>
    </row>
    <row r="3" spans="1:11" ht="13.15">
      <c r="A3" s="158" t="s">
        <v>460</v>
      </c>
      <c r="B3" s="158"/>
      <c r="C3" s="158"/>
      <c r="D3" s="158"/>
      <c r="E3" s="158"/>
    </row>
    <row r="4" spans="1:11">
      <c r="B4" s="152" t="s">
        <v>433</v>
      </c>
      <c r="C4" s="152" t="s">
        <v>433</v>
      </c>
      <c r="D4" s="152" t="s">
        <v>70</v>
      </c>
      <c r="E4" s="152" t="s">
        <v>70</v>
      </c>
    </row>
    <row r="6" spans="1:11">
      <c r="A6" s="152" t="s">
        <v>454</v>
      </c>
      <c r="D6" s="152">
        <f>B18</f>
        <v>3.3301158301158306E-6</v>
      </c>
      <c r="E6" s="152">
        <f>B18</f>
        <v>3.3301158301158306E-6</v>
      </c>
    </row>
    <row r="7" spans="1:11">
      <c r="A7" s="152" t="s">
        <v>459</v>
      </c>
      <c r="B7" s="150">
        <f>'PGE electric gen rates'!$K$33</f>
        <v>8.2500000000000004E-3</v>
      </c>
      <c r="C7" s="150">
        <f>'PG&amp;E noncore rates'!$Q$28</f>
        <v>9.219999999999999E-3</v>
      </c>
      <c r="D7" s="150">
        <f>B7/100000</f>
        <v>8.2500000000000004E-8</v>
      </c>
      <c r="E7" s="150">
        <f>C7/100000</f>
        <v>9.2199999999999992E-8</v>
      </c>
    </row>
    <row r="8" spans="1:11">
      <c r="A8" s="152" t="s">
        <v>458</v>
      </c>
      <c r="B8" s="152" t="s">
        <v>457</v>
      </c>
    </row>
    <row r="9" spans="1:11">
      <c r="A9" s="152" t="s">
        <v>456</v>
      </c>
      <c r="C9" s="150">
        <f>'PG&amp;E Schedule G-SUR'!$G$28</f>
        <v>2.891666666666667E-3</v>
      </c>
      <c r="E9" s="150">
        <f>C9/100000</f>
        <v>2.8916666666666671E-8</v>
      </c>
      <c r="H9" s="150" t="s">
        <v>432</v>
      </c>
      <c r="J9" s="150">
        <v>100000</v>
      </c>
      <c r="K9" s="150" t="s">
        <v>72</v>
      </c>
    </row>
    <row r="10" spans="1:11">
      <c r="A10" s="152" t="s">
        <v>112</v>
      </c>
      <c r="D10" s="150">
        <f>SUM(D6:D8)</f>
        <v>3.4126158301158307E-6</v>
      </c>
      <c r="E10" s="150">
        <f>SUM(E6:E9)</f>
        <v>3.4512324967824973E-6</v>
      </c>
    </row>
    <row r="12" spans="1:11">
      <c r="D12" s="152" t="s">
        <v>455</v>
      </c>
      <c r="E12" s="150">
        <f>E10/D10</f>
        <v>1.0113158552233978</v>
      </c>
    </row>
    <row r="16" spans="1:11">
      <c r="A16" s="150" t="s">
        <v>454</v>
      </c>
      <c r="B16" s="150">
        <f>'EIA annual data'!$F$54</f>
        <v>3.45</v>
      </c>
      <c r="C16" s="150" t="s">
        <v>453</v>
      </c>
    </row>
    <row r="17" spans="1:3">
      <c r="B17" s="150">
        <f>B16/1000</f>
        <v>3.4500000000000004E-3</v>
      </c>
      <c r="C17" s="150" t="s">
        <v>452</v>
      </c>
    </row>
    <row r="18" spans="1:3" ht="15">
      <c r="A18" s="152" t="s">
        <v>451</v>
      </c>
      <c r="B18" s="168">
        <f>B17/1036</f>
        <v>3.3301158301158306E-6</v>
      </c>
      <c r="C18" s="152" t="s">
        <v>70</v>
      </c>
    </row>
    <row r="19" spans="1:3" ht="15">
      <c r="B19" s="168"/>
    </row>
    <row r="23" spans="1:3" ht="15.4" thickBot="1">
      <c r="B23" s="168"/>
    </row>
    <row r="24" spans="1:3" ht="60.4" thickBot="1">
      <c r="A24" s="152" t="s">
        <v>428</v>
      </c>
      <c r="B24" s="159" t="s">
        <v>427</v>
      </c>
      <c r="C24" s="151" t="s">
        <v>426</v>
      </c>
    </row>
    <row r="25" spans="1:3" ht="15">
      <c r="B25" s="168"/>
    </row>
    <row r="26" spans="1:3" ht="15">
      <c r="B26" s="168"/>
    </row>
    <row r="27" spans="1:3">
      <c r="A27" s="152" t="s">
        <v>450</v>
      </c>
      <c r="B27" s="162"/>
    </row>
    <row r="53" spans="1:1">
      <c r="A53" s="152" t="s">
        <v>449</v>
      </c>
    </row>
    <row r="54" spans="1:1">
      <c r="A54" s="150" t="s">
        <v>448</v>
      </c>
    </row>
    <row r="55" spans="1:1">
      <c r="A55" s="151" t="s">
        <v>447</v>
      </c>
    </row>
    <row r="108" spans="1:1">
      <c r="A108" s="150" t="s">
        <v>446</v>
      </c>
    </row>
    <row r="110" spans="1:1">
      <c r="A110" s="152" t="s">
        <v>410</v>
      </c>
    </row>
    <row r="111" spans="1:1">
      <c r="A111" s="151" t="s">
        <v>409</v>
      </c>
    </row>
    <row r="112" spans="1:1">
      <c r="A112" s="151" t="s">
        <v>408</v>
      </c>
    </row>
  </sheetData>
  <hyperlinks>
    <hyperlink ref="A55" r:id="rId1"/>
    <hyperlink ref="C24" r:id="rId2"/>
    <hyperlink ref="A112" r:id="rId3"/>
    <hyperlink ref="A111" r:id="rId4"/>
  </hyperlinks>
  <pageMargins left="0.7" right="0.7" top="0.75" bottom="0.75" header="0.3" footer="0.3"/>
  <drawing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workbookViewId="0">
      <selection activeCell="A35" sqref="A35:XFD42"/>
    </sheetView>
  </sheetViews>
  <sheetFormatPr defaultColWidth="9.1328125" defaultRowHeight="12.75"/>
  <cols>
    <col min="1" max="1" width="35.1328125" style="150" customWidth="1"/>
    <col min="2" max="2" width="14.86328125" style="150" bestFit="1" customWidth="1"/>
    <col min="3" max="3" width="21.86328125" style="150" customWidth="1"/>
    <col min="4" max="4" width="33.86328125" style="150" customWidth="1"/>
    <col min="5" max="5" width="20" style="150" customWidth="1"/>
    <col min="6" max="16384" width="9.1328125" style="150"/>
  </cols>
  <sheetData>
    <row r="1" spans="1:10">
      <c r="B1" s="152" t="s">
        <v>461</v>
      </c>
      <c r="C1" s="152" t="s">
        <v>467</v>
      </c>
      <c r="D1" s="152" t="s">
        <v>461</v>
      </c>
    </row>
    <row r="2" spans="1:10" ht="15">
      <c r="A2" s="171" t="s">
        <v>466</v>
      </c>
      <c r="B2" s="165"/>
      <c r="C2" s="165"/>
      <c r="D2" s="170"/>
    </row>
    <row r="3" spans="1:10">
      <c r="B3" s="152" t="s">
        <v>433</v>
      </c>
      <c r="C3" s="152" t="s">
        <v>70</v>
      </c>
      <c r="D3" s="152" t="s">
        <v>70</v>
      </c>
    </row>
    <row r="5" spans="1:10">
      <c r="A5" s="152" t="s">
        <v>454</v>
      </c>
      <c r="C5" s="152"/>
      <c r="D5" s="152">
        <f>B17</f>
        <v>3.3301158301158306E-6</v>
      </c>
    </row>
    <row r="6" spans="1:10">
      <c r="A6" s="152" t="s">
        <v>459</v>
      </c>
      <c r="B6" s="150">
        <f>'PG&amp;E noncore rates'!$R$28</f>
        <v>0.11183999999999999</v>
      </c>
      <c r="D6" s="150">
        <f>B6/100000</f>
        <v>1.1184E-6</v>
      </c>
    </row>
    <row r="7" spans="1:10">
      <c r="A7" s="152" t="s">
        <v>458</v>
      </c>
    </row>
    <row r="8" spans="1:10">
      <c r="A8" s="152" t="s">
        <v>456</v>
      </c>
      <c r="B8" s="150">
        <f>'PG&amp;E Schedule G-SUR'!$G$28</f>
        <v>2.891666666666667E-3</v>
      </c>
      <c r="D8" s="150">
        <f>B8/100000</f>
        <v>2.8916666666666671E-8</v>
      </c>
      <c r="G8" s="150" t="s">
        <v>432</v>
      </c>
      <c r="I8" s="150">
        <v>100000</v>
      </c>
      <c r="J8" s="150" t="s">
        <v>72</v>
      </c>
    </row>
    <row r="9" spans="1:10">
      <c r="A9" s="152" t="s">
        <v>112</v>
      </c>
      <c r="D9" s="150">
        <f>SUM(D5:D8)</f>
        <v>4.4774324967824973E-6</v>
      </c>
    </row>
    <row r="10" spans="1:10" ht="42" customHeight="1">
      <c r="A10" s="169" t="s">
        <v>465</v>
      </c>
      <c r="C10" s="150">
        <f>'PG&amp;E calcs- backbone level'!$D$10</f>
        <v>3.4126158301158307E-6</v>
      </c>
    </row>
    <row r="11" spans="1:10">
      <c r="C11" s="152" t="s">
        <v>464</v>
      </c>
      <c r="D11" s="150">
        <f>D9/C10</f>
        <v>1.3120235970512171</v>
      </c>
    </row>
    <row r="15" spans="1:10">
      <c r="A15" s="150" t="s">
        <v>454</v>
      </c>
      <c r="B15" s="150">
        <f>'EIA annual data'!$F$54</f>
        <v>3.45</v>
      </c>
      <c r="C15" s="150" t="s">
        <v>453</v>
      </c>
    </row>
    <row r="16" spans="1:10">
      <c r="B16" s="150">
        <f>B15/1000</f>
        <v>3.4500000000000004E-3</v>
      </c>
      <c r="C16" s="150" t="s">
        <v>452</v>
      </c>
    </row>
    <row r="17" spans="1:3" ht="15">
      <c r="A17" s="152" t="s">
        <v>451</v>
      </c>
      <c r="B17" s="168">
        <f>B16/1036</f>
        <v>3.3301158301158306E-6</v>
      </c>
      <c r="C17" s="152" t="s">
        <v>70</v>
      </c>
    </row>
    <row r="18" spans="1:3" ht="15">
      <c r="B18" s="168"/>
    </row>
    <row r="22" spans="1:3" ht="15.4" thickBot="1">
      <c r="B22" s="168"/>
    </row>
    <row r="23" spans="1:3" ht="30.4" thickBot="1">
      <c r="A23" s="152" t="s">
        <v>428</v>
      </c>
      <c r="B23" s="159" t="s">
        <v>427</v>
      </c>
      <c r="C23" s="151" t="s">
        <v>426</v>
      </c>
    </row>
    <row r="24" spans="1:3" ht="15">
      <c r="B24" s="168"/>
    </row>
    <row r="25" spans="1:3" ht="15">
      <c r="B25" s="168"/>
    </row>
    <row r="26" spans="1:3">
      <c r="A26" s="152" t="s">
        <v>450</v>
      </c>
      <c r="B26" s="162"/>
    </row>
    <row r="52" spans="1:1">
      <c r="A52" s="152" t="s">
        <v>449</v>
      </c>
    </row>
    <row r="53" spans="1:1">
      <c r="A53" s="150" t="s">
        <v>448</v>
      </c>
    </row>
    <row r="54" spans="1:1">
      <c r="A54" s="151" t="s">
        <v>447</v>
      </c>
    </row>
    <row r="107" spans="1:1">
      <c r="A107" s="150" t="s">
        <v>446</v>
      </c>
    </row>
  </sheetData>
  <hyperlinks>
    <hyperlink ref="A54" r:id="rId1"/>
    <hyperlink ref="C23" r:id="rId2"/>
  </hyperlinks>
  <pageMargins left="0.7" right="0.7" top="0.75" bottom="0.75" header="0.3" footer="0.3"/>
  <pageSetup orientation="portrait" r:id="rId3"/>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7"/>
  <sheetViews>
    <sheetView showGridLines="0" workbookViewId="0">
      <selection activeCell="A35" sqref="A35:XFD42"/>
    </sheetView>
  </sheetViews>
  <sheetFormatPr defaultColWidth="9.1328125" defaultRowHeight="12.75"/>
  <cols>
    <col min="1" max="1" width="46.73046875" style="172" customWidth="1"/>
    <col min="2" max="2" width="10.1328125" style="172" customWidth="1"/>
    <col min="3" max="3" width="12.73046875" style="172" customWidth="1"/>
    <col min="4" max="4" width="9.265625" style="172" customWidth="1"/>
    <col min="5" max="6" width="9" style="172" customWidth="1"/>
    <col min="7" max="10" width="8.86328125" style="172" customWidth="1"/>
    <col min="11" max="11" width="9" style="172" customWidth="1"/>
    <col min="12" max="13" width="8.86328125" style="172" customWidth="1"/>
    <col min="14" max="14" width="11.59765625" style="172" hidden="1" customWidth="1"/>
    <col min="15" max="15" width="11" style="172" bestFit="1" customWidth="1"/>
    <col min="16" max="16384" width="9.1328125" style="172"/>
  </cols>
  <sheetData>
    <row r="1" spans="1:16" ht="13.15">
      <c r="A1" s="419" t="s">
        <v>519</v>
      </c>
      <c r="B1" s="419"/>
      <c r="C1" s="419"/>
      <c r="D1" s="419"/>
      <c r="E1" s="419"/>
      <c r="F1" s="419"/>
      <c r="G1" s="419"/>
      <c r="H1" s="419"/>
      <c r="I1" s="419"/>
      <c r="J1" s="419"/>
      <c r="K1" s="419"/>
      <c r="L1" s="419"/>
      <c r="M1" s="419"/>
      <c r="N1" s="150"/>
      <c r="O1" s="150"/>
    </row>
    <row r="2" spans="1:16" ht="8.4499999999999993" customHeight="1">
      <c r="A2" s="150"/>
      <c r="B2" s="150"/>
      <c r="C2" s="150"/>
      <c r="D2" s="150"/>
      <c r="E2" s="150"/>
      <c r="F2" s="150"/>
      <c r="G2" s="150"/>
      <c r="H2" s="150"/>
      <c r="I2" s="150"/>
      <c r="J2" s="150"/>
      <c r="K2" s="150"/>
      <c r="L2" s="150"/>
      <c r="M2" s="150"/>
      <c r="N2" s="150"/>
      <c r="O2" s="150"/>
    </row>
    <row r="3" spans="1:16" ht="15">
      <c r="A3" s="419" t="s">
        <v>518</v>
      </c>
      <c r="B3" s="419"/>
      <c r="C3" s="419"/>
      <c r="D3" s="419"/>
      <c r="E3" s="419"/>
      <c r="F3" s="419"/>
      <c r="G3" s="419"/>
      <c r="H3" s="419"/>
      <c r="I3" s="419"/>
      <c r="J3" s="419"/>
      <c r="K3" s="419"/>
      <c r="L3" s="419"/>
      <c r="M3" s="419"/>
      <c r="N3" s="150"/>
      <c r="O3" s="150"/>
    </row>
    <row r="4" spans="1:16" ht="13.15">
      <c r="A4" s="419" t="s">
        <v>517</v>
      </c>
      <c r="B4" s="419"/>
      <c r="C4" s="419"/>
      <c r="D4" s="419"/>
      <c r="E4" s="419"/>
      <c r="F4" s="419"/>
      <c r="G4" s="419"/>
      <c r="H4" s="419"/>
      <c r="I4" s="419"/>
      <c r="J4" s="419"/>
      <c r="K4" s="419"/>
      <c r="L4" s="419"/>
      <c r="M4" s="419"/>
      <c r="N4" s="150"/>
      <c r="O4" s="150"/>
    </row>
    <row r="5" spans="1:16" ht="13.15">
      <c r="A5" s="419" t="s">
        <v>516</v>
      </c>
      <c r="B5" s="419"/>
      <c r="C5" s="419"/>
      <c r="D5" s="419"/>
      <c r="E5" s="419"/>
      <c r="F5" s="419"/>
      <c r="G5" s="419"/>
      <c r="H5" s="419"/>
      <c r="I5" s="419"/>
      <c r="J5" s="419"/>
      <c r="K5" s="419"/>
      <c r="L5" s="419"/>
      <c r="M5" s="419"/>
      <c r="N5" s="150"/>
      <c r="O5" s="150"/>
    </row>
    <row r="6" spans="1:16" ht="15">
      <c r="A6" s="419" t="s">
        <v>515</v>
      </c>
      <c r="B6" s="419"/>
      <c r="C6" s="419"/>
      <c r="D6" s="419"/>
      <c r="E6" s="419"/>
      <c r="F6" s="419"/>
      <c r="G6" s="419"/>
      <c r="H6" s="419"/>
      <c r="I6" s="419"/>
      <c r="J6" s="419"/>
      <c r="K6" s="419"/>
      <c r="L6" s="419"/>
      <c r="M6" s="419"/>
      <c r="N6" s="150"/>
      <c r="O6" s="150"/>
    </row>
    <row r="7" spans="1:16">
      <c r="A7" s="276"/>
      <c r="B7" s="276"/>
      <c r="C7" s="276"/>
      <c r="D7" s="276"/>
      <c r="E7" s="276"/>
      <c r="F7" s="276"/>
      <c r="G7" s="276"/>
      <c r="H7" s="276"/>
      <c r="I7" s="276"/>
      <c r="J7" s="276"/>
      <c r="K7" s="276"/>
      <c r="L7" s="276"/>
      <c r="M7" s="276"/>
      <c r="N7" s="178"/>
      <c r="O7" s="178"/>
    </row>
    <row r="8" spans="1:16">
      <c r="A8" s="275" t="s">
        <v>514</v>
      </c>
      <c r="B8" s="274"/>
      <c r="C8" s="273"/>
      <c r="D8" s="271"/>
      <c r="E8" s="271"/>
      <c r="F8" s="271"/>
      <c r="G8" s="271"/>
      <c r="H8" s="271"/>
      <c r="I8" s="271"/>
      <c r="J8" s="272"/>
      <c r="K8" s="271"/>
      <c r="L8" s="270"/>
      <c r="M8" s="269"/>
      <c r="N8" s="268" t="s">
        <v>513</v>
      </c>
      <c r="O8" s="178"/>
    </row>
    <row r="9" spans="1:16">
      <c r="A9" s="267" t="s">
        <v>512</v>
      </c>
      <c r="B9" s="266" t="s">
        <v>511</v>
      </c>
      <c r="C9" s="242" t="s">
        <v>510</v>
      </c>
      <c r="D9" s="264" t="s">
        <v>509</v>
      </c>
      <c r="E9" s="264"/>
      <c r="F9" s="264" t="s">
        <v>508</v>
      </c>
      <c r="G9" s="264"/>
      <c r="H9" s="264" t="s">
        <v>507</v>
      </c>
      <c r="I9" s="264"/>
      <c r="J9" s="265" t="s">
        <v>506</v>
      </c>
      <c r="K9" s="264"/>
      <c r="L9" s="186"/>
      <c r="M9" s="255"/>
      <c r="N9" s="263"/>
      <c r="O9" s="178"/>
    </row>
    <row r="10" spans="1:16">
      <c r="A10" s="215">
        <v>43739</v>
      </c>
      <c r="B10" s="262">
        <v>0.98465999999999998</v>
      </c>
      <c r="C10" s="262">
        <v>2.9335900000000001</v>
      </c>
      <c r="D10" s="415">
        <v>5.4598399999999998</v>
      </c>
      <c r="E10" s="416"/>
      <c r="F10" s="415">
        <v>7.1654799999999996</v>
      </c>
      <c r="G10" s="416"/>
      <c r="H10" s="415">
        <v>10.396599999999999</v>
      </c>
      <c r="I10" s="416"/>
      <c r="J10" s="415">
        <v>88.189149999999998</v>
      </c>
      <c r="K10" s="416"/>
      <c r="L10" s="186"/>
      <c r="M10" s="255"/>
      <c r="N10" s="235"/>
      <c r="O10" s="178"/>
    </row>
    <row r="11" spans="1:16">
      <c r="A11" s="196">
        <v>43101</v>
      </c>
      <c r="B11" s="260">
        <v>1.10893</v>
      </c>
      <c r="C11" s="260">
        <v>3.3027899999999999</v>
      </c>
      <c r="D11" s="417">
        <v>6.1472899999999999</v>
      </c>
      <c r="E11" s="418"/>
      <c r="F11" s="417">
        <v>8.0676199999999998</v>
      </c>
      <c r="G11" s="418"/>
      <c r="H11" s="417">
        <v>11.70542</v>
      </c>
      <c r="I11" s="418"/>
      <c r="J11" s="417">
        <v>99.292270000000002</v>
      </c>
      <c r="K11" s="418"/>
      <c r="L11" s="186"/>
      <c r="M11" s="255"/>
      <c r="N11" s="213" t="s">
        <v>491</v>
      </c>
      <c r="O11" s="178"/>
    </row>
    <row r="12" spans="1:16" s="177" customFormat="1">
      <c r="A12" s="196">
        <v>42736</v>
      </c>
      <c r="B12" s="260">
        <v>1.1628499999999999</v>
      </c>
      <c r="C12" s="260">
        <v>3.4642200000000001</v>
      </c>
      <c r="D12" s="417">
        <v>6.4474499999999999</v>
      </c>
      <c r="E12" s="418"/>
      <c r="F12" s="417">
        <v>8.4614799999999999</v>
      </c>
      <c r="G12" s="418"/>
      <c r="H12" s="417">
        <v>12.276820000000001</v>
      </c>
      <c r="I12" s="418"/>
      <c r="J12" s="417">
        <v>104.13995</v>
      </c>
      <c r="K12" s="418"/>
      <c r="L12" s="259"/>
      <c r="M12" s="258"/>
      <c r="N12" s="236"/>
      <c r="O12" s="261"/>
    </row>
    <row r="13" spans="1:16" s="177" customFormat="1">
      <c r="A13" s="196">
        <v>42583</v>
      </c>
      <c r="B13" s="260">
        <v>1.22499</v>
      </c>
      <c r="C13" s="260">
        <v>3.64899</v>
      </c>
      <c r="D13" s="417">
        <v>6.7916699999999999</v>
      </c>
      <c r="E13" s="418"/>
      <c r="F13" s="417">
        <v>8.9132099999999994</v>
      </c>
      <c r="G13" s="418"/>
      <c r="H13" s="417">
        <v>12.93205</v>
      </c>
      <c r="I13" s="418"/>
      <c r="J13" s="417">
        <v>109.69808</v>
      </c>
      <c r="K13" s="418"/>
      <c r="L13" s="259"/>
      <c r="M13" s="258"/>
      <c r="N13" s="235"/>
      <c r="O13" s="189"/>
    </row>
    <row r="14" spans="1:16" s="177" customFormat="1">
      <c r="A14" s="196">
        <v>42005</v>
      </c>
      <c r="B14" s="260">
        <v>2.0423</v>
      </c>
      <c r="C14" s="260">
        <v>6.0835100000000004</v>
      </c>
      <c r="D14" s="417">
        <v>11.32274</v>
      </c>
      <c r="E14" s="418"/>
      <c r="F14" s="417">
        <v>14.85962</v>
      </c>
      <c r="G14" s="418"/>
      <c r="H14" s="417">
        <v>21.560220000000001</v>
      </c>
      <c r="I14" s="418"/>
      <c r="J14" s="417">
        <v>182.88493</v>
      </c>
      <c r="K14" s="418"/>
      <c r="L14" s="259"/>
      <c r="M14" s="258"/>
      <c r="N14" s="235"/>
      <c r="O14" s="189"/>
    </row>
    <row r="15" spans="1:16">
      <c r="A15" s="257"/>
      <c r="B15" s="256"/>
      <c r="C15" s="256"/>
      <c r="D15" s="256"/>
      <c r="E15" s="256"/>
      <c r="F15" s="256"/>
      <c r="G15" s="256"/>
      <c r="H15" s="256"/>
      <c r="I15" s="256"/>
      <c r="J15" s="256"/>
      <c r="K15" s="256"/>
      <c r="L15" s="186"/>
      <c r="M15" s="255"/>
      <c r="N15" s="235"/>
      <c r="O15" s="178"/>
    </row>
    <row r="16" spans="1:16" ht="12.75" customHeight="1">
      <c r="A16" s="254" t="s">
        <v>505</v>
      </c>
      <c r="B16" s="207" t="s">
        <v>476</v>
      </c>
      <c r="C16" s="206" t="s">
        <v>475</v>
      </c>
      <c r="D16" s="422" t="s">
        <v>474</v>
      </c>
      <c r="E16" s="423"/>
      <c r="F16" s="423"/>
      <c r="G16" s="423"/>
      <c r="H16" s="423"/>
      <c r="I16" s="423"/>
      <c r="J16" s="423"/>
      <c r="K16" s="423"/>
      <c r="L16" s="423"/>
      <c r="M16" s="424"/>
      <c r="N16" s="235"/>
      <c r="O16" s="150"/>
      <c r="P16" s="178"/>
    </row>
    <row r="17" spans="1:18">
      <c r="A17" s="253"/>
      <c r="B17" s="252"/>
      <c r="C17" s="251"/>
      <c r="D17" s="420" t="s">
        <v>504</v>
      </c>
      <c r="E17" s="421"/>
      <c r="F17" s="420" t="s">
        <v>503</v>
      </c>
      <c r="G17" s="421"/>
      <c r="H17" s="420" t="s">
        <v>502</v>
      </c>
      <c r="I17" s="421"/>
      <c r="J17" s="420" t="s">
        <v>501</v>
      </c>
      <c r="K17" s="421"/>
      <c r="L17" s="427" t="s">
        <v>500</v>
      </c>
      <c r="M17" s="428"/>
      <c r="N17" s="235"/>
      <c r="O17" s="178"/>
    </row>
    <row r="18" spans="1:18" ht="13.15">
      <c r="A18" s="246"/>
      <c r="B18" s="250"/>
      <c r="C18" s="249"/>
      <c r="D18" s="425" t="s">
        <v>499</v>
      </c>
      <c r="E18" s="426"/>
      <c r="F18" s="425" t="s">
        <v>498</v>
      </c>
      <c r="G18" s="426"/>
      <c r="H18" s="425" t="s">
        <v>497</v>
      </c>
      <c r="I18" s="426"/>
      <c r="J18" s="431" t="s">
        <v>496</v>
      </c>
      <c r="K18" s="432"/>
      <c r="L18" s="429" t="s">
        <v>495</v>
      </c>
      <c r="M18" s="430"/>
      <c r="N18" s="235"/>
      <c r="O18" s="248" t="s">
        <v>494</v>
      </c>
      <c r="P18" s="247"/>
    </row>
    <row r="19" spans="1:18">
      <c r="A19" s="246"/>
      <c r="B19" s="245"/>
      <c r="C19" s="244"/>
      <c r="D19" s="243" t="s">
        <v>493</v>
      </c>
      <c r="E19" s="243" t="s">
        <v>492</v>
      </c>
      <c r="F19" s="243" t="s">
        <v>493</v>
      </c>
      <c r="G19" s="243" t="s">
        <v>492</v>
      </c>
      <c r="H19" s="243" t="s">
        <v>493</v>
      </c>
      <c r="I19" s="243" t="s">
        <v>492</v>
      </c>
      <c r="J19" s="243" t="s">
        <v>493</v>
      </c>
      <c r="K19" s="243" t="s">
        <v>492</v>
      </c>
      <c r="L19" s="242" t="s">
        <v>493</v>
      </c>
      <c r="M19" s="241" t="s">
        <v>492</v>
      </c>
      <c r="N19" s="235"/>
      <c r="O19" s="172" t="s">
        <v>476</v>
      </c>
      <c r="P19" s="172" t="s">
        <v>475</v>
      </c>
    </row>
    <row r="20" spans="1:18">
      <c r="A20" s="240">
        <v>43739</v>
      </c>
      <c r="B20" s="204">
        <v>6.694E-2</v>
      </c>
      <c r="C20" s="204">
        <v>0.16625999999999999</v>
      </c>
      <c r="D20" s="204">
        <v>0.38425999999999999</v>
      </c>
      <c r="E20" s="204">
        <v>0.46611000000000002</v>
      </c>
      <c r="F20" s="204">
        <v>0.29948999999999998</v>
      </c>
      <c r="G20" s="204">
        <v>0.35166999999999998</v>
      </c>
      <c r="H20" s="204">
        <v>0.28216999999999998</v>
      </c>
      <c r="I20" s="204">
        <v>0.32829000000000003</v>
      </c>
      <c r="J20" s="204">
        <v>0.26862999999999998</v>
      </c>
      <c r="K20" s="204">
        <v>0.31001000000000001</v>
      </c>
      <c r="L20" s="204">
        <v>0.16625999999999999</v>
      </c>
      <c r="M20" s="203">
        <v>0.16625999999999999</v>
      </c>
      <c r="N20" s="235"/>
      <c r="O20" s="239">
        <v>6.5879999999999994E-2</v>
      </c>
      <c r="P20" s="238">
        <v>0.15523480520067401</v>
      </c>
    </row>
    <row r="21" spans="1:18">
      <c r="A21" s="237">
        <v>43678</v>
      </c>
      <c r="B21" s="195">
        <v>7.0239999999999997E-2</v>
      </c>
      <c r="C21" s="195">
        <v>0.16409000000000001</v>
      </c>
      <c r="D21" s="195">
        <v>0.38141000000000003</v>
      </c>
      <c r="E21" s="195">
        <v>0.46303</v>
      </c>
      <c r="F21" s="195">
        <v>0.29688999999999999</v>
      </c>
      <c r="G21" s="195">
        <v>0.34892000000000001</v>
      </c>
      <c r="H21" s="195">
        <v>0.27961999999999998</v>
      </c>
      <c r="I21" s="195">
        <v>0.3256</v>
      </c>
      <c r="J21" s="195">
        <v>0.26612000000000002</v>
      </c>
      <c r="K21" s="195">
        <v>0.30737999999999999</v>
      </c>
      <c r="L21" s="195">
        <v>0.16409000000000001</v>
      </c>
      <c r="M21" s="194">
        <v>0.16409000000000001</v>
      </c>
      <c r="N21" s="235"/>
      <c r="O21" s="178"/>
    </row>
    <row r="22" spans="1:18" s="177" customFormat="1">
      <c r="A22" s="202">
        <v>43556</v>
      </c>
      <c r="B22" s="195">
        <v>6.9059999999999996E-2</v>
      </c>
      <c r="C22" s="195">
        <v>0.18068000000000001</v>
      </c>
      <c r="D22" s="195">
        <v>0.39644000000000001</v>
      </c>
      <c r="E22" s="195">
        <v>0.47749000000000003</v>
      </c>
      <c r="F22" s="195">
        <v>0.31251000000000001</v>
      </c>
      <c r="G22" s="195">
        <v>0.36416999999999999</v>
      </c>
      <c r="H22" s="195">
        <v>0.29536000000000001</v>
      </c>
      <c r="I22" s="195">
        <v>0.34101999999999999</v>
      </c>
      <c r="J22" s="195">
        <v>0.28194999999999998</v>
      </c>
      <c r="K22" s="195">
        <v>0.32291999999999998</v>
      </c>
      <c r="L22" s="195">
        <v>0.18068000000000001</v>
      </c>
      <c r="M22" s="194">
        <v>0.18068000000000001</v>
      </c>
      <c r="N22" s="236"/>
      <c r="O22" s="189"/>
    </row>
    <row r="23" spans="1:18">
      <c r="A23" s="196">
        <v>43466</v>
      </c>
      <c r="B23" s="195">
        <v>6.8239999999999995E-2</v>
      </c>
      <c r="C23" s="195">
        <v>0.17749000000000001</v>
      </c>
      <c r="D23" s="195">
        <v>0.39324999999999999</v>
      </c>
      <c r="E23" s="195">
        <v>0.4743</v>
      </c>
      <c r="F23" s="195">
        <v>0.30931999999999998</v>
      </c>
      <c r="G23" s="195">
        <v>0.36098000000000002</v>
      </c>
      <c r="H23" s="195">
        <v>0.29216999999999999</v>
      </c>
      <c r="I23" s="195">
        <v>0.33783000000000002</v>
      </c>
      <c r="J23" s="195">
        <v>0.27876000000000001</v>
      </c>
      <c r="K23" s="195">
        <v>0.31973000000000001</v>
      </c>
      <c r="L23" s="195">
        <v>0.17749000000000001</v>
      </c>
      <c r="M23" s="194">
        <v>0.17749000000000001</v>
      </c>
      <c r="N23" s="235"/>
      <c r="O23" s="178"/>
    </row>
    <row r="24" spans="1:18">
      <c r="A24" s="196">
        <v>43282</v>
      </c>
      <c r="B24" s="195">
        <v>5.3289999999999997E-2</v>
      </c>
      <c r="C24" s="195">
        <v>0.16445000000000001</v>
      </c>
      <c r="D24" s="195">
        <v>0.36673</v>
      </c>
      <c r="E24" s="195">
        <v>0.44368999999999997</v>
      </c>
      <c r="F24" s="195">
        <v>0.28702</v>
      </c>
      <c r="G24" s="195">
        <v>0.33607999999999999</v>
      </c>
      <c r="H24" s="195">
        <v>0.27073999999999998</v>
      </c>
      <c r="I24" s="195">
        <v>0.31409999999999999</v>
      </c>
      <c r="J24" s="195">
        <v>0.25800000000000001</v>
      </c>
      <c r="K24" s="195">
        <v>0.29691000000000001</v>
      </c>
      <c r="L24" s="195">
        <v>0.16445000000000001</v>
      </c>
      <c r="M24" s="194">
        <v>0.16445000000000001</v>
      </c>
      <c r="N24" s="235"/>
      <c r="O24" s="178"/>
    </row>
    <row r="25" spans="1:18">
      <c r="A25" s="196">
        <v>43101</v>
      </c>
      <c r="B25" s="195">
        <v>2.563E-2</v>
      </c>
      <c r="C25" s="195">
        <v>0.13735</v>
      </c>
      <c r="D25" s="195">
        <v>0.34167999999999998</v>
      </c>
      <c r="E25" s="195">
        <v>0.41938999999999999</v>
      </c>
      <c r="F25" s="195">
        <v>0.26118999999999998</v>
      </c>
      <c r="G25" s="195">
        <v>0.31073000000000001</v>
      </c>
      <c r="H25" s="195">
        <v>0.24475</v>
      </c>
      <c r="I25" s="195">
        <v>0.28853000000000001</v>
      </c>
      <c r="J25" s="195">
        <v>0.23189000000000001</v>
      </c>
      <c r="K25" s="195">
        <v>0.27117999999999998</v>
      </c>
      <c r="L25" s="195">
        <v>0.13735</v>
      </c>
      <c r="M25" s="194">
        <v>0.13735</v>
      </c>
      <c r="N25" s="213" t="s">
        <v>491</v>
      </c>
      <c r="O25" s="178"/>
      <c r="Q25" s="172" t="s">
        <v>476</v>
      </c>
      <c r="R25" s="172" t="s">
        <v>490</v>
      </c>
    </row>
    <row r="26" spans="1:18" s="177" customFormat="1">
      <c r="A26" s="196">
        <v>42917</v>
      </c>
      <c r="B26" s="195">
        <v>9.6500000000000006E-3</v>
      </c>
      <c r="C26" s="195">
        <v>0.11225</v>
      </c>
      <c r="D26" s="195">
        <v>0.30614000000000002</v>
      </c>
      <c r="E26" s="195">
        <v>0.37981999999999999</v>
      </c>
      <c r="F26" s="195">
        <v>0.22983999999999999</v>
      </c>
      <c r="G26" s="195">
        <v>0.27679999999999999</v>
      </c>
      <c r="H26" s="195">
        <v>0.21425</v>
      </c>
      <c r="I26" s="195">
        <v>0.25575999999999999</v>
      </c>
      <c r="J26" s="195">
        <v>0.20205999999999999</v>
      </c>
      <c r="K26" s="195">
        <v>0.23930000000000001</v>
      </c>
      <c r="L26" s="195">
        <v>0.11225</v>
      </c>
      <c r="M26" s="194">
        <v>0.11225</v>
      </c>
      <c r="N26" s="214" t="s">
        <v>489</v>
      </c>
      <c r="O26" s="189"/>
      <c r="P26" s="196">
        <v>42917</v>
      </c>
      <c r="Q26" s="234">
        <f>B26</f>
        <v>9.6500000000000006E-3</v>
      </c>
      <c r="R26" s="234">
        <f>M26</f>
        <v>0.11225</v>
      </c>
    </row>
    <row r="27" spans="1:18" s="177" customFormat="1">
      <c r="A27" s="196">
        <v>42736</v>
      </c>
      <c r="B27" s="195">
        <v>8.7899999999999992E-3</v>
      </c>
      <c r="C27" s="195">
        <v>0.11143</v>
      </c>
      <c r="D27" s="195">
        <v>0.30620999999999998</v>
      </c>
      <c r="E27" s="195">
        <v>0.38022</v>
      </c>
      <c r="F27" s="195">
        <v>0.22955999999999999</v>
      </c>
      <c r="G27" s="195">
        <v>0.27673999999999999</v>
      </c>
      <c r="H27" s="195">
        <v>0.21390000000000001</v>
      </c>
      <c r="I27" s="195">
        <v>0.25559999999999999</v>
      </c>
      <c r="J27" s="195">
        <v>0.20165</v>
      </c>
      <c r="K27" s="195">
        <v>0.23907</v>
      </c>
      <c r="L27" s="195">
        <v>0.11143</v>
      </c>
      <c r="M27" s="194">
        <v>0.11143</v>
      </c>
      <c r="N27" s="214" t="s">
        <v>488</v>
      </c>
      <c r="O27" s="189"/>
      <c r="P27" s="196">
        <v>42736</v>
      </c>
      <c r="Q27" s="233">
        <f>B27</f>
        <v>8.7899999999999992E-3</v>
      </c>
      <c r="R27" s="233">
        <f>M27</f>
        <v>0.11143</v>
      </c>
    </row>
    <row r="28" spans="1:18" s="177" customFormat="1">
      <c r="A28" s="196">
        <v>42583</v>
      </c>
      <c r="B28" s="195">
        <v>1.255E-2</v>
      </c>
      <c r="C28" s="195">
        <v>0.1198</v>
      </c>
      <c r="D28" s="195">
        <v>0.32497999999999999</v>
      </c>
      <c r="E28" s="195">
        <v>0.3992</v>
      </c>
      <c r="F28" s="195">
        <v>0.24811</v>
      </c>
      <c r="G28" s="195">
        <v>0.29543000000000003</v>
      </c>
      <c r="H28" s="195">
        <v>0.2324</v>
      </c>
      <c r="I28" s="195">
        <v>0.27422000000000002</v>
      </c>
      <c r="J28" s="195">
        <v>0.22012000000000001</v>
      </c>
      <c r="K28" s="195">
        <v>0.25764999999999999</v>
      </c>
      <c r="L28" s="195">
        <v>0.1198</v>
      </c>
      <c r="M28" s="194">
        <v>0.1198</v>
      </c>
      <c r="N28" s="232" t="s">
        <v>487</v>
      </c>
      <c r="O28" s="189"/>
      <c r="P28" s="152" t="s">
        <v>486</v>
      </c>
      <c r="Q28" s="150">
        <f>(Q26+Q27)/2</f>
        <v>9.219999999999999E-3</v>
      </c>
      <c r="R28" s="150">
        <f>(R26+R27)/2</f>
        <v>0.11183999999999999</v>
      </c>
    </row>
    <row r="29" spans="1:18">
      <c r="A29" s="196">
        <v>42370</v>
      </c>
      <c r="B29" s="195">
        <v>1.184E-2</v>
      </c>
      <c r="C29" s="195">
        <v>4.4679999999999997E-2</v>
      </c>
      <c r="D29" s="195">
        <v>0.24537999999999999</v>
      </c>
      <c r="E29" s="195">
        <v>0.31802999999999998</v>
      </c>
      <c r="F29" s="195">
        <v>0.17013</v>
      </c>
      <c r="G29" s="195">
        <v>0.21645</v>
      </c>
      <c r="H29" s="195">
        <v>0.15476000000000001</v>
      </c>
      <c r="I29" s="195">
        <v>0.19569</v>
      </c>
      <c r="J29" s="195">
        <v>0.14274000000000001</v>
      </c>
      <c r="K29" s="195">
        <v>0.17946999999999999</v>
      </c>
      <c r="L29" s="195">
        <v>4.4679999999999997E-2</v>
      </c>
      <c r="M29" s="194">
        <v>4.4679999999999997E-2</v>
      </c>
      <c r="N29" s="213" t="s">
        <v>485</v>
      </c>
      <c r="O29" s="178"/>
    </row>
    <row r="30" spans="1:18" s="177" customFormat="1">
      <c r="A30" s="196">
        <v>42005</v>
      </c>
      <c r="B30" s="195">
        <v>8.2000000000000007E-3</v>
      </c>
      <c r="C30" s="195">
        <v>3.7580000000000002E-2</v>
      </c>
      <c r="D30" s="195">
        <v>0.23291000000000001</v>
      </c>
      <c r="E30" s="195">
        <v>0.3014</v>
      </c>
      <c r="F30" s="195">
        <v>0.16198000000000001</v>
      </c>
      <c r="G30" s="195">
        <v>0.20563999999999999</v>
      </c>
      <c r="H30" s="195">
        <v>0.14748</v>
      </c>
      <c r="I30" s="195">
        <v>0.18607000000000001</v>
      </c>
      <c r="J30" s="195">
        <v>0.13614999999999999</v>
      </c>
      <c r="K30" s="195">
        <v>0.17077999999999999</v>
      </c>
      <c r="L30" s="195">
        <v>3.7580000000000002E-2</v>
      </c>
      <c r="M30" s="194">
        <v>3.7580000000000002E-2</v>
      </c>
      <c r="N30" s="232" t="s">
        <v>484</v>
      </c>
      <c r="O30" s="231"/>
      <c r="P30" s="230"/>
    </row>
    <row r="31" spans="1:18" s="177" customFormat="1">
      <c r="A31" s="229"/>
      <c r="B31" s="228"/>
      <c r="C31" s="228"/>
      <c r="D31" s="228"/>
      <c r="E31" s="228"/>
      <c r="F31" s="228"/>
      <c r="G31" s="228"/>
      <c r="H31" s="228"/>
      <c r="I31" s="228"/>
      <c r="J31" s="228"/>
      <c r="K31" s="228"/>
      <c r="L31" s="228"/>
      <c r="M31" s="227"/>
      <c r="N31" s="219"/>
      <c r="O31" s="189"/>
    </row>
    <row r="32" spans="1:18" s="177" customFormat="1" ht="13.15">
      <c r="A32" s="226" t="s">
        <v>483</v>
      </c>
      <c r="B32" s="225"/>
      <c r="C32" s="224"/>
      <c r="D32" s="224"/>
      <c r="E32" s="224"/>
      <c r="F32" s="224"/>
      <c r="G32" s="224"/>
      <c r="H32" s="224"/>
      <c r="I32" s="224"/>
      <c r="J32" s="224"/>
      <c r="K32" s="224"/>
      <c r="L32" s="224"/>
      <c r="M32" s="223"/>
      <c r="N32" s="219"/>
      <c r="O32" s="189"/>
    </row>
    <row r="33" spans="1:15" s="177" customFormat="1">
      <c r="A33" s="215">
        <v>43466</v>
      </c>
      <c r="B33" s="222">
        <v>4.7809999999999998E-2</v>
      </c>
      <c r="C33" s="174"/>
      <c r="D33" s="174"/>
      <c r="E33" s="174"/>
      <c r="F33" s="174"/>
      <c r="G33" s="174"/>
      <c r="H33" s="174"/>
      <c r="I33" s="174"/>
      <c r="J33" s="174"/>
      <c r="K33" s="174"/>
      <c r="L33" s="174"/>
      <c r="M33" s="220"/>
      <c r="N33" s="219"/>
      <c r="O33" s="189"/>
    </row>
    <row r="34" spans="1:15" s="177" customFormat="1">
      <c r="A34" s="196">
        <v>43282</v>
      </c>
      <c r="B34" s="221">
        <v>2.5999999999999999E-2</v>
      </c>
      <c r="C34" s="174"/>
      <c r="D34" s="174"/>
      <c r="E34" s="174"/>
      <c r="F34" s="174"/>
      <c r="G34" s="174"/>
      <c r="H34" s="174"/>
      <c r="I34" s="174"/>
      <c r="J34" s="174"/>
      <c r="K34" s="174"/>
      <c r="L34" s="174"/>
      <c r="M34" s="220"/>
      <c r="N34" s="219"/>
      <c r="O34" s="189"/>
    </row>
    <row r="35" spans="1:15">
      <c r="A35" s="212"/>
      <c r="B35" s="218"/>
      <c r="C35" s="176"/>
      <c r="D35" s="217"/>
      <c r="E35" s="217"/>
      <c r="F35" s="217"/>
      <c r="G35" s="217"/>
      <c r="H35" s="217"/>
      <c r="I35" s="217"/>
      <c r="J35" s="217"/>
      <c r="K35" s="217"/>
      <c r="L35" s="217"/>
      <c r="M35" s="216"/>
      <c r="N35" s="190"/>
      <c r="O35" s="178"/>
    </row>
    <row r="36" spans="1:15" ht="13.9">
      <c r="A36" s="208" t="s">
        <v>482</v>
      </c>
      <c r="B36" s="207" t="s">
        <v>476</v>
      </c>
      <c r="C36" s="206" t="s">
        <v>475</v>
      </c>
      <c r="D36" s="422" t="s">
        <v>474</v>
      </c>
      <c r="E36" s="423"/>
      <c r="F36" s="423"/>
      <c r="G36" s="423"/>
      <c r="H36" s="423"/>
      <c r="I36" s="423"/>
      <c r="J36" s="423"/>
      <c r="K36" s="423"/>
      <c r="L36" s="423"/>
      <c r="M36" s="424"/>
      <c r="N36" s="190"/>
      <c r="O36" s="178"/>
    </row>
    <row r="37" spans="1:15">
      <c r="A37" s="215">
        <v>43466</v>
      </c>
      <c r="B37" s="204">
        <v>3.4389999999999997E-2</v>
      </c>
      <c r="C37" s="204">
        <v>3.4389999999999997E-2</v>
      </c>
      <c r="D37" s="204">
        <v>4.351E-2</v>
      </c>
      <c r="E37" s="204">
        <v>4.351E-2</v>
      </c>
      <c r="F37" s="204">
        <v>4.351E-2</v>
      </c>
      <c r="G37" s="204">
        <v>4.351E-2</v>
      </c>
      <c r="H37" s="204">
        <v>4.351E-2</v>
      </c>
      <c r="I37" s="204">
        <v>4.351E-2</v>
      </c>
      <c r="J37" s="204">
        <v>4.351E-2</v>
      </c>
      <c r="K37" s="204">
        <v>4.351E-2</v>
      </c>
      <c r="L37" s="204">
        <v>4.351E-2</v>
      </c>
      <c r="M37" s="203">
        <v>4.351E-2</v>
      </c>
      <c r="N37" s="213" t="s">
        <v>481</v>
      </c>
      <c r="O37" s="178"/>
    </row>
    <row r="38" spans="1:15" s="177" customFormat="1">
      <c r="A38" s="196">
        <v>43101</v>
      </c>
      <c r="B38" s="195">
        <v>3.3590000000000002E-2</v>
      </c>
      <c r="C38" s="195">
        <v>3.3590000000000002E-2</v>
      </c>
      <c r="D38" s="195">
        <v>4.2279999999999998E-2</v>
      </c>
      <c r="E38" s="195">
        <v>4.2279999999999998E-2</v>
      </c>
      <c r="F38" s="195">
        <v>4.2279999999999998E-2</v>
      </c>
      <c r="G38" s="195">
        <v>4.2279999999999998E-2</v>
      </c>
      <c r="H38" s="195">
        <v>4.2279999999999998E-2</v>
      </c>
      <c r="I38" s="195">
        <v>4.2279999999999998E-2</v>
      </c>
      <c r="J38" s="195">
        <v>4.2279999999999998E-2</v>
      </c>
      <c r="K38" s="195">
        <v>4.2279999999999998E-2</v>
      </c>
      <c r="L38" s="195">
        <v>4.2279999999999998E-2</v>
      </c>
      <c r="M38" s="194">
        <v>4.2279999999999998E-2</v>
      </c>
      <c r="N38" s="214" t="s">
        <v>481</v>
      </c>
      <c r="O38" s="189"/>
    </row>
    <row r="39" spans="1:15" s="177" customFormat="1">
      <c r="A39" s="196">
        <v>42736</v>
      </c>
      <c r="B39" s="195">
        <v>3.7170000000000002E-2</v>
      </c>
      <c r="C39" s="195">
        <v>3.7170000000000002E-2</v>
      </c>
      <c r="D39" s="195">
        <v>4.6580000000000003E-2</v>
      </c>
      <c r="E39" s="195">
        <v>4.6580000000000003E-2</v>
      </c>
      <c r="F39" s="195">
        <v>4.6580000000000003E-2</v>
      </c>
      <c r="G39" s="195">
        <v>4.6580000000000003E-2</v>
      </c>
      <c r="H39" s="195">
        <v>4.6580000000000003E-2</v>
      </c>
      <c r="I39" s="195">
        <v>4.6580000000000003E-2</v>
      </c>
      <c r="J39" s="195">
        <v>4.6580000000000003E-2</v>
      </c>
      <c r="K39" s="195">
        <v>4.6580000000000003E-2</v>
      </c>
      <c r="L39" s="195">
        <v>4.6580000000000003E-2</v>
      </c>
      <c r="M39" s="194">
        <v>4.6580000000000003E-2</v>
      </c>
      <c r="N39" s="213" t="s">
        <v>480</v>
      </c>
      <c r="O39" s="189"/>
    </row>
    <row r="40" spans="1:15" s="177" customFormat="1">
      <c r="A40" s="196">
        <v>42370</v>
      </c>
      <c r="B40" s="195">
        <v>3.2219999999999999E-2</v>
      </c>
      <c r="C40" s="195">
        <v>3.2219999999999999E-2</v>
      </c>
      <c r="D40" s="195">
        <v>4.3790000000000003E-2</v>
      </c>
      <c r="E40" s="195">
        <v>4.3790000000000003E-2</v>
      </c>
      <c r="F40" s="195">
        <v>4.3790000000000003E-2</v>
      </c>
      <c r="G40" s="195">
        <v>4.3790000000000003E-2</v>
      </c>
      <c r="H40" s="195">
        <v>4.3790000000000003E-2</v>
      </c>
      <c r="I40" s="195">
        <v>4.3790000000000003E-2</v>
      </c>
      <c r="J40" s="195">
        <v>4.3790000000000003E-2</v>
      </c>
      <c r="K40" s="195">
        <v>4.3790000000000003E-2</v>
      </c>
      <c r="L40" s="195">
        <v>4.3790000000000003E-2</v>
      </c>
      <c r="M40" s="194">
        <v>4.3790000000000003E-2</v>
      </c>
      <c r="N40" s="213" t="s">
        <v>479</v>
      </c>
      <c r="O40" s="189"/>
    </row>
    <row r="41" spans="1:15">
      <c r="A41" s="196">
        <v>42005</v>
      </c>
      <c r="B41" s="195">
        <v>3.4880000000000001E-2</v>
      </c>
      <c r="C41" s="195">
        <v>3.4880000000000001E-2</v>
      </c>
      <c r="D41" s="195">
        <v>4.3490000000000001E-2</v>
      </c>
      <c r="E41" s="195">
        <v>4.3490000000000001E-2</v>
      </c>
      <c r="F41" s="195">
        <v>4.3490000000000001E-2</v>
      </c>
      <c r="G41" s="195">
        <v>4.3490000000000001E-2</v>
      </c>
      <c r="H41" s="195">
        <v>4.3490000000000001E-2</v>
      </c>
      <c r="I41" s="195">
        <v>4.3490000000000001E-2</v>
      </c>
      <c r="J41" s="195">
        <v>4.3490000000000001E-2</v>
      </c>
      <c r="K41" s="195">
        <v>4.3490000000000001E-2</v>
      </c>
      <c r="L41" s="195">
        <v>4.3490000000000001E-2</v>
      </c>
      <c r="M41" s="194">
        <v>4.3490000000000001E-2</v>
      </c>
      <c r="N41" s="213" t="s">
        <v>478</v>
      </c>
      <c r="O41" s="178"/>
    </row>
    <row r="42" spans="1:15">
      <c r="A42" s="212"/>
      <c r="B42" s="176"/>
      <c r="C42" s="211"/>
      <c r="D42" s="211"/>
      <c r="E42" s="211"/>
      <c r="F42" s="211"/>
      <c r="G42" s="211"/>
      <c r="H42" s="211"/>
      <c r="I42" s="211"/>
      <c r="J42" s="211"/>
      <c r="K42" s="211"/>
      <c r="L42" s="210"/>
      <c r="M42" s="209"/>
      <c r="N42" s="190"/>
      <c r="O42" s="178"/>
    </row>
    <row r="43" spans="1:15">
      <c r="A43" s="208" t="s">
        <v>477</v>
      </c>
      <c r="B43" s="207" t="s">
        <v>476</v>
      </c>
      <c r="C43" s="206" t="s">
        <v>475</v>
      </c>
      <c r="D43" s="422" t="s">
        <v>474</v>
      </c>
      <c r="E43" s="423"/>
      <c r="F43" s="423"/>
      <c r="G43" s="423"/>
      <c r="H43" s="423"/>
      <c r="I43" s="423"/>
      <c r="J43" s="423"/>
      <c r="K43" s="423"/>
      <c r="L43" s="423"/>
      <c r="M43" s="424"/>
      <c r="N43" s="190"/>
      <c r="O43" s="178"/>
    </row>
    <row r="44" spans="1:15">
      <c r="A44" s="205">
        <v>43739</v>
      </c>
      <c r="B44" s="204">
        <f t="shared" ref="B44:M44" si="0">B20+B37</f>
        <v>0.10133</v>
      </c>
      <c r="C44" s="204">
        <f t="shared" si="0"/>
        <v>0.20065</v>
      </c>
      <c r="D44" s="204">
        <f t="shared" si="0"/>
        <v>0.42776999999999998</v>
      </c>
      <c r="E44" s="204">
        <f t="shared" si="0"/>
        <v>0.50962000000000007</v>
      </c>
      <c r="F44" s="204">
        <f t="shared" si="0"/>
        <v>0.34299999999999997</v>
      </c>
      <c r="G44" s="204">
        <f t="shared" si="0"/>
        <v>0.39517999999999998</v>
      </c>
      <c r="H44" s="204">
        <f t="shared" si="0"/>
        <v>0.32567999999999997</v>
      </c>
      <c r="I44" s="204">
        <f t="shared" si="0"/>
        <v>0.37180000000000002</v>
      </c>
      <c r="J44" s="204">
        <f t="shared" si="0"/>
        <v>0.31213999999999997</v>
      </c>
      <c r="K44" s="204">
        <f t="shared" si="0"/>
        <v>0.35352</v>
      </c>
      <c r="L44" s="204">
        <f t="shared" si="0"/>
        <v>0.20976999999999998</v>
      </c>
      <c r="M44" s="203">
        <f t="shared" si="0"/>
        <v>0.20976999999999998</v>
      </c>
      <c r="N44" s="201"/>
      <c r="O44" s="178"/>
    </row>
    <row r="45" spans="1:15">
      <c r="A45" s="202">
        <v>43678</v>
      </c>
      <c r="B45" s="195">
        <f t="shared" ref="B45:M45" si="1">B21+B37</f>
        <v>0.10463</v>
      </c>
      <c r="C45" s="195">
        <f t="shared" si="1"/>
        <v>0.19848000000000002</v>
      </c>
      <c r="D45" s="195">
        <f t="shared" si="1"/>
        <v>0.42492000000000002</v>
      </c>
      <c r="E45" s="195">
        <f t="shared" si="1"/>
        <v>0.50653999999999999</v>
      </c>
      <c r="F45" s="195">
        <f t="shared" si="1"/>
        <v>0.34039999999999998</v>
      </c>
      <c r="G45" s="195">
        <f t="shared" si="1"/>
        <v>0.39243</v>
      </c>
      <c r="H45" s="195">
        <f t="shared" si="1"/>
        <v>0.32312999999999997</v>
      </c>
      <c r="I45" s="195">
        <f t="shared" si="1"/>
        <v>0.36910999999999999</v>
      </c>
      <c r="J45" s="195">
        <f t="shared" si="1"/>
        <v>0.30963000000000002</v>
      </c>
      <c r="K45" s="195">
        <f t="shared" si="1"/>
        <v>0.35088999999999998</v>
      </c>
      <c r="L45" s="195">
        <f t="shared" si="1"/>
        <v>0.20760000000000001</v>
      </c>
      <c r="M45" s="198">
        <f t="shared" si="1"/>
        <v>0.20760000000000001</v>
      </c>
      <c r="N45" s="201"/>
      <c r="O45" s="178"/>
    </row>
    <row r="46" spans="1:15">
      <c r="A46" s="196">
        <v>43556</v>
      </c>
      <c r="B46" s="195">
        <f t="shared" ref="B46:M46" si="2">B22+B37</f>
        <v>0.10344999999999999</v>
      </c>
      <c r="C46" s="195">
        <f t="shared" si="2"/>
        <v>0.21507000000000001</v>
      </c>
      <c r="D46" s="195">
        <f t="shared" si="2"/>
        <v>0.43995000000000001</v>
      </c>
      <c r="E46" s="195">
        <f t="shared" si="2"/>
        <v>0.52100000000000002</v>
      </c>
      <c r="F46" s="195">
        <f t="shared" si="2"/>
        <v>0.35602</v>
      </c>
      <c r="G46" s="195">
        <f t="shared" si="2"/>
        <v>0.40767999999999999</v>
      </c>
      <c r="H46" s="195">
        <f t="shared" si="2"/>
        <v>0.33887</v>
      </c>
      <c r="I46" s="195">
        <f t="shared" si="2"/>
        <v>0.38452999999999998</v>
      </c>
      <c r="J46" s="195">
        <f t="shared" si="2"/>
        <v>0.32545999999999997</v>
      </c>
      <c r="K46" s="195">
        <f t="shared" si="2"/>
        <v>0.36642999999999998</v>
      </c>
      <c r="L46" s="195">
        <f t="shared" si="2"/>
        <v>0.22419</v>
      </c>
      <c r="M46" s="194">
        <f t="shared" si="2"/>
        <v>0.22419</v>
      </c>
      <c r="N46" s="201"/>
      <c r="O46" s="178"/>
    </row>
    <row r="47" spans="1:15">
      <c r="A47" s="196">
        <v>43466</v>
      </c>
      <c r="B47" s="195">
        <f t="shared" ref="B47:M47" si="3">B23+B37</f>
        <v>0.10263</v>
      </c>
      <c r="C47" s="195">
        <f t="shared" si="3"/>
        <v>0.21188000000000001</v>
      </c>
      <c r="D47" s="195">
        <f t="shared" si="3"/>
        <v>0.43675999999999998</v>
      </c>
      <c r="E47" s="195">
        <f t="shared" si="3"/>
        <v>0.51780999999999999</v>
      </c>
      <c r="F47" s="195">
        <f t="shared" si="3"/>
        <v>0.35282999999999998</v>
      </c>
      <c r="G47" s="195">
        <f t="shared" si="3"/>
        <v>0.40449000000000002</v>
      </c>
      <c r="H47" s="195">
        <f t="shared" si="3"/>
        <v>0.33567999999999998</v>
      </c>
      <c r="I47" s="195">
        <f t="shared" si="3"/>
        <v>0.38134000000000001</v>
      </c>
      <c r="J47" s="195">
        <f t="shared" si="3"/>
        <v>0.32227</v>
      </c>
      <c r="K47" s="195">
        <f t="shared" si="3"/>
        <v>0.36324000000000001</v>
      </c>
      <c r="L47" s="195">
        <f t="shared" si="3"/>
        <v>0.221</v>
      </c>
      <c r="M47" s="194">
        <f t="shared" si="3"/>
        <v>0.221</v>
      </c>
      <c r="N47" s="201"/>
      <c r="O47" s="178"/>
    </row>
    <row r="48" spans="1:15" s="177" customFormat="1">
      <c r="A48" s="196">
        <v>43282</v>
      </c>
      <c r="B48" s="195">
        <f t="shared" ref="B48:M48" si="4">B24+B38</f>
        <v>8.6879999999999999E-2</v>
      </c>
      <c r="C48" s="195">
        <f t="shared" si="4"/>
        <v>0.19804000000000002</v>
      </c>
      <c r="D48" s="195">
        <f t="shared" si="4"/>
        <v>0.40900999999999998</v>
      </c>
      <c r="E48" s="195">
        <f t="shared" si="4"/>
        <v>0.48596999999999996</v>
      </c>
      <c r="F48" s="195">
        <f t="shared" si="4"/>
        <v>0.32929999999999998</v>
      </c>
      <c r="G48" s="195">
        <f t="shared" si="4"/>
        <v>0.37835999999999997</v>
      </c>
      <c r="H48" s="195">
        <f t="shared" si="4"/>
        <v>0.31301999999999996</v>
      </c>
      <c r="I48" s="195">
        <f t="shared" si="4"/>
        <v>0.35637999999999997</v>
      </c>
      <c r="J48" s="195">
        <f t="shared" si="4"/>
        <v>0.30027999999999999</v>
      </c>
      <c r="K48" s="195">
        <f t="shared" si="4"/>
        <v>0.33918999999999999</v>
      </c>
      <c r="L48" s="195">
        <f t="shared" si="4"/>
        <v>0.20673000000000002</v>
      </c>
      <c r="M48" s="200">
        <f t="shared" si="4"/>
        <v>0.20673000000000002</v>
      </c>
      <c r="N48" s="199"/>
      <c r="O48" s="189"/>
    </row>
    <row r="49" spans="1:25">
      <c r="A49" s="196">
        <v>43101</v>
      </c>
      <c r="B49" s="195">
        <f t="shared" ref="B49:M49" si="5">B25+B38</f>
        <v>5.9220000000000002E-2</v>
      </c>
      <c r="C49" s="195">
        <f t="shared" si="5"/>
        <v>0.17094000000000001</v>
      </c>
      <c r="D49" s="195">
        <f t="shared" si="5"/>
        <v>0.38395999999999997</v>
      </c>
      <c r="E49" s="195">
        <f t="shared" si="5"/>
        <v>0.46166999999999997</v>
      </c>
      <c r="F49" s="195">
        <f t="shared" si="5"/>
        <v>0.30346999999999996</v>
      </c>
      <c r="G49" s="195">
        <f t="shared" si="5"/>
        <v>0.35300999999999999</v>
      </c>
      <c r="H49" s="195">
        <f t="shared" si="5"/>
        <v>0.28703000000000001</v>
      </c>
      <c r="I49" s="195">
        <f t="shared" si="5"/>
        <v>0.33080999999999999</v>
      </c>
      <c r="J49" s="195">
        <f t="shared" si="5"/>
        <v>0.27417000000000002</v>
      </c>
      <c r="K49" s="195">
        <f t="shared" si="5"/>
        <v>0.31345999999999996</v>
      </c>
      <c r="L49" s="195">
        <f t="shared" si="5"/>
        <v>0.17963000000000001</v>
      </c>
      <c r="M49" s="194">
        <f t="shared" si="5"/>
        <v>0.17963000000000001</v>
      </c>
      <c r="N49" s="190"/>
      <c r="O49" s="178"/>
    </row>
    <row r="50" spans="1:25" s="177" customFormat="1">
      <c r="A50" s="196">
        <v>42917</v>
      </c>
      <c r="B50" s="195">
        <f t="shared" ref="B50:M50" si="6">B26+B39</f>
        <v>4.6820000000000001E-2</v>
      </c>
      <c r="C50" s="195">
        <f t="shared" si="6"/>
        <v>0.14942</v>
      </c>
      <c r="D50" s="195">
        <f t="shared" si="6"/>
        <v>0.35272000000000003</v>
      </c>
      <c r="E50" s="195">
        <f t="shared" si="6"/>
        <v>0.4264</v>
      </c>
      <c r="F50" s="195">
        <f t="shared" si="6"/>
        <v>0.27642</v>
      </c>
      <c r="G50" s="195">
        <f t="shared" si="6"/>
        <v>0.32338</v>
      </c>
      <c r="H50" s="195">
        <f t="shared" si="6"/>
        <v>0.26083000000000001</v>
      </c>
      <c r="I50" s="195">
        <f t="shared" si="6"/>
        <v>0.30234</v>
      </c>
      <c r="J50" s="195">
        <f t="shared" si="6"/>
        <v>0.24864</v>
      </c>
      <c r="K50" s="195">
        <f t="shared" si="6"/>
        <v>0.28588000000000002</v>
      </c>
      <c r="L50" s="195">
        <f t="shared" si="6"/>
        <v>0.15883</v>
      </c>
      <c r="M50" s="198">
        <f t="shared" si="6"/>
        <v>0.15883</v>
      </c>
      <c r="N50" s="197"/>
      <c r="O50" s="189"/>
    </row>
    <row r="51" spans="1:25" s="177" customFormat="1">
      <c r="A51" s="196">
        <v>42736</v>
      </c>
      <c r="B51" s="195">
        <f t="shared" ref="B51:M51" si="7">B27+B39</f>
        <v>4.5960000000000001E-2</v>
      </c>
      <c r="C51" s="195">
        <f t="shared" si="7"/>
        <v>0.14860000000000001</v>
      </c>
      <c r="D51" s="195">
        <f t="shared" si="7"/>
        <v>0.35278999999999999</v>
      </c>
      <c r="E51" s="195">
        <f t="shared" si="7"/>
        <v>0.42680000000000001</v>
      </c>
      <c r="F51" s="195">
        <f t="shared" si="7"/>
        <v>0.27614</v>
      </c>
      <c r="G51" s="195">
        <f t="shared" si="7"/>
        <v>0.32332</v>
      </c>
      <c r="H51" s="195">
        <f t="shared" si="7"/>
        <v>0.26047999999999999</v>
      </c>
      <c r="I51" s="195">
        <f t="shared" si="7"/>
        <v>0.30218</v>
      </c>
      <c r="J51" s="195">
        <f t="shared" si="7"/>
        <v>0.24823000000000001</v>
      </c>
      <c r="K51" s="195">
        <f t="shared" si="7"/>
        <v>0.28565000000000002</v>
      </c>
      <c r="L51" s="195">
        <f t="shared" si="7"/>
        <v>0.15801000000000001</v>
      </c>
      <c r="M51" s="194">
        <f t="shared" si="7"/>
        <v>0.15801000000000001</v>
      </c>
      <c r="N51" s="197"/>
      <c r="O51" s="189"/>
    </row>
    <row r="52" spans="1:25" s="177" customFormat="1">
      <c r="A52" s="196">
        <v>42583</v>
      </c>
      <c r="B52" s="195">
        <f t="shared" ref="B52:M52" si="8">B28+B40</f>
        <v>4.4769999999999997E-2</v>
      </c>
      <c r="C52" s="195">
        <f t="shared" si="8"/>
        <v>0.15201999999999999</v>
      </c>
      <c r="D52" s="195">
        <f t="shared" si="8"/>
        <v>0.36876999999999999</v>
      </c>
      <c r="E52" s="195">
        <f t="shared" si="8"/>
        <v>0.44298999999999999</v>
      </c>
      <c r="F52" s="195">
        <f t="shared" si="8"/>
        <v>0.29189999999999999</v>
      </c>
      <c r="G52" s="195">
        <f t="shared" si="8"/>
        <v>0.33922000000000002</v>
      </c>
      <c r="H52" s="195">
        <f t="shared" si="8"/>
        <v>0.27618999999999999</v>
      </c>
      <c r="I52" s="195">
        <f t="shared" si="8"/>
        <v>0.31801000000000001</v>
      </c>
      <c r="J52" s="195">
        <f t="shared" si="8"/>
        <v>0.26391000000000003</v>
      </c>
      <c r="K52" s="195">
        <f t="shared" si="8"/>
        <v>0.30143999999999999</v>
      </c>
      <c r="L52" s="195">
        <f t="shared" si="8"/>
        <v>0.16359000000000001</v>
      </c>
      <c r="M52" s="194">
        <f t="shared" si="8"/>
        <v>0.16359000000000001</v>
      </c>
      <c r="N52" s="190"/>
      <c r="O52" s="189"/>
    </row>
    <row r="53" spans="1:25">
      <c r="A53" s="196">
        <v>42370</v>
      </c>
      <c r="B53" s="195">
        <f t="shared" ref="B53:M53" si="9">B29+B40</f>
        <v>4.4060000000000002E-2</v>
      </c>
      <c r="C53" s="195">
        <f t="shared" si="9"/>
        <v>7.6899999999999996E-2</v>
      </c>
      <c r="D53" s="195">
        <f t="shared" si="9"/>
        <v>0.28916999999999998</v>
      </c>
      <c r="E53" s="195">
        <f t="shared" si="9"/>
        <v>0.36181999999999997</v>
      </c>
      <c r="F53" s="195">
        <f t="shared" si="9"/>
        <v>0.21392</v>
      </c>
      <c r="G53" s="195">
        <f t="shared" si="9"/>
        <v>0.26024000000000003</v>
      </c>
      <c r="H53" s="195">
        <f t="shared" si="9"/>
        <v>0.19855</v>
      </c>
      <c r="I53" s="195">
        <f t="shared" si="9"/>
        <v>0.23948</v>
      </c>
      <c r="J53" s="195">
        <f t="shared" si="9"/>
        <v>0.18653</v>
      </c>
      <c r="K53" s="195">
        <f t="shared" si="9"/>
        <v>0.22325999999999999</v>
      </c>
      <c r="L53" s="195">
        <f t="shared" si="9"/>
        <v>8.8469999999999993E-2</v>
      </c>
      <c r="M53" s="194">
        <f t="shared" si="9"/>
        <v>8.8469999999999993E-2</v>
      </c>
      <c r="N53" s="190"/>
      <c r="O53" s="178"/>
    </row>
    <row r="54" spans="1:25" s="177" customFormat="1">
      <c r="A54" s="193">
        <v>42005</v>
      </c>
      <c r="B54" s="192">
        <f t="shared" ref="B54:M54" si="10">B30+B41</f>
        <v>4.308E-2</v>
      </c>
      <c r="C54" s="192">
        <f t="shared" si="10"/>
        <v>7.2459999999999997E-2</v>
      </c>
      <c r="D54" s="192">
        <f t="shared" si="10"/>
        <v>0.27639999999999998</v>
      </c>
      <c r="E54" s="192">
        <f t="shared" si="10"/>
        <v>0.34489000000000003</v>
      </c>
      <c r="F54" s="192">
        <f t="shared" si="10"/>
        <v>0.20547000000000001</v>
      </c>
      <c r="G54" s="192">
        <f t="shared" si="10"/>
        <v>0.24912999999999999</v>
      </c>
      <c r="H54" s="192">
        <f t="shared" si="10"/>
        <v>0.19097</v>
      </c>
      <c r="I54" s="192">
        <f t="shared" si="10"/>
        <v>0.22956000000000001</v>
      </c>
      <c r="J54" s="192">
        <f t="shared" si="10"/>
        <v>0.17963999999999999</v>
      </c>
      <c r="K54" s="192">
        <f t="shared" si="10"/>
        <v>0.21426999999999999</v>
      </c>
      <c r="L54" s="192">
        <f t="shared" si="10"/>
        <v>8.1070000000000003E-2</v>
      </c>
      <c r="M54" s="191">
        <f t="shared" si="10"/>
        <v>8.1070000000000003E-2</v>
      </c>
      <c r="N54" s="190"/>
      <c r="O54" s="189"/>
    </row>
    <row r="55" spans="1:25" ht="7.9" customHeight="1">
      <c r="A55" s="188"/>
      <c r="B55" s="174"/>
      <c r="C55" s="174"/>
      <c r="D55" s="187"/>
      <c r="E55" s="187"/>
      <c r="F55" s="187"/>
      <c r="G55" s="187"/>
      <c r="H55" s="187"/>
      <c r="I55" s="187"/>
      <c r="J55" s="187"/>
      <c r="K55" s="187"/>
      <c r="L55" s="187"/>
      <c r="M55" s="187"/>
      <c r="N55" s="150"/>
      <c r="O55" s="178"/>
    </row>
    <row r="56" spans="1:25">
      <c r="A56" s="180" t="s">
        <v>473</v>
      </c>
      <c r="B56" s="186"/>
      <c r="C56" s="185"/>
      <c r="D56" s="185"/>
      <c r="E56" s="185"/>
      <c r="F56" s="185"/>
      <c r="G56" s="185"/>
      <c r="H56" s="185"/>
      <c r="I56" s="185"/>
      <c r="J56" s="185"/>
      <c r="K56" s="185"/>
      <c r="L56" s="185"/>
      <c r="M56" s="185"/>
      <c r="N56" s="150"/>
      <c r="O56" s="185"/>
      <c r="P56" s="185"/>
      <c r="Q56" s="185"/>
      <c r="R56" s="185"/>
      <c r="S56" s="185"/>
      <c r="T56" s="185"/>
      <c r="U56" s="185"/>
      <c r="V56" s="185"/>
      <c r="W56" s="185"/>
      <c r="X56" s="184"/>
      <c r="Y56" s="184"/>
    </row>
    <row r="57" spans="1:25">
      <c r="A57" s="180" t="s">
        <v>472</v>
      </c>
      <c r="B57" s="186"/>
      <c r="C57" s="181"/>
      <c r="D57" s="185"/>
      <c r="E57" s="185"/>
      <c r="F57" s="185"/>
      <c r="G57" s="185"/>
      <c r="H57" s="185"/>
      <c r="I57" s="185"/>
      <c r="J57" s="185"/>
      <c r="K57" s="185"/>
      <c r="L57" s="185"/>
      <c r="M57" s="185"/>
      <c r="N57" s="150"/>
      <c r="O57" s="185"/>
      <c r="P57" s="185"/>
      <c r="Q57" s="185"/>
      <c r="R57" s="185"/>
      <c r="S57" s="185"/>
      <c r="T57" s="185"/>
      <c r="U57" s="185"/>
      <c r="V57" s="185"/>
      <c r="W57" s="185"/>
      <c r="X57" s="184"/>
      <c r="Y57" s="184"/>
    </row>
    <row r="58" spans="1:25">
      <c r="A58" s="183" t="s">
        <v>471</v>
      </c>
      <c r="C58" s="181"/>
      <c r="D58" s="178"/>
      <c r="N58" s="150"/>
    </row>
    <row r="59" spans="1:25">
      <c r="A59" s="182" t="s">
        <v>470</v>
      </c>
      <c r="C59" s="181"/>
      <c r="D59" s="178"/>
      <c r="N59" s="150"/>
    </row>
    <row r="60" spans="1:25">
      <c r="A60" s="180" t="s">
        <v>469</v>
      </c>
    </row>
    <row r="61" spans="1:25">
      <c r="A61" s="179" t="s">
        <v>468</v>
      </c>
      <c r="C61" s="176"/>
      <c r="D61" s="178"/>
      <c r="F61" s="177"/>
      <c r="N61" s="150"/>
    </row>
    <row r="62" spans="1:25">
      <c r="B62" s="150"/>
      <c r="C62" s="176"/>
      <c r="D62" s="173"/>
      <c r="N62" s="150"/>
    </row>
    <row r="63" spans="1:25">
      <c r="A63" s="150"/>
      <c r="B63" s="150"/>
      <c r="C63" s="175"/>
      <c r="D63" s="173"/>
      <c r="N63" s="150"/>
    </row>
    <row r="64" spans="1:25">
      <c r="B64" s="150"/>
      <c r="C64" s="175"/>
      <c r="D64" s="173"/>
      <c r="N64" s="150"/>
    </row>
    <row r="65" spans="2:14">
      <c r="B65" s="150"/>
      <c r="C65" s="174"/>
      <c r="D65" s="173"/>
      <c r="N65" s="150"/>
    </row>
    <row r="66" spans="2:14">
      <c r="B66" s="150"/>
      <c r="C66" s="174"/>
      <c r="D66" s="173"/>
      <c r="N66" s="150"/>
    </row>
    <row r="67" spans="2:14">
      <c r="B67" s="150"/>
      <c r="C67" s="174"/>
      <c r="D67" s="173"/>
      <c r="N67" s="150"/>
    </row>
    <row r="68" spans="2:14">
      <c r="B68" s="150"/>
      <c r="C68" s="150"/>
      <c r="D68" s="150"/>
      <c r="N68" s="150"/>
    </row>
    <row r="69" spans="2:14">
      <c r="B69" s="150"/>
      <c r="C69" s="150"/>
      <c r="D69" s="150"/>
      <c r="N69" s="150"/>
    </row>
    <row r="70" spans="2:14">
      <c r="B70" s="150"/>
      <c r="C70" s="150"/>
      <c r="D70" s="150"/>
      <c r="N70" s="150"/>
    </row>
    <row r="71" spans="2:14">
      <c r="B71" s="150"/>
      <c r="C71" s="150"/>
      <c r="D71" s="150"/>
      <c r="N71" s="150"/>
    </row>
    <row r="72" spans="2:14">
      <c r="B72" s="150"/>
      <c r="C72" s="150"/>
      <c r="D72" s="150"/>
      <c r="N72" s="150"/>
    </row>
    <row r="73" spans="2:14">
      <c r="B73" s="150"/>
      <c r="C73" s="150"/>
      <c r="D73" s="150"/>
      <c r="N73" s="150"/>
    </row>
    <row r="74" spans="2:14">
      <c r="N74" s="150"/>
    </row>
    <row r="75" spans="2:14">
      <c r="N75" s="150"/>
    </row>
    <row r="76" spans="2:14">
      <c r="N76" s="150"/>
    </row>
    <row r="77" spans="2:14">
      <c r="N77" s="150"/>
    </row>
    <row r="78" spans="2:14">
      <c r="N78" s="150"/>
    </row>
    <row r="79" spans="2:14">
      <c r="N79" s="150"/>
    </row>
    <row r="80" spans="2:14">
      <c r="N80" s="150"/>
    </row>
    <row r="81" spans="14:14">
      <c r="N81" s="150"/>
    </row>
    <row r="82" spans="14:14">
      <c r="N82" s="150"/>
    </row>
    <row r="83" spans="14:14">
      <c r="N83" s="150"/>
    </row>
    <row r="84" spans="14:14">
      <c r="N84" s="150"/>
    </row>
    <row r="85" spans="14:14">
      <c r="N85" s="150"/>
    </row>
    <row r="86" spans="14:14">
      <c r="N86" s="150"/>
    </row>
    <row r="87" spans="14:14">
      <c r="N87" s="150"/>
    </row>
  </sheetData>
  <mergeCells count="38">
    <mergeCell ref="D43:M43"/>
    <mergeCell ref="J12:K12"/>
    <mergeCell ref="F14:G14"/>
    <mergeCell ref="D14:E14"/>
    <mergeCell ref="D18:E18"/>
    <mergeCell ref="D16:M16"/>
    <mergeCell ref="F17:G17"/>
    <mergeCell ref="F18:G18"/>
    <mergeCell ref="H18:I18"/>
    <mergeCell ref="D36:M36"/>
    <mergeCell ref="J14:K14"/>
    <mergeCell ref="J17:K17"/>
    <mergeCell ref="J13:K13"/>
    <mergeCell ref="L17:M17"/>
    <mergeCell ref="L18:M18"/>
    <mergeCell ref="J18:K18"/>
    <mergeCell ref="D17:E17"/>
    <mergeCell ref="D12:E12"/>
    <mergeCell ref="F12:G12"/>
    <mergeCell ref="H12:I12"/>
    <mergeCell ref="H14:I14"/>
    <mergeCell ref="H17:I17"/>
    <mergeCell ref="D13:E13"/>
    <mergeCell ref="F13:G13"/>
    <mergeCell ref="H13:I13"/>
    <mergeCell ref="A1:M1"/>
    <mergeCell ref="A3:M3"/>
    <mergeCell ref="A4:M4"/>
    <mergeCell ref="A5:M5"/>
    <mergeCell ref="A6:M6"/>
    <mergeCell ref="F10:G10"/>
    <mergeCell ref="H10:I10"/>
    <mergeCell ref="J10:K10"/>
    <mergeCell ref="J11:K11"/>
    <mergeCell ref="D11:E11"/>
    <mergeCell ref="F11:G11"/>
    <mergeCell ref="H11:I11"/>
    <mergeCell ref="D10:E10"/>
  </mergeCells>
  <printOptions horizontalCentered="1"/>
  <pageMargins left="0.25" right="0.25" top="0.25" bottom="0.25" header="0.5" footer="0.5"/>
  <pageSetup scale="1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workbookViewId="0">
      <selection activeCell="A35" sqref="A35:XFD42"/>
    </sheetView>
  </sheetViews>
  <sheetFormatPr defaultColWidth="9.1328125" defaultRowHeight="12.75"/>
  <cols>
    <col min="1" max="1" width="16.1328125" style="150" customWidth="1"/>
    <col min="2" max="2" width="13.73046875" style="150" customWidth="1"/>
    <col min="3" max="3" width="18.86328125" style="150" customWidth="1"/>
    <col min="4" max="6" width="9.1328125" style="150"/>
    <col min="7" max="7" width="18.59765625" style="150" customWidth="1"/>
    <col min="8" max="16384" width="9.1328125" style="150"/>
  </cols>
  <sheetData>
    <row r="1" spans="1:7" ht="13.15">
      <c r="A1" s="419" t="s">
        <v>519</v>
      </c>
      <c r="B1" s="419"/>
      <c r="C1" s="419"/>
      <c r="D1" s="419"/>
      <c r="E1" s="419"/>
      <c r="F1" s="419"/>
      <c r="G1" s="419"/>
    </row>
    <row r="2" spans="1:7" ht="13.15">
      <c r="A2" s="157"/>
    </row>
    <row r="3" spans="1:7" ht="15">
      <c r="A3" s="419" t="s">
        <v>531</v>
      </c>
      <c r="B3" s="419"/>
      <c r="C3" s="419"/>
      <c r="D3" s="419"/>
      <c r="E3" s="419"/>
      <c r="F3" s="419"/>
      <c r="G3" s="419"/>
    </row>
    <row r="4" spans="1:7" ht="13.15">
      <c r="A4" s="419" t="s">
        <v>530</v>
      </c>
      <c r="B4" s="419"/>
      <c r="C4" s="419"/>
      <c r="D4" s="419"/>
      <c r="E4" s="419"/>
      <c r="F4" s="419"/>
      <c r="G4" s="419"/>
    </row>
    <row r="5" spans="1:7" ht="15">
      <c r="A5" s="419" t="s">
        <v>529</v>
      </c>
      <c r="B5" s="419"/>
      <c r="C5" s="419"/>
      <c r="D5" s="419"/>
      <c r="E5" s="419"/>
      <c r="F5" s="419"/>
      <c r="G5" s="419"/>
    </row>
    <row r="6" spans="1:7">
      <c r="A6" s="276"/>
      <c r="B6" s="276"/>
      <c r="C6" s="276"/>
      <c r="D6" s="276"/>
      <c r="E6" s="276"/>
      <c r="F6" s="276"/>
      <c r="G6" s="276"/>
    </row>
    <row r="7" spans="1:7">
      <c r="A7" s="275" t="s">
        <v>514</v>
      </c>
      <c r="B7" s="274"/>
      <c r="C7" s="273"/>
      <c r="D7" s="271"/>
      <c r="E7" s="271"/>
      <c r="F7" s="271"/>
      <c r="G7" s="331"/>
    </row>
    <row r="8" spans="1:7">
      <c r="A8" s="267" t="s">
        <v>512</v>
      </c>
      <c r="B8" s="330" t="s">
        <v>511</v>
      </c>
      <c r="C8" s="330" t="s">
        <v>510</v>
      </c>
      <c r="D8" s="330" t="s">
        <v>509</v>
      </c>
      <c r="E8" s="330" t="s">
        <v>508</v>
      </c>
      <c r="F8" s="330" t="s">
        <v>507</v>
      </c>
      <c r="G8" s="241" t="s">
        <v>528</v>
      </c>
    </row>
    <row r="9" spans="1:7">
      <c r="A9" s="215">
        <v>43466</v>
      </c>
      <c r="B9" s="262">
        <v>0.98465999999999998</v>
      </c>
      <c r="C9" s="262">
        <v>2.9335900000000001</v>
      </c>
      <c r="D9" s="262">
        <v>5.4598399999999998</v>
      </c>
      <c r="E9" s="262">
        <v>7.1654799999999996</v>
      </c>
      <c r="F9" s="262">
        <v>10.396599999999999</v>
      </c>
      <c r="G9" s="329">
        <v>88.189149999999998</v>
      </c>
    </row>
    <row r="10" spans="1:7">
      <c r="A10" s="196">
        <v>43101</v>
      </c>
      <c r="B10" s="260">
        <v>1.10893</v>
      </c>
      <c r="C10" s="260">
        <v>3.3027899999999999</v>
      </c>
      <c r="D10" s="260">
        <v>6.1472899999999999</v>
      </c>
      <c r="E10" s="260">
        <v>8.0676199999999998</v>
      </c>
      <c r="F10" s="260">
        <v>11.70542</v>
      </c>
      <c r="G10" s="328">
        <v>99.292270000000002</v>
      </c>
    </row>
    <row r="11" spans="1:7">
      <c r="A11" s="196">
        <v>42736</v>
      </c>
      <c r="B11" s="260">
        <v>1.1628499999999999</v>
      </c>
      <c r="C11" s="260">
        <v>3.4642200000000001</v>
      </c>
      <c r="D11" s="260">
        <v>6.4474499999999999</v>
      </c>
      <c r="E11" s="260">
        <v>8.4614799999999999</v>
      </c>
      <c r="F11" s="260">
        <v>12.276820000000001</v>
      </c>
      <c r="G11" s="328">
        <v>104.13995</v>
      </c>
    </row>
    <row r="12" spans="1:7">
      <c r="A12" s="196">
        <v>42217</v>
      </c>
      <c r="B12" s="260">
        <v>1.22499</v>
      </c>
      <c r="C12" s="260">
        <v>3.64899</v>
      </c>
      <c r="D12" s="260">
        <v>6.7916699999999999</v>
      </c>
      <c r="E12" s="260">
        <v>8.9132099999999994</v>
      </c>
      <c r="F12" s="260">
        <v>12.93205</v>
      </c>
      <c r="G12" s="328">
        <v>109.69808</v>
      </c>
    </row>
    <row r="13" spans="1:7">
      <c r="A13" s="196">
        <v>42005</v>
      </c>
      <c r="B13" s="260">
        <v>2.0423</v>
      </c>
      <c r="C13" s="260">
        <v>6.0835100000000004</v>
      </c>
      <c r="D13" s="260">
        <v>11.32274</v>
      </c>
      <c r="E13" s="260">
        <v>14.85962</v>
      </c>
      <c r="F13" s="260">
        <v>21.560220000000001</v>
      </c>
      <c r="G13" s="328">
        <v>182.88493</v>
      </c>
    </row>
    <row r="14" spans="1:7">
      <c r="A14" s="196">
        <v>41640</v>
      </c>
      <c r="B14" s="260">
        <v>2.0021900000000001</v>
      </c>
      <c r="C14" s="260">
        <v>5.9641599999999997</v>
      </c>
      <c r="D14" s="260">
        <v>11.100490000000001</v>
      </c>
      <c r="E14" s="260">
        <v>14.56833</v>
      </c>
      <c r="F14" s="260">
        <v>21.137419999999999</v>
      </c>
      <c r="G14" s="328">
        <v>179.29874000000001</v>
      </c>
    </row>
    <row r="15" spans="1:7">
      <c r="A15" s="196">
        <v>41275</v>
      </c>
      <c r="B15" s="260">
        <v>1.9357800000000001</v>
      </c>
      <c r="C15" s="260">
        <v>5.7665800000000003</v>
      </c>
      <c r="D15" s="260">
        <v>10.73293</v>
      </c>
      <c r="E15" s="260">
        <v>14.085699999999999</v>
      </c>
      <c r="F15" s="260">
        <v>20.437149999999999</v>
      </c>
      <c r="G15" s="328">
        <v>173.35955999999999</v>
      </c>
    </row>
    <row r="16" spans="1:7">
      <c r="A16" s="196">
        <v>40909</v>
      </c>
      <c r="B16" s="260">
        <v>1.9203300000000001</v>
      </c>
      <c r="C16" s="260">
        <v>5.7205500000000002</v>
      </c>
      <c r="D16" s="260">
        <v>10.647119999999999</v>
      </c>
      <c r="E16" s="260">
        <v>13.97326</v>
      </c>
      <c r="F16" s="260">
        <v>20.274080000000001</v>
      </c>
      <c r="G16" s="328">
        <v>171.97676999999999</v>
      </c>
    </row>
    <row r="17" spans="1:13">
      <c r="A17" s="196">
        <v>40664</v>
      </c>
      <c r="B17" s="260">
        <v>1.7865200000000001</v>
      </c>
      <c r="C17" s="260">
        <v>5.3217499999999998</v>
      </c>
      <c r="D17" s="260">
        <v>9.9047699999999992</v>
      </c>
      <c r="E17" s="260">
        <v>12.99912</v>
      </c>
      <c r="F17" s="260">
        <v>18.860379999999999</v>
      </c>
      <c r="G17" s="328">
        <v>159.98499000000001</v>
      </c>
    </row>
    <row r="18" spans="1:13">
      <c r="A18" s="196">
        <v>39083</v>
      </c>
      <c r="B18" s="260">
        <v>2.03342</v>
      </c>
      <c r="C18" s="260">
        <v>6.0568799999999996</v>
      </c>
      <c r="D18" s="260">
        <v>11.273099999999999</v>
      </c>
      <c r="E18" s="260">
        <v>14.79485</v>
      </c>
      <c r="F18" s="260">
        <v>21.465859999999999</v>
      </c>
      <c r="G18" s="328">
        <v>182.08602999999999</v>
      </c>
    </row>
    <row r="19" spans="1:13">
      <c r="A19" s="285">
        <v>38718</v>
      </c>
      <c r="B19" s="327">
        <v>1.99332</v>
      </c>
      <c r="C19" s="327">
        <v>5.9381899999999996</v>
      </c>
      <c r="D19" s="327">
        <v>11.052160000000001</v>
      </c>
      <c r="E19" s="327">
        <v>14.50455</v>
      </c>
      <c r="F19" s="327">
        <v>21.04504</v>
      </c>
      <c r="G19" s="326">
        <v>178.51562000000001</v>
      </c>
    </row>
    <row r="20" spans="1:13">
      <c r="A20" s="285">
        <v>38353</v>
      </c>
      <c r="B20" s="327">
        <v>1.9466300000000001</v>
      </c>
      <c r="C20" s="327">
        <v>5.7981400000000001</v>
      </c>
      <c r="D20" s="327">
        <v>10.791779999999999</v>
      </c>
      <c r="E20" s="327">
        <v>14.16296</v>
      </c>
      <c r="F20" s="327">
        <v>20.54926</v>
      </c>
      <c r="G20" s="326">
        <v>174.31134</v>
      </c>
    </row>
    <row r="21" spans="1:13">
      <c r="A21" s="285">
        <v>38169</v>
      </c>
      <c r="B21" s="325">
        <v>0.92554999999999998</v>
      </c>
      <c r="C21" s="325">
        <v>7.2920999999999996</v>
      </c>
      <c r="D21" s="325">
        <v>27.664290000000001</v>
      </c>
      <c r="E21" s="325">
        <v>72.923339999999996</v>
      </c>
      <c r="F21" s="325">
        <v>104.40834</v>
      </c>
      <c r="G21" s="324">
        <v>303.50326999999999</v>
      </c>
    </row>
    <row r="22" spans="1:13">
      <c r="A22" s="285">
        <v>38078</v>
      </c>
      <c r="B22" s="325">
        <v>0.99009999999999998</v>
      </c>
      <c r="C22" s="325">
        <v>7.8007299999999997</v>
      </c>
      <c r="D22" s="325">
        <v>29.593879999999999</v>
      </c>
      <c r="E22" s="325">
        <v>78.009749999999997</v>
      </c>
      <c r="F22" s="325">
        <v>111.69083999999999</v>
      </c>
      <c r="G22" s="324">
        <v>324.67266000000001</v>
      </c>
    </row>
    <row r="23" spans="1:13">
      <c r="A23" s="323"/>
      <c r="B23" s="273"/>
      <c r="C23" s="186"/>
      <c r="D23" s="322"/>
      <c r="E23" s="322"/>
      <c r="F23" s="322"/>
      <c r="G23" s="321"/>
    </row>
    <row r="24" spans="1:13" ht="23.25">
      <c r="A24" s="254" t="s">
        <v>527</v>
      </c>
      <c r="B24" s="207" t="s">
        <v>476</v>
      </c>
      <c r="C24" s="320" t="s">
        <v>526</v>
      </c>
      <c r="E24" s="319" t="s">
        <v>483</v>
      </c>
      <c r="F24" s="318"/>
      <c r="G24" s="317"/>
    </row>
    <row r="25" spans="1:13">
      <c r="A25" s="316">
        <v>43739</v>
      </c>
      <c r="B25" s="262">
        <f>[2]OUT_TranspRatesInTariffs!$D$36</f>
        <v>6.5879999999999994E-2</v>
      </c>
      <c r="C25" s="300">
        <f>[2]OUT_TranspRatesInTariffs!$D$37</f>
        <v>0.15523480520067401</v>
      </c>
      <c r="E25" s="312"/>
      <c r="F25" s="311"/>
      <c r="G25" s="201"/>
    </row>
    <row r="26" spans="1:13">
      <c r="A26" s="315">
        <v>43678</v>
      </c>
      <c r="B26" s="314">
        <v>6.9180000000000005E-2</v>
      </c>
      <c r="C26" s="313">
        <v>0.15307494999999999</v>
      </c>
      <c r="E26" s="312"/>
      <c r="F26" s="311"/>
      <c r="G26" s="201"/>
    </row>
    <row r="27" spans="1:13">
      <c r="A27" s="196">
        <v>43556</v>
      </c>
      <c r="B27" s="260">
        <v>6.7979999999999999E-2</v>
      </c>
      <c r="C27" s="300">
        <v>0.16971045000000001</v>
      </c>
      <c r="E27" s="310"/>
      <c r="F27" s="221"/>
      <c r="G27" s="201"/>
    </row>
    <row r="28" spans="1:13">
      <c r="A28" s="196">
        <v>43466</v>
      </c>
      <c r="B28" s="260">
        <v>6.7949999999999997E-2</v>
      </c>
      <c r="C28" s="300">
        <v>0.16730999999999999</v>
      </c>
      <c r="E28" s="309">
        <v>43466</v>
      </c>
      <c r="F28" s="308">
        <v>4.7809999999999998E-2</v>
      </c>
      <c r="G28" s="201"/>
    </row>
    <row r="29" spans="1:13">
      <c r="A29" s="196">
        <v>43282</v>
      </c>
      <c r="B29" s="260">
        <v>5.2949999999999997E-2</v>
      </c>
      <c r="C29" s="300">
        <v>0.15487000000000001</v>
      </c>
      <c r="D29" s="162"/>
      <c r="E29" s="307">
        <v>43282</v>
      </c>
      <c r="F29" s="306">
        <v>2.5999999999999999E-2</v>
      </c>
      <c r="G29" s="199"/>
    </row>
    <row r="30" spans="1:13">
      <c r="A30" s="196">
        <v>43101</v>
      </c>
      <c r="B30" s="260">
        <v>2.5329999999999998E-2</v>
      </c>
      <c r="C30" s="300">
        <v>0.12770000000000001</v>
      </c>
      <c r="E30" s="250"/>
      <c r="F30" s="282"/>
      <c r="G30" s="201"/>
      <c r="K30" s="152" t="s">
        <v>525</v>
      </c>
      <c r="L30" s="152" t="s">
        <v>524</v>
      </c>
    </row>
    <row r="31" spans="1:13">
      <c r="A31" s="303">
        <v>42917</v>
      </c>
      <c r="B31" s="305">
        <v>8.6800000000000002E-3</v>
      </c>
      <c r="C31" s="304">
        <v>0.1024</v>
      </c>
      <c r="D31" s="162"/>
      <c r="E31" s="295"/>
      <c r="F31" s="294"/>
      <c r="G31" s="199"/>
      <c r="J31" s="303">
        <v>42917</v>
      </c>
      <c r="K31" s="302">
        <f>B31</f>
        <v>8.6800000000000002E-3</v>
      </c>
      <c r="L31" s="302">
        <f>C31</f>
        <v>0.1024</v>
      </c>
      <c r="M31" s="301"/>
    </row>
    <row r="32" spans="1:13">
      <c r="A32" s="303">
        <v>42736</v>
      </c>
      <c r="B32" s="305">
        <v>7.8200000000000006E-3</v>
      </c>
      <c r="C32" s="304">
        <v>0.10153</v>
      </c>
      <c r="D32" s="162"/>
      <c r="E32" s="297"/>
      <c r="F32" s="296"/>
      <c r="G32" s="199"/>
      <c r="J32" s="303">
        <v>42736</v>
      </c>
      <c r="K32" s="302">
        <f>B32</f>
        <v>7.8200000000000006E-3</v>
      </c>
      <c r="L32" s="302">
        <f>C32</f>
        <v>0.10153</v>
      </c>
      <c r="M32" s="301"/>
    </row>
    <row r="33" spans="1:12">
      <c r="A33" s="196">
        <v>42583</v>
      </c>
      <c r="B33" s="260">
        <v>1.294E-2</v>
      </c>
      <c r="C33" s="300">
        <v>0.1106</v>
      </c>
      <c r="D33" s="162"/>
      <c r="E33" s="297"/>
      <c r="F33" s="296"/>
      <c r="G33" s="199"/>
      <c r="I33" s="152" t="s">
        <v>486</v>
      </c>
      <c r="K33" s="150">
        <f>(K31+K32)/2</f>
        <v>8.2500000000000004E-3</v>
      </c>
      <c r="L33" s="150">
        <f>(L31+L32)/2</f>
        <v>0.101965</v>
      </c>
    </row>
    <row r="34" spans="1:12">
      <c r="A34" s="196">
        <v>42370</v>
      </c>
      <c r="B34" s="260">
        <v>1.223E-2</v>
      </c>
      <c r="C34" s="300">
        <v>3.5470000000000002E-2</v>
      </c>
      <c r="E34" s="299"/>
      <c r="F34" s="298"/>
      <c r="G34" s="201"/>
    </row>
    <row r="35" spans="1:12">
      <c r="A35" s="196">
        <v>42005</v>
      </c>
      <c r="B35" s="260">
        <v>9.1500000000000001E-3</v>
      </c>
      <c r="C35" s="300">
        <v>2.921E-2</v>
      </c>
      <c r="E35" s="299"/>
      <c r="F35" s="298"/>
      <c r="G35" s="201"/>
    </row>
    <row r="36" spans="1:12">
      <c r="A36" s="196">
        <v>41883</v>
      </c>
      <c r="B36" s="293">
        <v>1.9619999999999999E-2</v>
      </c>
      <c r="C36" s="292">
        <v>5.4530000000000002E-2</v>
      </c>
      <c r="E36" s="299"/>
      <c r="F36" s="298"/>
      <c r="G36" s="201"/>
    </row>
    <row r="37" spans="1:12">
      <c r="A37" s="196">
        <v>41640</v>
      </c>
      <c r="B37" s="293">
        <v>1.8939999999999999E-2</v>
      </c>
      <c r="C37" s="292">
        <v>5.3850000000000002E-2</v>
      </c>
      <c r="D37" s="162"/>
      <c r="E37" s="297"/>
      <c r="F37" s="296"/>
      <c r="G37" s="199"/>
    </row>
    <row r="38" spans="1:12">
      <c r="A38" s="196">
        <v>41365</v>
      </c>
      <c r="B38" s="293">
        <v>1.566E-2</v>
      </c>
      <c r="C38" s="292">
        <v>4.4339999999999997E-2</v>
      </c>
      <c r="E38" s="299"/>
      <c r="F38" s="298"/>
      <c r="G38" s="201"/>
    </row>
    <row r="39" spans="1:12">
      <c r="A39" s="196">
        <v>41306</v>
      </c>
      <c r="B39" s="293">
        <v>1.5779999999999999E-2</v>
      </c>
      <c r="C39" s="292">
        <v>4.4450000000000003E-2</v>
      </c>
      <c r="E39" s="299"/>
      <c r="F39" s="298"/>
      <c r="G39" s="201"/>
    </row>
    <row r="40" spans="1:12">
      <c r="A40" s="196">
        <v>41275</v>
      </c>
      <c r="B40" s="293">
        <v>9.8099999999999993E-3</v>
      </c>
      <c r="C40" s="292">
        <v>2.9020000000000001E-2</v>
      </c>
      <c r="E40" s="299"/>
      <c r="F40" s="298"/>
      <c r="G40" s="201"/>
    </row>
    <row r="41" spans="1:12">
      <c r="A41" s="196">
        <v>40909</v>
      </c>
      <c r="B41" s="293">
        <v>1.154E-2</v>
      </c>
      <c r="C41" s="292">
        <v>3.1050000000000001E-2</v>
      </c>
      <c r="E41" s="299"/>
      <c r="F41" s="298"/>
      <c r="G41" s="201"/>
    </row>
    <row r="42" spans="1:12">
      <c r="A42" s="196">
        <v>40695</v>
      </c>
      <c r="B42" s="293">
        <v>7.2500000000000004E-3</v>
      </c>
      <c r="C42" s="292">
        <v>2.7990000000000001E-2</v>
      </c>
      <c r="E42" s="299"/>
      <c r="F42" s="298"/>
      <c r="G42" s="201"/>
    </row>
    <row r="43" spans="1:12">
      <c r="A43" s="196">
        <v>40664</v>
      </c>
      <c r="B43" s="293">
        <v>7.1300000000000001E-3</v>
      </c>
      <c r="C43" s="292">
        <v>2.7869999999999999E-2</v>
      </c>
      <c r="D43" s="162"/>
      <c r="E43" s="297"/>
      <c r="F43" s="296"/>
      <c r="G43" s="199"/>
    </row>
    <row r="44" spans="1:12">
      <c r="A44" s="196">
        <v>40544</v>
      </c>
      <c r="B44" s="293">
        <v>7.0099999999999997E-3</v>
      </c>
      <c r="C44" s="292">
        <v>2.3259999999999999E-2</v>
      </c>
      <c r="E44" s="250"/>
      <c r="F44" s="282"/>
      <c r="G44" s="201"/>
    </row>
    <row r="45" spans="1:12">
      <c r="A45" s="196">
        <v>40391</v>
      </c>
      <c r="B45" s="293">
        <v>6.1199999999999996E-3</v>
      </c>
      <c r="C45" s="292">
        <v>2.155E-2</v>
      </c>
      <c r="D45" s="162"/>
      <c r="E45" s="295"/>
      <c r="F45" s="294"/>
      <c r="G45" s="199"/>
    </row>
    <row r="46" spans="1:12">
      <c r="A46" s="196">
        <v>40179</v>
      </c>
      <c r="B46" s="293">
        <v>6.8399999999999997E-3</v>
      </c>
      <c r="C46" s="292">
        <v>2.222E-2</v>
      </c>
      <c r="E46" s="250"/>
      <c r="F46" s="282"/>
      <c r="G46" s="201"/>
    </row>
    <row r="47" spans="1:12">
      <c r="A47" s="196">
        <v>39814</v>
      </c>
      <c r="B47" s="293">
        <v>3.9500000000000004E-3</v>
      </c>
      <c r="C47" s="292">
        <v>1.8800000000000001E-2</v>
      </c>
      <c r="E47" s="250"/>
      <c r="F47" s="282"/>
      <c r="G47" s="201"/>
    </row>
    <row r="48" spans="1:12">
      <c r="A48" s="196">
        <v>39448</v>
      </c>
      <c r="B48" s="293">
        <v>4.9899999999999996E-3</v>
      </c>
      <c r="C48" s="292">
        <v>1.8270000000000002E-2</v>
      </c>
      <c r="E48" s="250"/>
      <c r="F48" s="282"/>
      <c r="G48" s="201"/>
    </row>
    <row r="49" spans="1:7">
      <c r="A49" s="196">
        <v>39264</v>
      </c>
      <c r="B49" s="293">
        <v>9.9699999999999997E-3</v>
      </c>
      <c r="C49" s="292">
        <v>2.341E-2</v>
      </c>
      <c r="E49" s="250"/>
      <c r="F49" s="282"/>
      <c r="G49" s="201"/>
    </row>
    <row r="50" spans="1:7">
      <c r="A50" s="196">
        <v>39173</v>
      </c>
      <c r="B50" s="293">
        <v>1.004E-2</v>
      </c>
      <c r="C50" s="292">
        <v>2.3480000000000001E-2</v>
      </c>
      <c r="E50" s="250"/>
      <c r="F50" s="282"/>
      <c r="G50" s="201"/>
    </row>
    <row r="51" spans="1:7">
      <c r="A51" s="196">
        <v>39083</v>
      </c>
      <c r="B51" s="293">
        <v>1.001E-2</v>
      </c>
      <c r="C51" s="292">
        <v>2.3449999999999999E-2</v>
      </c>
      <c r="D51" s="289"/>
      <c r="E51" s="288"/>
      <c r="F51" s="287"/>
      <c r="G51" s="286"/>
    </row>
    <row r="52" spans="1:7">
      <c r="A52" s="285">
        <v>38808</v>
      </c>
      <c r="B52" s="290">
        <v>1.184E-2</v>
      </c>
      <c r="C52" s="291">
        <v>2.528E-2</v>
      </c>
      <c r="D52" s="289"/>
      <c r="E52" s="288"/>
      <c r="F52" s="287"/>
      <c r="G52" s="286"/>
    </row>
    <row r="53" spans="1:7">
      <c r="A53" s="285">
        <v>38718</v>
      </c>
      <c r="B53" s="290">
        <v>9.9299999999999996E-3</v>
      </c>
      <c r="C53" s="291">
        <v>2.3369999999999998E-2</v>
      </c>
      <c r="D53" s="289"/>
      <c r="E53" s="288"/>
      <c r="F53" s="287"/>
      <c r="G53" s="286"/>
    </row>
    <row r="54" spans="1:7">
      <c r="A54" s="285">
        <v>38534</v>
      </c>
      <c r="B54" s="290">
        <v>3.4399999999999999E-3</v>
      </c>
      <c r="C54" s="291">
        <v>1.8180000000000002E-2</v>
      </c>
      <c r="D54" s="289"/>
      <c r="E54" s="288"/>
      <c r="F54" s="287"/>
      <c r="G54" s="286"/>
    </row>
    <row r="55" spans="1:7">
      <c r="A55" s="285">
        <v>38353</v>
      </c>
      <c r="B55" s="290">
        <v>5.6999999999999998E-4</v>
      </c>
      <c r="C55" s="283">
        <v>1.5310000000000001E-2</v>
      </c>
      <c r="D55" s="289"/>
      <c r="E55" s="288"/>
      <c r="F55" s="287"/>
      <c r="G55" s="286"/>
    </row>
    <row r="56" spans="1:7">
      <c r="A56" s="285">
        <v>38169</v>
      </c>
      <c r="B56" s="290" t="s">
        <v>523</v>
      </c>
      <c r="C56" s="283">
        <v>1.898E-2</v>
      </c>
      <c r="D56" s="289"/>
      <c r="E56" s="288"/>
      <c r="F56" s="287"/>
      <c r="G56" s="286"/>
    </row>
    <row r="57" spans="1:7">
      <c r="A57" s="285">
        <v>38078</v>
      </c>
      <c r="B57" s="284" t="s">
        <v>523</v>
      </c>
      <c r="C57" s="283">
        <v>1.9349999999999999E-2</v>
      </c>
      <c r="E57" s="250"/>
      <c r="F57" s="282"/>
      <c r="G57" s="201"/>
    </row>
    <row r="58" spans="1:7">
      <c r="A58" s="281"/>
      <c r="B58" s="280"/>
      <c r="C58" s="280"/>
      <c r="D58" s="276"/>
      <c r="E58" s="279"/>
      <c r="F58" s="278"/>
      <c r="G58" s="277"/>
    </row>
    <row r="59" spans="1:7">
      <c r="A59" s="178"/>
      <c r="B59" s="178"/>
      <c r="C59" s="178"/>
      <c r="D59" s="178"/>
      <c r="E59" s="178"/>
      <c r="F59" s="178"/>
      <c r="G59" s="178"/>
    </row>
    <row r="60" spans="1:7">
      <c r="A60" s="180" t="s">
        <v>473</v>
      </c>
      <c r="B60" s="186"/>
      <c r="C60" s="185"/>
      <c r="D60" s="185"/>
      <c r="E60" s="185"/>
      <c r="F60" s="185"/>
      <c r="G60" s="185"/>
    </row>
    <row r="61" spans="1:7">
      <c r="A61" s="180" t="s">
        <v>522</v>
      </c>
      <c r="B61" s="186"/>
      <c r="C61" s="185"/>
      <c r="D61" s="185"/>
      <c r="E61" s="185"/>
      <c r="F61" s="185"/>
      <c r="G61" s="185"/>
    </row>
    <row r="62" spans="1:7">
      <c r="A62" s="182" t="s">
        <v>521</v>
      </c>
      <c r="B62" s="186"/>
      <c r="C62" s="185"/>
      <c r="D62" s="185"/>
      <c r="E62" s="185"/>
      <c r="F62" s="185"/>
      <c r="G62" s="185"/>
    </row>
    <row r="63" spans="1:7">
      <c r="A63" s="182" t="s">
        <v>520</v>
      </c>
      <c r="B63" s="186"/>
      <c r="C63" s="185"/>
      <c r="D63" s="185"/>
      <c r="E63" s="185"/>
      <c r="F63" s="185"/>
      <c r="G63" s="185"/>
    </row>
    <row r="64" spans="1:7">
      <c r="A64" s="179" t="s">
        <v>468</v>
      </c>
      <c r="B64" s="172"/>
      <c r="C64" s="172"/>
      <c r="D64" s="172"/>
      <c r="E64" s="172"/>
      <c r="F64" s="172"/>
      <c r="G64" s="172"/>
    </row>
    <row r="65" spans="1:7">
      <c r="A65" s="172"/>
      <c r="B65" s="172"/>
      <c r="C65" s="172"/>
      <c r="D65" s="172"/>
      <c r="E65" s="172"/>
      <c r="F65" s="172"/>
      <c r="G65" s="172"/>
    </row>
  </sheetData>
  <mergeCells count="4">
    <mergeCell ref="A1:G1"/>
    <mergeCell ref="A3:G3"/>
    <mergeCell ref="A4:G4"/>
    <mergeCell ref="A5:G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0"/>
  <sheetViews>
    <sheetView topLeftCell="A330" workbookViewId="0">
      <selection activeCell="A35" sqref="A35:XFD42"/>
    </sheetView>
  </sheetViews>
  <sheetFormatPr defaultColWidth="9.1328125" defaultRowHeight="12.75"/>
  <cols>
    <col min="1" max="16384" width="9.1328125" style="150"/>
  </cols>
  <sheetData>
    <row r="1" spans="1:14" ht="15">
      <c r="A1" s="338" t="s">
        <v>551</v>
      </c>
      <c r="B1" s="337" t="s">
        <v>550</v>
      </c>
    </row>
    <row r="2" spans="1:14" ht="23.25">
      <c r="A2" s="336" t="s">
        <v>549</v>
      </c>
      <c r="B2" s="334" t="s">
        <v>548</v>
      </c>
      <c r="C2" s="334" t="s">
        <v>547</v>
      </c>
      <c r="D2" s="334" t="s">
        <v>546</v>
      </c>
      <c r="E2" s="334" t="s">
        <v>545</v>
      </c>
      <c r="F2" s="334" t="s">
        <v>544</v>
      </c>
      <c r="G2" s="334" t="s">
        <v>543</v>
      </c>
      <c r="H2" s="334" t="s">
        <v>542</v>
      </c>
      <c r="I2" s="334" t="s">
        <v>541</v>
      </c>
    </row>
    <row r="3" spans="1:14" ht="196.9">
      <c r="A3" s="335" t="s">
        <v>540</v>
      </c>
      <c r="B3" s="333" t="s">
        <v>539</v>
      </c>
      <c r="C3" s="333" t="s">
        <v>538</v>
      </c>
      <c r="D3" s="333" t="s">
        <v>537</v>
      </c>
      <c r="E3" s="333" t="s">
        <v>536</v>
      </c>
      <c r="F3" s="333" t="s">
        <v>535</v>
      </c>
      <c r="G3" s="333" t="s">
        <v>534</v>
      </c>
      <c r="H3" s="333" t="s">
        <v>533</v>
      </c>
      <c r="I3" s="333" t="s">
        <v>532</v>
      </c>
      <c r="J3" s="334"/>
      <c r="K3" s="334"/>
      <c r="L3" s="334"/>
      <c r="M3" s="334"/>
      <c r="N3" s="334"/>
    </row>
    <row r="4" spans="1:14" ht="13.15">
      <c r="A4" s="332">
        <v>32523</v>
      </c>
      <c r="B4" s="150">
        <v>2.88</v>
      </c>
      <c r="C4" s="150">
        <v>5.84</v>
      </c>
      <c r="E4" s="150">
        <v>5.28</v>
      </c>
      <c r="F4" s="150">
        <v>94.6</v>
      </c>
      <c r="J4" s="333"/>
      <c r="K4" s="333"/>
      <c r="L4" s="333"/>
      <c r="M4" s="333"/>
      <c r="N4" s="333"/>
    </row>
    <row r="5" spans="1:14">
      <c r="A5" s="332">
        <v>32554</v>
      </c>
      <c r="B5" s="150">
        <v>2.95</v>
      </c>
      <c r="C5" s="150">
        <v>5.63</v>
      </c>
      <c r="E5" s="150">
        <v>5.25</v>
      </c>
      <c r="F5" s="150">
        <v>95.1</v>
      </c>
    </row>
    <row r="6" spans="1:14">
      <c r="A6" s="332">
        <v>32582</v>
      </c>
      <c r="B6" s="150">
        <v>2.5299999999999998</v>
      </c>
      <c r="C6" s="150">
        <v>5.21</v>
      </c>
      <c r="E6" s="150">
        <v>5.27</v>
      </c>
      <c r="F6" s="150">
        <v>93</v>
      </c>
    </row>
    <row r="7" spans="1:14">
      <c r="A7" s="332">
        <v>32613</v>
      </c>
      <c r="B7" s="150">
        <v>2.4900000000000002</v>
      </c>
      <c r="C7" s="150">
        <v>4.62</v>
      </c>
      <c r="E7" s="150">
        <v>5.16</v>
      </c>
      <c r="F7" s="150">
        <v>88.3</v>
      </c>
    </row>
    <row r="8" spans="1:14">
      <c r="A8" s="332">
        <v>32643</v>
      </c>
      <c r="B8" s="150">
        <v>2.87</v>
      </c>
      <c r="C8" s="150">
        <v>5.69</v>
      </c>
      <c r="E8" s="150">
        <v>4.28</v>
      </c>
      <c r="F8" s="150">
        <v>94.8</v>
      </c>
    </row>
    <row r="9" spans="1:14">
      <c r="A9" s="332">
        <v>32674</v>
      </c>
      <c r="B9" s="150">
        <v>2.68</v>
      </c>
      <c r="C9" s="150">
        <v>6.09</v>
      </c>
      <c r="E9" s="150">
        <v>4.07</v>
      </c>
      <c r="F9" s="150">
        <v>92.8</v>
      </c>
    </row>
    <row r="10" spans="1:14">
      <c r="A10" s="332">
        <v>32704</v>
      </c>
      <c r="B10" s="150">
        <v>2.77</v>
      </c>
      <c r="C10" s="150">
        <v>6.07</v>
      </c>
      <c r="E10" s="150">
        <v>4.63</v>
      </c>
      <c r="F10" s="150">
        <v>89.4</v>
      </c>
    </row>
    <row r="11" spans="1:14">
      <c r="A11" s="332">
        <v>32735</v>
      </c>
      <c r="B11" s="150">
        <v>2.84</v>
      </c>
      <c r="C11" s="150">
        <v>5.9</v>
      </c>
      <c r="E11" s="150">
        <v>4.57</v>
      </c>
      <c r="F11" s="150">
        <v>87.8</v>
      </c>
    </row>
    <row r="12" spans="1:14">
      <c r="A12" s="332">
        <v>32766</v>
      </c>
      <c r="B12" s="150">
        <v>2.82</v>
      </c>
      <c r="C12" s="150">
        <v>6.1</v>
      </c>
      <c r="E12" s="150">
        <v>4.3899999999999997</v>
      </c>
      <c r="F12" s="150">
        <v>91</v>
      </c>
    </row>
    <row r="13" spans="1:14">
      <c r="A13" s="332">
        <v>32796</v>
      </c>
      <c r="B13" s="150">
        <v>2.59</v>
      </c>
      <c r="C13" s="150">
        <v>6.11</v>
      </c>
      <c r="E13" s="150">
        <v>4.3499999999999996</v>
      </c>
      <c r="F13" s="150">
        <v>88.5</v>
      </c>
    </row>
    <row r="14" spans="1:14">
      <c r="A14" s="332">
        <v>32827</v>
      </c>
      <c r="B14" s="150">
        <v>2.83</v>
      </c>
      <c r="C14" s="150">
        <v>5.12</v>
      </c>
      <c r="E14" s="150">
        <v>5.13</v>
      </c>
      <c r="F14" s="150">
        <v>90.1</v>
      </c>
    </row>
    <row r="15" spans="1:14">
      <c r="A15" s="332">
        <v>32857</v>
      </c>
      <c r="B15" s="150">
        <v>2.85</v>
      </c>
      <c r="C15" s="150">
        <v>5.38</v>
      </c>
      <c r="E15" s="150">
        <v>5.49</v>
      </c>
      <c r="F15" s="150">
        <v>92.2</v>
      </c>
    </row>
    <row r="16" spans="1:14">
      <c r="A16" s="332">
        <v>32888</v>
      </c>
      <c r="B16" s="150">
        <v>3.02</v>
      </c>
      <c r="C16" s="150">
        <v>5.72</v>
      </c>
      <c r="E16" s="150">
        <v>5.56</v>
      </c>
      <c r="F16" s="150">
        <v>95.8</v>
      </c>
    </row>
    <row r="17" spans="1:6">
      <c r="A17" s="332">
        <v>32919</v>
      </c>
      <c r="B17" s="150">
        <v>2.87</v>
      </c>
      <c r="C17" s="150">
        <v>5.77</v>
      </c>
      <c r="E17" s="150">
        <v>5.64</v>
      </c>
      <c r="F17" s="150">
        <v>81.099999999999994</v>
      </c>
    </row>
    <row r="18" spans="1:6">
      <c r="A18" s="332">
        <v>32947</v>
      </c>
      <c r="B18" s="150">
        <v>2.7</v>
      </c>
      <c r="C18" s="150">
        <v>5.64</v>
      </c>
      <c r="E18" s="150">
        <v>5.64</v>
      </c>
      <c r="F18" s="150">
        <v>94.4</v>
      </c>
    </row>
    <row r="19" spans="1:6">
      <c r="A19" s="332">
        <v>32978</v>
      </c>
      <c r="B19" s="150">
        <v>2.79</v>
      </c>
      <c r="C19" s="150">
        <v>5.07</v>
      </c>
      <c r="E19" s="150">
        <v>5.29</v>
      </c>
      <c r="F19" s="150">
        <v>90.4</v>
      </c>
    </row>
    <row r="20" spans="1:6">
      <c r="A20" s="332">
        <v>33008</v>
      </c>
      <c r="B20" s="150">
        <v>2.83</v>
      </c>
      <c r="C20" s="150">
        <v>5.96</v>
      </c>
      <c r="E20" s="150">
        <v>4.54</v>
      </c>
      <c r="F20" s="150">
        <v>90.2</v>
      </c>
    </row>
    <row r="21" spans="1:6">
      <c r="A21" s="332">
        <v>33039</v>
      </c>
      <c r="B21" s="150">
        <v>2.9</v>
      </c>
      <c r="C21" s="150">
        <v>6.22</v>
      </c>
      <c r="E21" s="150">
        <v>4.37</v>
      </c>
      <c r="F21" s="150">
        <v>85.6</v>
      </c>
    </row>
    <row r="22" spans="1:6">
      <c r="A22" s="332">
        <v>33069</v>
      </c>
      <c r="B22" s="150">
        <v>3.23</v>
      </c>
      <c r="C22" s="150">
        <v>6.07</v>
      </c>
      <c r="E22" s="150">
        <v>4.4000000000000004</v>
      </c>
      <c r="F22" s="150">
        <v>78</v>
      </c>
    </row>
    <row r="23" spans="1:6">
      <c r="A23" s="332">
        <v>33100</v>
      </c>
      <c r="B23" s="150">
        <v>2.87</v>
      </c>
      <c r="C23" s="150">
        <v>5.9</v>
      </c>
      <c r="E23" s="150">
        <v>4.6399999999999997</v>
      </c>
      <c r="F23" s="150">
        <v>82.6</v>
      </c>
    </row>
    <row r="24" spans="1:6">
      <c r="A24" s="332">
        <v>33131</v>
      </c>
      <c r="B24" s="150">
        <v>2.84</v>
      </c>
      <c r="C24" s="150">
        <v>6.04</v>
      </c>
      <c r="E24" s="150">
        <v>4.37</v>
      </c>
      <c r="F24" s="150">
        <v>79.099999999999994</v>
      </c>
    </row>
    <row r="25" spans="1:6">
      <c r="A25" s="332">
        <v>33161</v>
      </c>
      <c r="B25" s="150">
        <v>2.82</v>
      </c>
      <c r="C25" s="150">
        <v>6.15</v>
      </c>
      <c r="E25" s="150">
        <v>5.03</v>
      </c>
      <c r="F25" s="150">
        <v>82.3</v>
      </c>
    </row>
    <row r="26" spans="1:6">
      <c r="A26" s="332">
        <v>33192</v>
      </c>
      <c r="B26" s="150">
        <v>2.96</v>
      </c>
      <c r="C26" s="150">
        <v>5.36</v>
      </c>
      <c r="E26" s="150">
        <v>5.05</v>
      </c>
      <c r="F26" s="150">
        <v>85.6</v>
      </c>
    </row>
    <row r="27" spans="1:6">
      <c r="A27" s="332">
        <v>33222</v>
      </c>
      <c r="B27" s="150">
        <v>2.99</v>
      </c>
      <c r="C27" s="150">
        <v>5.99</v>
      </c>
      <c r="E27" s="150">
        <v>5.58</v>
      </c>
      <c r="F27" s="150">
        <v>88.3</v>
      </c>
    </row>
    <row r="28" spans="1:6">
      <c r="A28" s="332">
        <v>33253</v>
      </c>
      <c r="B28" s="150">
        <v>2.91</v>
      </c>
      <c r="C28" s="150">
        <v>6.6</v>
      </c>
      <c r="E28" s="150">
        <v>6.08</v>
      </c>
      <c r="F28" s="150">
        <v>90.5</v>
      </c>
    </row>
    <row r="29" spans="1:6">
      <c r="A29" s="332">
        <v>33284</v>
      </c>
      <c r="B29" s="150">
        <v>2.84</v>
      </c>
      <c r="C29" s="150">
        <v>6.03</v>
      </c>
      <c r="E29" s="150">
        <v>6.29</v>
      </c>
      <c r="F29" s="150">
        <v>88.4</v>
      </c>
    </row>
    <row r="30" spans="1:6">
      <c r="A30" s="332">
        <v>33312</v>
      </c>
      <c r="B30" s="150">
        <v>2.64</v>
      </c>
      <c r="C30" s="150">
        <v>6.04</v>
      </c>
      <c r="E30" s="150">
        <v>6.29</v>
      </c>
      <c r="F30" s="150">
        <v>90.2</v>
      </c>
    </row>
    <row r="31" spans="1:6">
      <c r="A31" s="332">
        <v>33343</v>
      </c>
      <c r="B31" s="150">
        <v>2.69</v>
      </c>
      <c r="C31" s="150">
        <v>5.91</v>
      </c>
      <c r="E31" s="150">
        <v>5.6</v>
      </c>
      <c r="F31" s="150">
        <v>71</v>
      </c>
    </row>
    <row r="32" spans="1:6">
      <c r="A32" s="332">
        <v>33373</v>
      </c>
      <c r="B32" s="150">
        <v>2.63</v>
      </c>
      <c r="C32" s="150">
        <v>6.33</v>
      </c>
      <c r="E32" s="150">
        <v>4.71</v>
      </c>
      <c r="F32" s="150">
        <v>82.2</v>
      </c>
    </row>
    <row r="33" spans="1:6">
      <c r="A33" s="332">
        <v>33404</v>
      </c>
      <c r="B33" s="150">
        <v>2.78</v>
      </c>
      <c r="C33" s="150">
        <v>6.68</v>
      </c>
      <c r="E33" s="150">
        <v>5.17</v>
      </c>
      <c r="F33" s="150">
        <v>71</v>
      </c>
    </row>
    <row r="34" spans="1:6">
      <c r="A34" s="332">
        <v>33434</v>
      </c>
      <c r="B34" s="150">
        <v>2.71</v>
      </c>
      <c r="C34" s="150">
        <v>6.52</v>
      </c>
      <c r="E34" s="150">
        <v>4.88</v>
      </c>
      <c r="F34" s="150">
        <v>68</v>
      </c>
    </row>
    <row r="35" spans="1:6">
      <c r="A35" s="332">
        <v>33465</v>
      </c>
      <c r="B35" s="150">
        <v>2.78</v>
      </c>
      <c r="C35" s="150">
        <v>6.42</v>
      </c>
      <c r="E35" s="150">
        <v>5.42</v>
      </c>
      <c r="F35" s="150">
        <v>85.8</v>
      </c>
    </row>
    <row r="36" spans="1:6">
      <c r="A36" s="332">
        <v>33496</v>
      </c>
      <c r="B36" s="150">
        <v>2.76</v>
      </c>
      <c r="C36" s="150">
        <v>6.48</v>
      </c>
      <c r="E36" s="150">
        <v>4.21</v>
      </c>
      <c r="F36" s="150">
        <v>68</v>
      </c>
    </row>
    <row r="37" spans="1:6">
      <c r="A37" s="332">
        <v>33526</v>
      </c>
      <c r="B37" s="150">
        <v>2.8</v>
      </c>
      <c r="C37" s="150">
        <v>6.46</v>
      </c>
      <c r="E37" s="150">
        <v>4.09</v>
      </c>
      <c r="F37" s="150">
        <v>64.7</v>
      </c>
    </row>
    <row r="38" spans="1:6">
      <c r="A38" s="332">
        <v>33557</v>
      </c>
      <c r="B38" s="150">
        <v>2.78</v>
      </c>
      <c r="C38" s="150">
        <v>5.92</v>
      </c>
      <c r="E38" s="150">
        <v>6.31</v>
      </c>
      <c r="F38" s="150">
        <v>69.8</v>
      </c>
    </row>
    <row r="39" spans="1:6">
      <c r="A39" s="332">
        <v>33587</v>
      </c>
      <c r="B39" s="150">
        <v>3.25</v>
      </c>
      <c r="C39" s="150">
        <v>6.21</v>
      </c>
      <c r="E39" s="150">
        <v>5.92</v>
      </c>
      <c r="F39" s="150">
        <v>80.3</v>
      </c>
    </row>
    <row r="40" spans="1:6">
      <c r="A40" s="332">
        <v>33618</v>
      </c>
      <c r="B40" s="150">
        <v>2.87</v>
      </c>
      <c r="C40" s="150">
        <v>6.15</v>
      </c>
      <c r="E40" s="150">
        <v>4.8</v>
      </c>
      <c r="F40" s="150">
        <v>86.6</v>
      </c>
    </row>
    <row r="41" spans="1:6">
      <c r="A41" s="332">
        <v>33649</v>
      </c>
      <c r="B41" s="150">
        <v>2.56</v>
      </c>
      <c r="C41" s="150">
        <v>6.03</v>
      </c>
      <c r="E41" s="150">
        <v>8.65</v>
      </c>
      <c r="F41" s="150">
        <v>65.599999999999994</v>
      </c>
    </row>
    <row r="42" spans="1:6">
      <c r="A42" s="332">
        <v>33678</v>
      </c>
      <c r="B42" s="150">
        <v>2.37</v>
      </c>
      <c r="C42" s="150">
        <v>5.76</v>
      </c>
      <c r="E42" s="150">
        <v>5.94</v>
      </c>
      <c r="F42" s="150">
        <v>75.7</v>
      </c>
    </row>
    <row r="43" spans="1:6">
      <c r="A43" s="332">
        <v>33709</v>
      </c>
      <c r="B43" s="150">
        <v>2.88</v>
      </c>
      <c r="C43" s="150">
        <v>5.52</v>
      </c>
      <c r="E43" s="150">
        <v>5.93</v>
      </c>
      <c r="F43" s="150">
        <v>79</v>
      </c>
    </row>
    <row r="44" spans="1:6">
      <c r="A44" s="332">
        <v>33739</v>
      </c>
      <c r="B44" s="150">
        <v>2.4700000000000002</v>
      </c>
      <c r="C44" s="150">
        <v>5.99</v>
      </c>
      <c r="E44" s="150">
        <v>3.77</v>
      </c>
      <c r="F44" s="150">
        <v>63.5</v>
      </c>
    </row>
    <row r="45" spans="1:6">
      <c r="A45" s="332">
        <v>33770</v>
      </c>
      <c r="B45" s="150">
        <v>2.59</v>
      </c>
      <c r="C45" s="150">
        <v>6.28</v>
      </c>
      <c r="E45" s="150">
        <v>3.91</v>
      </c>
      <c r="F45" s="150">
        <v>74.5</v>
      </c>
    </row>
    <row r="46" spans="1:6">
      <c r="A46" s="332">
        <v>33800</v>
      </c>
      <c r="B46" s="150">
        <v>2.73</v>
      </c>
      <c r="C46" s="150">
        <v>6.27</v>
      </c>
      <c r="E46" s="150">
        <v>4.3899999999999997</v>
      </c>
      <c r="F46" s="150">
        <v>60.9</v>
      </c>
    </row>
    <row r="47" spans="1:6">
      <c r="A47" s="332">
        <v>33831</v>
      </c>
      <c r="B47" s="150">
        <v>2.82</v>
      </c>
      <c r="C47" s="150">
        <v>6.21</v>
      </c>
      <c r="E47" s="150">
        <v>4.4000000000000004</v>
      </c>
      <c r="F47" s="150">
        <v>64.599999999999994</v>
      </c>
    </row>
    <row r="48" spans="1:6">
      <c r="A48" s="332">
        <v>33862</v>
      </c>
      <c r="B48" s="150">
        <v>2.8</v>
      </c>
      <c r="C48" s="150">
        <v>6.29</v>
      </c>
      <c r="E48" s="150">
        <v>4.2</v>
      </c>
      <c r="F48" s="150">
        <v>79.7</v>
      </c>
    </row>
    <row r="49" spans="1:6">
      <c r="A49" s="332">
        <v>33892</v>
      </c>
      <c r="B49" s="150">
        <v>2.92</v>
      </c>
      <c r="C49" s="150">
        <v>6.35</v>
      </c>
      <c r="E49" s="150">
        <v>4.53</v>
      </c>
      <c r="F49" s="150">
        <v>79</v>
      </c>
    </row>
    <row r="50" spans="1:6">
      <c r="A50" s="332">
        <v>33923</v>
      </c>
      <c r="B50" s="150">
        <v>2.91</v>
      </c>
      <c r="C50" s="150">
        <v>5.6</v>
      </c>
      <c r="E50" s="150">
        <v>5.45</v>
      </c>
      <c r="F50" s="150">
        <v>76.7</v>
      </c>
    </row>
    <row r="51" spans="1:6">
      <c r="A51" s="332">
        <v>33953</v>
      </c>
      <c r="B51" s="150">
        <v>2.75</v>
      </c>
      <c r="C51" s="150">
        <v>5.8</v>
      </c>
      <c r="E51" s="150">
        <v>5.73</v>
      </c>
      <c r="F51" s="150">
        <v>81.400000000000006</v>
      </c>
    </row>
    <row r="52" spans="1:6">
      <c r="A52" s="332">
        <v>33984</v>
      </c>
      <c r="B52" s="150">
        <v>2.74</v>
      </c>
      <c r="C52" s="150">
        <v>6.2</v>
      </c>
      <c r="E52" s="150">
        <v>7.66</v>
      </c>
      <c r="F52" s="150">
        <v>79.900000000000006</v>
      </c>
    </row>
    <row r="53" spans="1:6">
      <c r="A53" s="332">
        <v>34015</v>
      </c>
      <c r="B53" s="150">
        <v>2.69</v>
      </c>
      <c r="C53" s="150">
        <v>6.02</v>
      </c>
      <c r="E53" s="150">
        <v>6</v>
      </c>
      <c r="F53" s="150">
        <v>82.3</v>
      </c>
    </row>
    <row r="54" spans="1:6">
      <c r="A54" s="332">
        <v>34043</v>
      </c>
      <c r="B54" s="150">
        <v>2.9</v>
      </c>
      <c r="C54" s="150">
        <v>5.87</v>
      </c>
      <c r="E54" s="150">
        <v>6.84</v>
      </c>
      <c r="F54" s="150">
        <v>77.599999999999994</v>
      </c>
    </row>
    <row r="55" spans="1:6">
      <c r="A55" s="332">
        <v>34074</v>
      </c>
      <c r="B55" s="150">
        <v>2.86</v>
      </c>
      <c r="C55" s="150">
        <v>5.71</v>
      </c>
      <c r="E55" s="150">
        <v>6.08</v>
      </c>
      <c r="F55" s="150">
        <v>80.7</v>
      </c>
    </row>
    <row r="56" spans="1:6">
      <c r="A56" s="332">
        <v>34104</v>
      </c>
      <c r="B56" s="150">
        <v>2.97</v>
      </c>
      <c r="C56" s="150">
        <v>6.1</v>
      </c>
      <c r="E56" s="150">
        <v>5.79</v>
      </c>
      <c r="F56" s="150">
        <v>76.8</v>
      </c>
    </row>
    <row r="57" spans="1:6">
      <c r="A57" s="332">
        <v>34135</v>
      </c>
      <c r="B57" s="150">
        <v>2.84</v>
      </c>
      <c r="C57" s="150">
        <v>6.58</v>
      </c>
      <c r="E57" s="150">
        <v>6.44</v>
      </c>
      <c r="F57" s="150">
        <v>71.400000000000006</v>
      </c>
    </row>
    <row r="58" spans="1:6">
      <c r="A58" s="332">
        <v>34165</v>
      </c>
      <c r="B58" s="150">
        <v>2.81</v>
      </c>
      <c r="C58" s="150">
        <v>6.61</v>
      </c>
      <c r="E58" s="150">
        <v>5.12</v>
      </c>
      <c r="F58" s="150">
        <v>76.400000000000006</v>
      </c>
    </row>
    <row r="59" spans="1:6">
      <c r="A59" s="332">
        <v>34196</v>
      </c>
      <c r="B59" s="150">
        <v>2.77</v>
      </c>
      <c r="C59" s="150">
        <v>6.61</v>
      </c>
      <c r="E59" s="150">
        <v>6.58</v>
      </c>
      <c r="F59" s="150">
        <v>70.3</v>
      </c>
    </row>
    <row r="60" spans="1:6">
      <c r="A60" s="332">
        <v>34227</v>
      </c>
      <c r="B60" s="150">
        <v>3.08</v>
      </c>
      <c r="C60" s="150">
        <v>6.67</v>
      </c>
      <c r="E60" s="150">
        <v>5.75</v>
      </c>
      <c r="F60" s="150">
        <v>70.599999999999994</v>
      </c>
    </row>
    <row r="61" spans="1:6">
      <c r="A61" s="332">
        <v>34257</v>
      </c>
      <c r="B61" s="150">
        <v>2.84</v>
      </c>
      <c r="C61" s="150">
        <v>6.69</v>
      </c>
      <c r="E61" s="150">
        <v>4.92</v>
      </c>
      <c r="F61" s="150">
        <v>73.8</v>
      </c>
    </row>
    <row r="62" spans="1:6">
      <c r="A62" s="332">
        <v>34288</v>
      </c>
      <c r="B62" s="150">
        <v>3.05</v>
      </c>
      <c r="C62" s="150">
        <v>6.29</v>
      </c>
      <c r="E62" s="150">
        <v>5.03</v>
      </c>
      <c r="F62" s="150">
        <v>75.7</v>
      </c>
    </row>
    <row r="63" spans="1:6">
      <c r="A63" s="332">
        <v>34318</v>
      </c>
      <c r="B63" s="150">
        <v>2.86</v>
      </c>
      <c r="C63" s="150">
        <v>6.33</v>
      </c>
      <c r="E63" s="150">
        <v>5.69</v>
      </c>
      <c r="F63" s="150">
        <v>78.8</v>
      </c>
    </row>
    <row r="64" spans="1:6">
      <c r="A64" s="332">
        <v>34349</v>
      </c>
      <c r="B64" s="150">
        <v>2.83</v>
      </c>
      <c r="C64" s="150">
        <v>6.36</v>
      </c>
      <c r="E64" s="150">
        <v>8.16</v>
      </c>
      <c r="F64" s="150">
        <v>51.3</v>
      </c>
    </row>
    <row r="65" spans="1:6">
      <c r="A65" s="332">
        <v>34380</v>
      </c>
      <c r="B65" s="150">
        <v>3.09</v>
      </c>
      <c r="C65" s="150">
        <v>6.25</v>
      </c>
      <c r="E65" s="150">
        <v>8.6999999999999993</v>
      </c>
      <c r="F65" s="150">
        <v>47.2</v>
      </c>
    </row>
    <row r="66" spans="1:6">
      <c r="A66" s="332">
        <v>34408</v>
      </c>
      <c r="B66" s="150">
        <v>2.98</v>
      </c>
      <c r="C66" s="150">
        <v>6.13</v>
      </c>
      <c r="E66" s="150">
        <v>8.27</v>
      </c>
      <c r="F66" s="150">
        <v>50.6</v>
      </c>
    </row>
    <row r="67" spans="1:6">
      <c r="A67" s="332">
        <v>34439</v>
      </c>
      <c r="B67" s="150">
        <v>2.62</v>
      </c>
      <c r="C67" s="150">
        <v>6.55</v>
      </c>
      <c r="E67" s="150">
        <v>8.2799999999999994</v>
      </c>
      <c r="F67" s="150">
        <v>40.5</v>
      </c>
    </row>
    <row r="68" spans="1:6">
      <c r="A68" s="332">
        <v>34469</v>
      </c>
      <c r="B68" s="150">
        <v>2.57</v>
      </c>
      <c r="C68" s="150">
        <v>5.62</v>
      </c>
      <c r="E68" s="150">
        <v>5.85</v>
      </c>
      <c r="F68" s="150">
        <v>47.4</v>
      </c>
    </row>
    <row r="69" spans="1:6">
      <c r="A69" s="332">
        <v>34500</v>
      </c>
      <c r="B69" s="150">
        <v>2.57</v>
      </c>
      <c r="C69" s="150">
        <v>6.64</v>
      </c>
      <c r="E69" s="150">
        <v>7.77</v>
      </c>
      <c r="F69" s="150">
        <v>32.200000000000003</v>
      </c>
    </row>
    <row r="70" spans="1:6">
      <c r="A70" s="332">
        <v>34530</v>
      </c>
      <c r="B70" s="150">
        <v>2.4500000000000002</v>
      </c>
      <c r="C70" s="150">
        <v>6.55</v>
      </c>
      <c r="E70" s="150">
        <v>5.42</v>
      </c>
      <c r="F70" s="150">
        <v>36.4</v>
      </c>
    </row>
    <row r="71" spans="1:6">
      <c r="A71" s="332">
        <v>34561</v>
      </c>
      <c r="B71" s="150">
        <v>2.5299999999999998</v>
      </c>
      <c r="C71" s="150">
        <v>6.68</v>
      </c>
      <c r="E71" s="150">
        <v>7.45</v>
      </c>
      <c r="F71" s="150">
        <v>46.5</v>
      </c>
    </row>
    <row r="72" spans="1:6">
      <c r="A72" s="332">
        <v>34592</v>
      </c>
      <c r="B72" s="150">
        <v>2.23</v>
      </c>
      <c r="C72" s="150">
        <v>6.66</v>
      </c>
      <c r="E72" s="150">
        <v>7.19</v>
      </c>
      <c r="F72" s="150">
        <v>46</v>
      </c>
    </row>
    <row r="73" spans="1:6">
      <c r="A73" s="332">
        <v>34622</v>
      </c>
      <c r="B73" s="150">
        <v>2.48</v>
      </c>
      <c r="C73" s="150">
        <v>6.71</v>
      </c>
      <c r="E73" s="150">
        <v>5.68</v>
      </c>
      <c r="F73" s="150">
        <v>52.2</v>
      </c>
    </row>
    <row r="74" spans="1:6">
      <c r="A74" s="332">
        <v>34653</v>
      </c>
      <c r="B74" s="150">
        <v>2.2200000000000002</v>
      </c>
      <c r="C74" s="150">
        <v>6.33</v>
      </c>
      <c r="E74" s="150">
        <v>6.02</v>
      </c>
      <c r="F74" s="150">
        <v>57.8</v>
      </c>
    </row>
    <row r="75" spans="1:6">
      <c r="A75" s="332">
        <v>34683</v>
      </c>
      <c r="B75" s="150">
        <v>2.39</v>
      </c>
      <c r="C75" s="150">
        <v>6.63</v>
      </c>
      <c r="E75" s="150">
        <v>6.83</v>
      </c>
      <c r="F75" s="150">
        <v>68.2</v>
      </c>
    </row>
    <row r="76" spans="1:6">
      <c r="A76" s="332">
        <v>34714</v>
      </c>
      <c r="B76" s="150">
        <v>1.94</v>
      </c>
      <c r="C76" s="150">
        <v>6.52</v>
      </c>
      <c r="E76" s="150">
        <v>7.11</v>
      </c>
      <c r="F76" s="150">
        <v>61.3</v>
      </c>
    </row>
    <row r="77" spans="1:6">
      <c r="A77" s="332">
        <v>34745</v>
      </c>
      <c r="B77" s="150">
        <v>1.95</v>
      </c>
      <c r="C77" s="150">
        <v>6.39</v>
      </c>
      <c r="E77" s="150">
        <v>6.74</v>
      </c>
      <c r="F77" s="150">
        <v>58.6</v>
      </c>
    </row>
    <row r="78" spans="1:6">
      <c r="A78" s="332">
        <v>34773</v>
      </c>
      <c r="B78" s="150">
        <v>1.89</v>
      </c>
      <c r="C78" s="150">
        <v>6.28</v>
      </c>
      <c r="E78" s="150">
        <v>6.41</v>
      </c>
      <c r="F78" s="150">
        <v>64.7</v>
      </c>
    </row>
    <row r="79" spans="1:6">
      <c r="A79" s="332">
        <v>34804</v>
      </c>
      <c r="B79" s="150">
        <v>2.12</v>
      </c>
      <c r="C79" s="150">
        <v>6.22</v>
      </c>
      <c r="E79" s="150">
        <v>5.98</v>
      </c>
      <c r="F79" s="150">
        <v>56.8</v>
      </c>
    </row>
    <row r="80" spans="1:6">
      <c r="A80" s="332">
        <v>34834</v>
      </c>
      <c r="B80" s="150">
        <v>2.0299999999999998</v>
      </c>
      <c r="C80" s="150">
        <v>6.58</v>
      </c>
      <c r="E80" s="150">
        <v>5.56</v>
      </c>
      <c r="F80" s="150">
        <v>50.3</v>
      </c>
    </row>
    <row r="81" spans="1:6">
      <c r="A81" s="332">
        <v>34865</v>
      </c>
      <c r="B81" s="150">
        <v>1.84</v>
      </c>
      <c r="C81" s="150">
        <v>7.11</v>
      </c>
      <c r="E81" s="150">
        <v>5.98</v>
      </c>
      <c r="F81" s="150">
        <v>53.1</v>
      </c>
    </row>
    <row r="82" spans="1:6">
      <c r="A82" s="332">
        <v>34895</v>
      </c>
      <c r="B82" s="150">
        <v>2.1800000000000002</v>
      </c>
      <c r="C82" s="150">
        <v>6.88</v>
      </c>
      <c r="E82" s="150">
        <v>5.68</v>
      </c>
      <c r="F82" s="150">
        <v>44.7</v>
      </c>
    </row>
    <row r="83" spans="1:6">
      <c r="A83" s="332">
        <v>34926</v>
      </c>
      <c r="B83" s="150">
        <v>2.25</v>
      </c>
      <c r="C83" s="150">
        <v>6.76</v>
      </c>
      <c r="E83" s="150">
        <v>6.2</v>
      </c>
      <c r="F83" s="150">
        <v>44.1</v>
      </c>
    </row>
    <row r="84" spans="1:6">
      <c r="A84" s="332">
        <v>34957</v>
      </c>
      <c r="B84" s="150">
        <v>2.06</v>
      </c>
      <c r="C84" s="150">
        <v>6.9</v>
      </c>
      <c r="E84" s="150">
        <v>6</v>
      </c>
      <c r="F84" s="150">
        <v>39.9</v>
      </c>
    </row>
    <row r="85" spans="1:6">
      <c r="A85" s="332">
        <v>34987</v>
      </c>
      <c r="B85" s="150">
        <v>2.14</v>
      </c>
      <c r="C85" s="150">
        <v>6.66</v>
      </c>
      <c r="E85" s="150">
        <v>6.04</v>
      </c>
      <c r="F85" s="150">
        <v>43.4</v>
      </c>
    </row>
    <row r="86" spans="1:6">
      <c r="A86" s="332">
        <v>35018</v>
      </c>
      <c r="B86" s="150">
        <v>2.15</v>
      </c>
      <c r="C86" s="150">
        <v>5.78</v>
      </c>
      <c r="E86" s="150">
        <v>4.67</v>
      </c>
      <c r="F86" s="150">
        <v>48.7</v>
      </c>
    </row>
    <row r="87" spans="1:6">
      <c r="A87" s="332">
        <v>35048</v>
      </c>
      <c r="B87" s="150">
        <v>1.9</v>
      </c>
      <c r="C87" s="150">
        <v>5.92</v>
      </c>
      <c r="E87" s="150">
        <v>7.01</v>
      </c>
      <c r="F87" s="150">
        <v>50.9</v>
      </c>
    </row>
    <row r="88" spans="1:6">
      <c r="A88" s="332">
        <v>35079</v>
      </c>
      <c r="B88" s="150">
        <v>2.29</v>
      </c>
      <c r="C88" s="150">
        <v>6.48</v>
      </c>
      <c r="E88" s="150">
        <v>6.74</v>
      </c>
      <c r="F88" s="150">
        <v>59.9</v>
      </c>
    </row>
    <row r="89" spans="1:6">
      <c r="A89" s="332">
        <v>35110</v>
      </c>
      <c r="B89" s="150">
        <v>2.25</v>
      </c>
      <c r="C89" s="150">
        <v>6.33</v>
      </c>
      <c r="E89" s="150">
        <v>6.19</v>
      </c>
      <c r="F89" s="150">
        <v>59.6</v>
      </c>
    </row>
    <row r="90" spans="1:6">
      <c r="A90" s="332">
        <v>35139</v>
      </c>
      <c r="B90" s="150">
        <v>2.42</v>
      </c>
      <c r="C90" s="150">
        <v>6.21</v>
      </c>
      <c r="E90" s="150">
        <v>6.6</v>
      </c>
      <c r="F90" s="150">
        <v>63.7</v>
      </c>
    </row>
    <row r="91" spans="1:6">
      <c r="A91" s="332">
        <v>35170</v>
      </c>
      <c r="B91" s="150">
        <v>2.2200000000000002</v>
      </c>
      <c r="C91" s="150">
        <v>6.01</v>
      </c>
      <c r="E91" s="150">
        <v>5.99</v>
      </c>
      <c r="F91" s="150">
        <v>64.099999999999994</v>
      </c>
    </row>
    <row r="92" spans="1:6">
      <c r="A92" s="332">
        <v>35200</v>
      </c>
      <c r="B92" s="150">
        <v>2.14</v>
      </c>
      <c r="C92" s="150">
        <v>6.39</v>
      </c>
      <c r="E92" s="150">
        <v>5.55</v>
      </c>
      <c r="F92" s="150">
        <v>52.6</v>
      </c>
    </row>
    <row r="93" spans="1:6">
      <c r="A93" s="332">
        <v>35231</v>
      </c>
      <c r="B93" s="150">
        <v>2.56</v>
      </c>
      <c r="C93" s="150">
        <v>6.99</v>
      </c>
      <c r="E93" s="150">
        <v>5.42</v>
      </c>
      <c r="F93" s="150">
        <v>53.5</v>
      </c>
    </row>
    <row r="94" spans="1:6">
      <c r="A94" s="332">
        <v>35261</v>
      </c>
      <c r="B94" s="150">
        <v>2.42</v>
      </c>
      <c r="C94" s="150">
        <v>8.2799999999999994</v>
      </c>
      <c r="E94" s="150">
        <v>5.5</v>
      </c>
      <c r="F94" s="150">
        <v>48.4</v>
      </c>
    </row>
    <row r="95" spans="1:6">
      <c r="A95" s="332">
        <v>35292</v>
      </c>
      <c r="B95" s="150">
        <v>2.77</v>
      </c>
      <c r="C95" s="150">
        <v>6.85</v>
      </c>
      <c r="E95" s="150">
        <v>5.25</v>
      </c>
      <c r="F95" s="150">
        <v>44.7</v>
      </c>
    </row>
    <row r="96" spans="1:6">
      <c r="A96" s="332">
        <v>35323</v>
      </c>
      <c r="B96" s="150">
        <v>2.34</v>
      </c>
      <c r="C96" s="150">
        <v>5.94</v>
      </c>
      <c r="E96" s="150">
        <v>5.46</v>
      </c>
      <c r="F96" s="150">
        <v>45.3</v>
      </c>
    </row>
    <row r="97" spans="1:6">
      <c r="A97" s="332">
        <v>35353</v>
      </c>
      <c r="B97" s="150">
        <v>2.37</v>
      </c>
      <c r="C97" s="150">
        <v>6.67</v>
      </c>
      <c r="E97" s="150">
        <v>5.68</v>
      </c>
      <c r="F97" s="150">
        <v>44.1</v>
      </c>
    </row>
    <row r="98" spans="1:6">
      <c r="A98" s="332">
        <v>35384</v>
      </c>
      <c r="B98" s="150">
        <v>3</v>
      </c>
      <c r="C98" s="150">
        <v>6.41</v>
      </c>
      <c r="E98" s="150">
        <v>5.49</v>
      </c>
      <c r="F98" s="150">
        <v>57.9</v>
      </c>
    </row>
    <row r="99" spans="1:6">
      <c r="A99" s="332">
        <v>35414</v>
      </c>
      <c r="B99" s="150">
        <v>3.81</v>
      </c>
      <c r="C99" s="150">
        <v>6.2</v>
      </c>
      <c r="E99" s="150">
        <v>6.36</v>
      </c>
      <c r="F99" s="150">
        <v>56.1</v>
      </c>
    </row>
    <row r="100" spans="1:6">
      <c r="A100" s="332">
        <v>35445</v>
      </c>
      <c r="B100" s="150">
        <v>4.1399999999999997</v>
      </c>
      <c r="C100" s="150">
        <v>6.27</v>
      </c>
      <c r="E100" s="150">
        <v>7.12</v>
      </c>
      <c r="F100" s="150">
        <v>57.4</v>
      </c>
    </row>
    <row r="101" spans="1:6">
      <c r="A101" s="332">
        <v>35476</v>
      </c>
      <c r="B101" s="150">
        <v>3.21</v>
      </c>
      <c r="C101" s="150">
        <v>6.27</v>
      </c>
      <c r="E101" s="150">
        <v>6.92</v>
      </c>
      <c r="F101" s="150">
        <v>59.3</v>
      </c>
    </row>
    <row r="102" spans="1:6">
      <c r="A102" s="332">
        <v>35504</v>
      </c>
      <c r="B102" s="150">
        <v>2.25</v>
      </c>
      <c r="C102" s="150">
        <v>6.42</v>
      </c>
      <c r="E102" s="150">
        <v>6.65</v>
      </c>
      <c r="F102" s="150">
        <v>54.6</v>
      </c>
    </row>
    <row r="103" spans="1:6">
      <c r="A103" s="332">
        <v>35535</v>
      </c>
      <c r="B103" s="150">
        <v>2.2999999999999998</v>
      </c>
      <c r="C103" s="150">
        <v>6.18</v>
      </c>
      <c r="E103" s="150">
        <v>6.04</v>
      </c>
      <c r="F103" s="150">
        <v>52.5</v>
      </c>
    </row>
    <row r="104" spans="1:6">
      <c r="A104" s="332">
        <v>35565</v>
      </c>
      <c r="B104" s="150">
        <v>2.5499999999999998</v>
      </c>
      <c r="C104" s="150">
        <v>6.38</v>
      </c>
      <c r="E104" s="150">
        <v>5.28</v>
      </c>
      <c r="F104" s="150">
        <v>50</v>
      </c>
    </row>
    <row r="105" spans="1:6">
      <c r="A105" s="332">
        <v>35596</v>
      </c>
      <c r="B105" s="150">
        <v>2.67</v>
      </c>
      <c r="C105" s="150">
        <v>7.7</v>
      </c>
      <c r="E105" s="150">
        <v>6.26</v>
      </c>
      <c r="F105" s="150">
        <v>48.5</v>
      </c>
    </row>
    <row r="106" spans="1:6">
      <c r="A106" s="332">
        <v>35626</v>
      </c>
      <c r="B106" s="150">
        <v>3.72</v>
      </c>
      <c r="C106" s="150">
        <v>7.05</v>
      </c>
      <c r="E106" s="150">
        <v>5.85</v>
      </c>
      <c r="F106" s="150">
        <v>45.6</v>
      </c>
    </row>
    <row r="107" spans="1:6">
      <c r="A107" s="332">
        <v>35657</v>
      </c>
      <c r="B107" s="150">
        <v>2.79</v>
      </c>
      <c r="C107" s="150">
        <v>7.56</v>
      </c>
      <c r="E107" s="150">
        <v>4.95</v>
      </c>
      <c r="F107" s="150">
        <v>41.5</v>
      </c>
    </row>
    <row r="108" spans="1:6">
      <c r="A108" s="332">
        <v>35688</v>
      </c>
      <c r="B108" s="150">
        <v>2.74</v>
      </c>
      <c r="C108" s="150">
        <v>7.42</v>
      </c>
      <c r="E108" s="150">
        <v>5.83</v>
      </c>
      <c r="F108" s="150">
        <v>40.700000000000003</v>
      </c>
    </row>
    <row r="109" spans="1:6">
      <c r="A109" s="332">
        <v>35718</v>
      </c>
      <c r="B109" s="150">
        <v>3.18</v>
      </c>
      <c r="C109" s="150">
        <v>7.8</v>
      </c>
      <c r="E109" s="150">
        <v>6.64</v>
      </c>
      <c r="F109" s="150">
        <v>41.6</v>
      </c>
    </row>
    <row r="110" spans="1:6">
      <c r="A110" s="332">
        <v>35749</v>
      </c>
      <c r="B110" s="150">
        <v>3.3</v>
      </c>
      <c r="C110" s="150">
        <v>7.48</v>
      </c>
      <c r="E110" s="150">
        <v>7.03</v>
      </c>
      <c r="F110" s="150">
        <v>49.2</v>
      </c>
    </row>
    <row r="111" spans="1:6">
      <c r="A111" s="332">
        <v>35779</v>
      </c>
      <c r="B111" s="150">
        <v>2.65</v>
      </c>
      <c r="C111" s="150">
        <v>7.2</v>
      </c>
      <c r="E111" s="150">
        <v>6.98</v>
      </c>
      <c r="F111" s="150">
        <v>54.8</v>
      </c>
    </row>
    <row r="112" spans="1:6">
      <c r="A112" s="332">
        <v>35810</v>
      </c>
      <c r="B112" s="150">
        <v>2.35</v>
      </c>
      <c r="C112" s="150">
        <v>7.27</v>
      </c>
      <c r="E112" s="150">
        <v>6.8</v>
      </c>
      <c r="F112" s="150">
        <v>63.4</v>
      </c>
    </row>
    <row r="113" spans="1:6">
      <c r="A113" s="332">
        <v>35841</v>
      </c>
      <c r="B113" s="150">
        <v>2.12</v>
      </c>
      <c r="C113" s="150">
        <v>6.48</v>
      </c>
      <c r="E113" s="150">
        <v>6.86</v>
      </c>
      <c r="F113" s="150">
        <v>59.8</v>
      </c>
    </row>
    <row r="114" spans="1:6">
      <c r="A114" s="332">
        <v>35869</v>
      </c>
      <c r="B114" s="150">
        <v>2.38</v>
      </c>
      <c r="C114" s="150">
        <v>6.77</v>
      </c>
      <c r="E114" s="150">
        <v>7.18</v>
      </c>
      <c r="F114" s="150">
        <v>75.5</v>
      </c>
    </row>
    <row r="115" spans="1:6">
      <c r="A115" s="332">
        <v>35900</v>
      </c>
      <c r="B115" s="150">
        <v>2.33</v>
      </c>
      <c r="C115" s="150">
        <v>6.79</v>
      </c>
      <c r="E115" s="150">
        <v>6.76</v>
      </c>
      <c r="F115" s="150">
        <v>58.3</v>
      </c>
    </row>
    <row r="116" spans="1:6">
      <c r="A116" s="332">
        <v>35930</v>
      </c>
      <c r="B116" s="150">
        <v>2.4900000000000002</v>
      </c>
      <c r="C116" s="150">
        <v>7</v>
      </c>
      <c r="E116" s="150">
        <v>5.77</v>
      </c>
      <c r="F116" s="150">
        <v>53.9</v>
      </c>
    </row>
    <row r="117" spans="1:6">
      <c r="A117" s="332">
        <v>35961</v>
      </c>
      <c r="B117" s="150">
        <v>2.34</v>
      </c>
      <c r="C117" s="150">
        <v>7.31</v>
      </c>
      <c r="E117" s="150">
        <v>6.01</v>
      </c>
      <c r="F117" s="150">
        <v>58.4</v>
      </c>
    </row>
    <row r="118" spans="1:6">
      <c r="A118" s="332">
        <v>35991</v>
      </c>
      <c r="B118" s="150">
        <v>2.39</v>
      </c>
      <c r="C118" s="150">
        <v>7.06</v>
      </c>
      <c r="E118" s="150">
        <v>5.59</v>
      </c>
      <c r="F118" s="150">
        <v>36.4</v>
      </c>
    </row>
    <row r="119" spans="1:6">
      <c r="A119" s="332">
        <v>36022</v>
      </c>
      <c r="B119" s="150">
        <v>2.46</v>
      </c>
      <c r="C119" s="150">
        <v>7.2</v>
      </c>
      <c r="E119" s="150">
        <v>5.98</v>
      </c>
      <c r="F119" s="150">
        <v>29</v>
      </c>
    </row>
    <row r="120" spans="1:6">
      <c r="A120" s="332">
        <v>36053</v>
      </c>
      <c r="B120" s="150">
        <v>1.98</v>
      </c>
      <c r="C120" s="150">
        <v>7</v>
      </c>
      <c r="E120" s="150">
        <v>5.93</v>
      </c>
      <c r="F120" s="150">
        <v>33.200000000000003</v>
      </c>
    </row>
    <row r="121" spans="1:6">
      <c r="A121" s="332">
        <v>36083</v>
      </c>
      <c r="B121" s="150">
        <v>2.2200000000000002</v>
      </c>
      <c r="C121" s="150">
        <v>6.87</v>
      </c>
      <c r="E121" s="150">
        <v>5.73</v>
      </c>
      <c r="F121" s="150">
        <v>37.5</v>
      </c>
    </row>
    <row r="122" spans="1:6">
      <c r="A122" s="332">
        <v>36114</v>
      </c>
      <c r="B122" s="150">
        <v>2.4900000000000002</v>
      </c>
      <c r="C122" s="150">
        <v>6.79</v>
      </c>
      <c r="E122" s="150">
        <v>6.08</v>
      </c>
      <c r="F122" s="150">
        <v>38.799999999999997</v>
      </c>
    </row>
    <row r="123" spans="1:6">
      <c r="A123" s="332">
        <v>36144</v>
      </c>
      <c r="B123" s="150">
        <v>2.75</v>
      </c>
      <c r="C123" s="150">
        <v>6.88</v>
      </c>
      <c r="E123" s="150">
        <v>6.38</v>
      </c>
      <c r="F123" s="150">
        <v>49.2</v>
      </c>
    </row>
    <row r="124" spans="1:6">
      <c r="A124" s="332">
        <v>36175</v>
      </c>
      <c r="B124" s="150">
        <v>2.21</v>
      </c>
      <c r="C124" s="150">
        <v>6.82</v>
      </c>
      <c r="E124" s="150">
        <v>6.15</v>
      </c>
      <c r="F124" s="150">
        <v>63.5</v>
      </c>
    </row>
    <row r="125" spans="1:6">
      <c r="A125" s="332">
        <v>36206</v>
      </c>
      <c r="B125" s="150">
        <v>2.2000000000000002</v>
      </c>
      <c r="C125" s="150">
        <v>6.54</v>
      </c>
      <c r="E125" s="150">
        <v>6.64</v>
      </c>
      <c r="F125" s="150">
        <v>60.4</v>
      </c>
    </row>
    <row r="126" spans="1:6">
      <c r="A126" s="332">
        <v>36234</v>
      </c>
      <c r="B126" s="150">
        <v>2.06</v>
      </c>
      <c r="C126" s="150">
        <v>6.22</v>
      </c>
      <c r="E126" s="150">
        <v>5.46</v>
      </c>
      <c r="F126" s="150">
        <v>61.4</v>
      </c>
    </row>
    <row r="127" spans="1:6">
      <c r="A127" s="332">
        <v>36265</v>
      </c>
      <c r="B127" s="150">
        <v>2.15</v>
      </c>
      <c r="C127" s="150">
        <v>5.98</v>
      </c>
      <c r="E127" s="150">
        <v>5.88</v>
      </c>
      <c r="F127" s="150">
        <v>62.5</v>
      </c>
    </row>
    <row r="128" spans="1:6">
      <c r="A128" s="332">
        <v>36295</v>
      </c>
      <c r="B128" s="150">
        <v>2.7</v>
      </c>
      <c r="C128" s="150">
        <v>6.22</v>
      </c>
      <c r="E128" s="150">
        <v>5.53</v>
      </c>
      <c r="F128" s="150">
        <v>51.1</v>
      </c>
    </row>
    <row r="129" spans="1:6">
      <c r="A129" s="332">
        <v>36326</v>
      </c>
      <c r="B129" s="150">
        <v>2.6</v>
      </c>
      <c r="C129" s="150">
        <v>6.82</v>
      </c>
      <c r="E129" s="150">
        <v>5.74</v>
      </c>
      <c r="F129" s="150">
        <v>61.9</v>
      </c>
    </row>
    <row r="130" spans="1:6">
      <c r="A130" s="332">
        <v>36356</v>
      </c>
      <c r="B130" s="150">
        <v>2.61</v>
      </c>
      <c r="C130" s="150">
        <v>7.04</v>
      </c>
      <c r="E130" s="150">
        <v>6</v>
      </c>
      <c r="F130" s="150">
        <v>53.8</v>
      </c>
    </row>
    <row r="131" spans="1:6">
      <c r="A131" s="332">
        <v>36387</v>
      </c>
      <c r="B131" s="150">
        <v>2.82</v>
      </c>
      <c r="C131" s="150">
        <v>7.21</v>
      </c>
      <c r="E131" s="150">
        <v>6.42</v>
      </c>
      <c r="F131" s="150">
        <v>39</v>
      </c>
    </row>
    <row r="132" spans="1:6">
      <c r="A132" s="332">
        <v>36418</v>
      </c>
      <c r="B132" s="150">
        <v>3.02</v>
      </c>
      <c r="C132" s="150">
        <v>6.88</v>
      </c>
      <c r="E132" s="150">
        <v>6.3</v>
      </c>
      <c r="F132" s="150">
        <v>51.2</v>
      </c>
    </row>
    <row r="133" spans="1:6">
      <c r="A133" s="332">
        <v>36448</v>
      </c>
      <c r="B133" s="150">
        <v>3.44</v>
      </c>
      <c r="C133" s="150">
        <v>7.51</v>
      </c>
      <c r="E133" s="150">
        <v>6.69</v>
      </c>
      <c r="F133" s="150">
        <v>55.4</v>
      </c>
    </row>
    <row r="134" spans="1:6">
      <c r="A134" s="332">
        <v>36479</v>
      </c>
      <c r="B134" s="150">
        <v>3.27</v>
      </c>
      <c r="C134" s="150">
        <v>7.13</v>
      </c>
      <c r="E134" s="150">
        <v>6.74</v>
      </c>
      <c r="F134" s="150">
        <v>54.2</v>
      </c>
    </row>
    <row r="135" spans="1:6">
      <c r="A135" s="332">
        <v>36509</v>
      </c>
      <c r="B135" s="150">
        <v>2.65</v>
      </c>
      <c r="C135" s="150">
        <v>6.52</v>
      </c>
      <c r="E135" s="150">
        <v>6.76</v>
      </c>
      <c r="F135" s="150">
        <v>60.7</v>
      </c>
    </row>
    <row r="136" spans="1:6">
      <c r="A136" s="332">
        <v>36540</v>
      </c>
      <c r="B136" s="150">
        <v>2.59</v>
      </c>
      <c r="C136" s="150">
        <v>6.32</v>
      </c>
      <c r="E136" s="150">
        <v>6.2</v>
      </c>
      <c r="F136" s="150">
        <v>58.3</v>
      </c>
    </row>
    <row r="137" spans="1:6">
      <c r="A137" s="332">
        <v>36571</v>
      </c>
      <c r="B137" s="150">
        <v>2.88</v>
      </c>
      <c r="C137" s="150">
        <v>7.01</v>
      </c>
      <c r="E137" s="150">
        <v>6.73</v>
      </c>
      <c r="F137" s="150">
        <v>61.2</v>
      </c>
    </row>
    <row r="138" spans="1:6">
      <c r="A138" s="332">
        <v>36600</v>
      </c>
      <c r="B138" s="150">
        <v>2.9</v>
      </c>
      <c r="C138" s="150">
        <v>7.07</v>
      </c>
      <c r="E138" s="150">
        <v>6.68</v>
      </c>
      <c r="F138" s="150">
        <v>60.3</v>
      </c>
    </row>
    <row r="139" spans="1:6">
      <c r="A139" s="332">
        <v>36631</v>
      </c>
      <c r="B139" s="150">
        <v>3.4</v>
      </c>
      <c r="C139" s="150">
        <v>7.2</v>
      </c>
      <c r="E139" s="150">
        <v>6.29</v>
      </c>
      <c r="F139" s="150">
        <v>59.1</v>
      </c>
    </row>
    <row r="140" spans="1:6">
      <c r="A140" s="332">
        <v>36661</v>
      </c>
      <c r="B140" s="150">
        <v>3.44</v>
      </c>
      <c r="C140" s="150">
        <v>7.78</v>
      </c>
      <c r="E140" s="150">
        <v>7.04</v>
      </c>
      <c r="F140" s="150">
        <v>54.5</v>
      </c>
    </row>
    <row r="141" spans="1:6">
      <c r="A141" s="332">
        <v>36692</v>
      </c>
      <c r="B141" s="150">
        <v>4.42</v>
      </c>
      <c r="C141" s="150">
        <v>8.3800000000000008</v>
      </c>
      <c r="E141" s="150">
        <v>6.69</v>
      </c>
      <c r="F141" s="150">
        <v>59.3</v>
      </c>
    </row>
    <row r="142" spans="1:6">
      <c r="A142" s="332">
        <v>36722</v>
      </c>
      <c r="B142" s="150">
        <v>4.7699999999999996</v>
      </c>
      <c r="C142" s="150">
        <v>8.93</v>
      </c>
      <c r="E142" s="150">
        <v>7.57</v>
      </c>
      <c r="F142" s="150">
        <v>52.3</v>
      </c>
    </row>
    <row r="143" spans="1:6">
      <c r="A143" s="332">
        <v>36753</v>
      </c>
      <c r="B143" s="150">
        <v>4.1100000000000003</v>
      </c>
      <c r="C143" s="150">
        <v>8.75</v>
      </c>
      <c r="E143" s="150">
        <v>7.29</v>
      </c>
      <c r="F143" s="150">
        <v>47.5</v>
      </c>
    </row>
    <row r="144" spans="1:6">
      <c r="A144" s="332">
        <v>36784</v>
      </c>
      <c r="B144" s="150">
        <v>4.9800000000000004</v>
      </c>
      <c r="C144" s="150">
        <v>8.84</v>
      </c>
      <c r="E144" s="150">
        <v>7.96</v>
      </c>
      <c r="F144" s="150">
        <v>49.8</v>
      </c>
    </row>
    <row r="145" spans="1:9">
      <c r="A145" s="332">
        <v>36814</v>
      </c>
      <c r="B145" s="150">
        <v>5.17</v>
      </c>
      <c r="C145" s="150">
        <v>9.89</v>
      </c>
      <c r="E145" s="150">
        <v>8.52</v>
      </c>
      <c r="F145" s="150">
        <v>57</v>
      </c>
    </row>
    <row r="146" spans="1:9">
      <c r="A146" s="332">
        <v>36845</v>
      </c>
      <c r="B146" s="150">
        <v>5.09</v>
      </c>
      <c r="C146" s="150">
        <v>9.5399999999999991</v>
      </c>
      <c r="E146" s="150">
        <v>8.76</v>
      </c>
      <c r="F146" s="150">
        <v>56.4</v>
      </c>
    </row>
    <row r="147" spans="1:9">
      <c r="A147" s="332">
        <v>36875</v>
      </c>
      <c r="B147" s="150">
        <v>7.3</v>
      </c>
      <c r="C147" s="150">
        <v>10.48</v>
      </c>
      <c r="E147" s="150">
        <v>10.41</v>
      </c>
      <c r="F147" s="150">
        <v>63.5</v>
      </c>
    </row>
    <row r="148" spans="1:9">
      <c r="A148" s="332">
        <v>36906</v>
      </c>
      <c r="B148" s="150">
        <v>12.64</v>
      </c>
      <c r="C148" s="150">
        <v>12.23</v>
      </c>
      <c r="E148" s="150">
        <v>12.35</v>
      </c>
      <c r="F148" s="150">
        <v>63.8</v>
      </c>
      <c r="G148" s="150">
        <v>7.75</v>
      </c>
      <c r="H148" s="150">
        <v>14.3</v>
      </c>
    </row>
    <row r="149" spans="1:9">
      <c r="A149" s="332">
        <v>36937</v>
      </c>
      <c r="B149" s="150">
        <v>9.42</v>
      </c>
      <c r="C149" s="150">
        <v>13.91</v>
      </c>
      <c r="E149" s="150">
        <v>14.26</v>
      </c>
      <c r="F149" s="150">
        <v>66.5</v>
      </c>
      <c r="G149" s="150">
        <v>9.34</v>
      </c>
      <c r="H149" s="150">
        <v>12.9</v>
      </c>
    </row>
    <row r="150" spans="1:9">
      <c r="A150" s="332">
        <v>36965</v>
      </c>
      <c r="B150" s="150">
        <v>8.36</v>
      </c>
      <c r="C150" s="150">
        <v>13.92</v>
      </c>
      <c r="E150" s="150">
        <v>14.2</v>
      </c>
      <c r="F150" s="150">
        <v>64.3</v>
      </c>
      <c r="G150" s="150">
        <v>9.84</v>
      </c>
      <c r="H150" s="150">
        <v>13</v>
      </c>
    </row>
    <row r="151" spans="1:9">
      <c r="A151" s="332">
        <v>36996</v>
      </c>
      <c r="B151" s="150">
        <v>7.52</v>
      </c>
      <c r="C151" s="150">
        <v>12.05</v>
      </c>
      <c r="E151" s="150">
        <v>11.58</v>
      </c>
      <c r="F151" s="150">
        <v>51.9</v>
      </c>
      <c r="G151" s="150">
        <v>10.06</v>
      </c>
      <c r="H151" s="150">
        <v>10.4</v>
      </c>
    </row>
    <row r="152" spans="1:9">
      <c r="A152" s="332">
        <v>37026</v>
      </c>
      <c r="B152" s="150">
        <v>7.32</v>
      </c>
      <c r="C152" s="150">
        <v>11.74</v>
      </c>
      <c r="E152" s="150">
        <v>10.78</v>
      </c>
      <c r="F152" s="150">
        <v>62.7</v>
      </c>
      <c r="G152" s="150">
        <v>7.53</v>
      </c>
      <c r="H152" s="150">
        <v>9</v>
      </c>
    </row>
    <row r="153" spans="1:9">
      <c r="A153" s="332">
        <v>37057</v>
      </c>
      <c r="B153" s="150">
        <v>8.08</v>
      </c>
      <c r="C153" s="150">
        <v>11.4</v>
      </c>
      <c r="E153" s="150">
        <v>9.65</v>
      </c>
      <c r="F153" s="150">
        <v>66.2</v>
      </c>
      <c r="G153" s="150">
        <v>7.09</v>
      </c>
      <c r="H153" s="150">
        <v>7.7</v>
      </c>
    </row>
    <row r="154" spans="1:9">
      <c r="A154" s="332">
        <v>37087</v>
      </c>
      <c r="B154" s="150">
        <v>2.92</v>
      </c>
      <c r="C154" s="150">
        <v>8.75</v>
      </c>
      <c r="E154" s="150">
        <v>7.32</v>
      </c>
      <c r="F154" s="150">
        <v>59.8</v>
      </c>
      <c r="G154" s="150">
        <v>5.17</v>
      </c>
      <c r="H154" s="150">
        <v>6.6</v>
      </c>
    </row>
    <row r="155" spans="1:9">
      <c r="A155" s="332">
        <v>37118</v>
      </c>
      <c r="B155" s="150">
        <v>2.8</v>
      </c>
      <c r="C155" s="150">
        <v>8.26</v>
      </c>
      <c r="E155" s="150">
        <v>6.69</v>
      </c>
      <c r="F155" s="150">
        <v>60.3</v>
      </c>
      <c r="G155" s="150">
        <v>4.68</v>
      </c>
      <c r="H155" s="150">
        <v>6.7</v>
      </c>
    </row>
    <row r="156" spans="1:9">
      <c r="A156" s="332">
        <v>37149</v>
      </c>
      <c r="B156" s="150">
        <v>2.71</v>
      </c>
      <c r="C156" s="150">
        <v>7.33</v>
      </c>
      <c r="E156" s="150">
        <v>5.56</v>
      </c>
      <c r="F156" s="150">
        <v>60.3</v>
      </c>
      <c r="G156" s="150">
        <v>3.83</v>
      </c>
      <c r="H156" s="150">
        <v>6.4</v>
      </c>
    </row>
    <row r="157" spans="1:9">
      <c r="A157" s="332">
        <v>37179</v>
      </c>
      <c r="B157" s="150">
        <v>2.38</v>
      </c>
      <c r="C157" s="150">
        <v>6.05</v>
      </c>
      <c r="E157" s="150">
        <v>4.67</v>
      </c>
      <c r="F157" s="150">
        <v>63.5</v>
      </c>
      <c r="G157" s="150">
        <v>3.31</v>
      </c>
      <c r="H157" s="150">
        <v>8</v>
      </c>
    </row>
    <row r="158" spans="1:9">
      <c r="A158" s="332">
        <v>37210</v>
      </c>
      <c r="B158" s="150">
        <v>3.15</v>
      </c>
      <c r="C158" s="150">
        <v>5.88</v>
      </c>
      <c r="E158" s="150">
        <v>5.18</v>
      </c>
      <c r="F158" s="150">
        <v>63.2</v>
      </c>
      <c r="G158" s="150">
        <v>3.4</v>
      </c>
      <c r="H158" s="150">
        <v>8.1999999999999993</v>
      </c>
    </row>
    <row r="159" spans="1:9">
      <c r="A159" s="332">
        <v>37240</v>
      </c>
      <c r="B159" s="150">
        <v>2.8</v>
      </c>
      <c r="C159" s="150">
        <v>6.08</v>
      </c>
      <c r="E159" s="150">
        <v>5.35</v>
      </c>
      <c r="F159" s="150">
        <v>68</v>
      </c>
      <c r="G159" s="150">
        <v>3.75</v>
      </c>
      <c r="H159" s="150">
        <v>8</v>
      </c>
    </row>
    <row r="160" spans="1:9">
      <c r="A160" s="332">
        <v>37271</v>
      </c>
      <c r="B160" s="150">
        <v>2.68</v>
      </c>
      <c r="C160" s="150">
        <v>7.13</v>
      </c>
      <c r="D160" s="150">
        <v>99.3</v>
      </c>
      <c r="E160" s="150">
        <v>6.61</v>
      </c>
      <c r="F160" s="150">
        <v>70.7</v>
      </c>
      <c r="G160" s="150">
        <v>5.51</v>
      </c>
      <c r="H160" s="150">
        <v>8</v>
      </c>
      <c r="I160" s="150">
        <v>3.42</v>
      </c>
    </row>
    <row r="161" spans="1:9">
      <c r="A161" s="332">
        <v>37302</v>
      </c>
      <c r="B161" s="150">
        <v>2.4</v>
      </c>
      <c r="C161" s="150">
        <v>6.69</v>
      </c>
      <c r="D161" s="150">
        <v>99.3</v>
      </c>
      <c r="E161" s="150">
        <v>5.91</v>
      </c>
      <c r="F161" s="150">
        <v>70.5</v>
      </c>
      <c r="G161" s="150">
        <v>4.5</v>
      </c>
      <c r="H161" s="150">
        <v>9.4</v>
      </c>
      <c r="I161" s="150">
        <v>3.23</v>
      </c>
    </row>
    <row r="162" spans="1:9">
      <c r="A162" s="332">
        <v>37330</v>
      </c>
      <c r="B162" s="150">
        <v>2.75</v>
      </c>
      <c r="C162" s="150">
        <v>6.01</v>
      </c>
      <c r="D162" s="150">
        <v>99.4</v>
      </c>
      <c r="E162" s="150">
        <v>5.57</v>
      </c>
      <c r="F162" s="150">
        <v>73.599999999999994</v>
      </c>
      <c r="G162" s="150">
        <v>4.25</v>
      </c>
      <c r="H162" s="150">
        <v>8.8000000000000007</v>
      </c>
      <c r="I162" s="150">
        <v>3.71</v>
      </c>
    </row>
    <row r="163" spans="1:9">
      <c r="A163" s="332">
        <v>37361</v>
      </c>
      <c r="B163" s="150">
        <v>3.85</v>
      </c>
      <c r="C163" s="150">
        <v>6.86</v>
      </c>
      <c r="D163" s="150">
        <v>99.3</v>
      </c>
      <c r="E163" s="150">
        <v>6.14</v>
      </c>
      <c r="F163" s="150">
        <v>69.599999999999994</v>
      </c>
      <c r="G163" s="150">
        <v>5.48</v>
      </c>
      <c r="H163" s="150">
        <v>7.4</v>
      </c>
      <c r="I163" s="150">
        <v>4.01</v>
      </c>
    </row>
    <row r="164" spans="1:9">
      <c r="A164" s="332">
        <v>37391</v>
      </c>
      <c r="B164" s="150">
        <v>3.18</v>
      </c>
      <c r="C164" s="150">
        <v>7.31</v>
      </c>
      <c r="D164" s="150">
        <v>99.3</v>
      </c>
      <c r="E164" s="150">
        <v>5.7</v>
      </c>
      <c r="F164" s="150">
        <v>65.5</v>
      </c>
      <c r="G164" s="150">
        <v>4.84</v>
      </c>
      <c r="H164" s="150">
        <v>9.5</v>
      </c>
      <c r="I164" s="150">
        <v>3.84</v>
      </c>
    </row>
    <row r="165" spans="1:9">
      <c r="A165" s="332">
        <v>37422</v>
      </c>
      <c r="B165" s="150">
        <v>2.98</v>
      </c>
      <c r="C165" s="150">
        <v>7.18</v>
      </c>
      <c r="D165" s="150">
        <v>99.2</v>
      </c>
      <c r="E165" s="150">
        <v>5.42</v>
      </c>
      <c r="F165" s="150">
        <v>65.2</v>
      </c>
      <c r="G165" s="150">
        <v>4.45</v>
      </c>
      <c r="H165" s="150">
        <v>7</v>
      </c>
      <c r="I165" s="150">
        <v>3.55</v>
      </c>
    </row>
    <row r="166" spans="1:9">
      <c r="A166" s="332">
        <v>37452</v>
      </c>
      <c r="B166" s="150">
        <v>3.1</v>
      </c>
      <c r="C166" s="150">
        <v>7.22</v>
      </c>
      <c r="D166" s="150">
        <v>99.3</v>
      </c>
      <c r="E166" s="150">
        <v>5.5</v>
      </c>
      <c r="F166" s="150">
        <v>62.8</v>
      </c>
      <c r="G166" s="150">
        <v>4.53</v>
      </c>
      <c r="H166" s="150">
        <v>6.6</v>
      </c>
      <c r="I166" s="150">
        <v>3.51</v>
      </c>
    </row>
    <row r="167" spans="1:9">
      <c r="A167" s="332">
        <v>37483</v>
      </c>
      <c r="B167" s="150">
        <v>2.82</v>
      </c>
      <c r="C167" s="150">
        <v>7.17</v>
      </c>
      <c r="D167" s="150">
        <v>99.3</v>
      </c>
      <c r="E167" s="150">
        <v>5.35</v>
      </c>
      <c r="F167" s="150">
        <v>62.8</v>
      </c>
      <c r="G167" s="150">
        <v>4.3</v>
      </c>
      <c r="H167" s="150">
        <v>6.9</v>
      </c>
      <c r="I167" s="150">
        <v>3.48</v>
      </c>
    </row>
    <row r="168" spans="1:9">
      <c r="A168" s="332">
        <v>37514</v>
      </c>
      <c r="B168" s="150">
        <v>2.86</v>
      </c>
      <c r="C168" s="150">
        <v>7.28</v>
      </c>
      <c r="D168" s="150">
        <v>99.3</v>
      </c>
      <c r="E168" s="150">
        <v>5.46</v>
      </c>
      <c r="F168" s="150">
        <v>67.5</v>
      </c>
      <c r="G168" s="150">
        <v>4.46</v>
      </c>
      <c r="H168" s="150">
        <v>6.7</v>
      </c>
      <c r="I168" s="150">
        <v>3.75</v>
      </c>
    </row>
    <row r="169" spans="1:9">
      <c r="A169" s="332">
        <v>37544</v>
      </c>
      <c r="B169" s="150">
        <v>3.35</v>
      </c>
      <c r="C169" s="150">
        <v>7.52</v>
      </c>
      <c r="D169" s="150">
        <v>99.5</v>
      </c>
      <c r="E169" s="150">
        <v>5.84</v>
      </c>
      <c r="F169" s="150">
        <v>69.2</v>
      </c>
      <c r="G169" s="150">
        <v>5.0199999999999996</v>
      </c>
      <c r="H169" s="150">
        <v>7.7</v>
      </c>
      <c r="I169" s="150">
        <v>4.22</v>
      </c>
    </row>
    <row r="170" spans="1:9">
      <c r="A170" s="332">
        <v>37575</v>
      </c>
      <c r="B170" s="150">
        <v>4.04</v>
      </c>
      <c r="C170" s="150">
        <v>7.89</v>
      </c>
      <c r="D170" s="150">
        <v>99.5</v>
      </c>
      <c r="E170" s="150">
        <v>7.02</v>
      </c>
      <c r="F170" s="150">
        <v>68.5</v>
      </c>
      <c r="G170" s="150">
        <v>5.81</v>
      </c>
      <c r="H170" s="150">
        <v>7.2</v>
      </c>
      <c r="I170" s="150">
        <v>4.5199999999999996</v>
      </c>
    </row>
    <row r="171" spans="1:9">
      <c r="A171" s="332">
        <v>37605</v>
      </c>
      <c r="B171" s="150">
        <v>4.3099999999999996</v>
      </c>
      <c r="C171" s="150">
        <v>7.75</v>
      </c>
      <c r="D171" s="150">
        <v>99.6</v>
      </c>
      <c r="E171" s="150">
        <v>7.44</v>
      </c>
      <c r="F171" s="150">
        <v>73</v>
      </c>
      <c r="G171" s="150">
        <v>6</v>
      </c>
      <c r="H171" s="150">
        <v>8.1</v>
      </c>
      <c r="I171" s="150">
        <v>4.93</v>
      </c>
    </row>
    <row r="172" spans="1:9">
      <c r="A172" s="332">
        <v>37636</v>
      </c>
      <c r="B172" s="150">
        <v>4.7699999999999996</v>
      </c>
      <c r="C172" s="150">
        <v>8.85</v>
      </c>
      <c r="D172" s="150">
        <v>97.9</v>
      </c>
      <c r="E172" s="150">
        <v>7.85</v>
      </c>
      <c r="F172" s="150">
        <v>57.4</v>
      </c>
      <c r="G172" s="150">
        <v>7.36</v>
      </c>
      <c r="H172" s="150">
        <v>3.3</v>
      </c>
      <c r="I172" s="150">
        <v>5.17</v>
      </c>
    </row>
    <row r="173" spans="1:9">
      <c r="A173" s="332">
        <v>37667</v>
      </c>
      <c r="B173" s="150">
        <v>4.8899999999999997</v>
      </c>
      <c r="C173" s="150">
        <v>8.7799999999999994</v>
      </c>
      <c r="D173" s="150">
        <v>98.4</v>
      </c>
      <c r="E173" s="150">
        <v>7.99</v>
      </c>
      <c r="F173" s="150">
        <v>61.9</v>
      </c>
      <c r="G173" s="150">
        <v>7.15</v>
      </c>
      <c r="H173" s="150">
        <v>7.1</v>
      </c>
      <c r="I173" s="150">
        <v>5.84</v>
      </c>
    </row>
    <row r="174" spans="1:9">
      <c r="A174" s="332">
        <v>37695</v>
      </c>
      <c r="B174" s="150">
        <v>6.68</v>
      </c>
      <c r="C174" s="150">
        <v>9.49</v>
      </c>
      <c r="D174" s="150">
        <v>98.1</v>
      </c>
      <c r="E174" s="150">
        <v>8.8800000000000008</v>
      </c>
      <c r="F174" s="150">
        <v>72.3</v>
      </c>
      <c r="G174" s="150">
        <v>7.75</v>
      </c>
      <c r="H174" s="150">
        <v>4.9000000000000004</v>
      </c>
      <c r="I174" s="150">
        <v>6.93</v>
      </c>
    </row>
    <row r="175" spans="1:9">
      <c r="A175" s="332">
        <v>37726</v>
      </c>
      <c r="B175" s="150">
        <v>4.72</v>
      </c>
      <c r="C175" s="150">
        <v>9.25</v>
      </c>
      <c r="D175" s="150">
        <v>97.8</v>
      </c>
      <c r="E175" s="150">
        <v>8.8800000000000008</v>
      </c>
      <c r="F175" s="150">
        <v>72.5</v>
      </c>
      <c r="G175" s="150">
        <v>7.84</v>
      </c>
      <c r="H175" s="150">
        <v>5.8</v>
      </c>
      <c r="I175" s="150">
        <v>5.31</v>
      </c>
    </row>
    <row r="176" spans="1:9">
      <c r="A176" s="332">
        <v>37756</v>
      </c>
      <c r="B176" s="150">
        <v>5.05</v>
      </c>
      <c r="C176" s="150">
        <v>8.99</v>
      </c>
      <c r="D176" s="150">
        <v>98.6</v>
      </c>
      <c r="E176" s="150">
        <v>7.57</v>
      </c>
      <c r="F176" s="150">
        <v>74.8</v>
      </c>
      <c r="G176" s="150">
        <v>6.66</v>
      </c>
      <c r="H176" s="150">
        <v>5.0999999999999996</v>
      </c>
    </row>
    <row r="177" spans="1:9">
      <c r="A177" s="332">
        <v>37787</v>
      </c>
      <c r="B177" s="150">
        <v>6.63</v>
      </c>
      <c r="C177" s="150">
        <v>9.4700000000000006</v>
      </c>
      <c r="D177" s="150">
        <v>98.4</v>
      </c>
      <c r="E177" s="150">
        <v>7.99</v>
      </c>
      <c r="F177" s="150">
        <v>74.5</v>
      </c>
      <c r="G177" s="150">
        <v>7.03</v>
      </c>
      <c r="H177" s="150">
        <v>4.5999999999999996</v>
      </c>
      <c r="I177" s="150">
        <v>5.87</v>
      </c>
    </row>
    <row r="178" spans="1:9">
      <c r="A178" s="332">
        <v>37817</v>
      </c>
      <c r="B178" s="150">
        <v>4.8499999999999996</v>
      </c>
      <c r="C178" s="150">
        <v>9.7899999999999991</v>
      </c>
      <c r="D178" s="150">
        <v>98.4</v>
      </c>
      <c r="E178" s="150">
        <v>7.85</v>
      </c>
      <c r="F178" s="150">
        <v>67.900000000000006</v>
      </c>
      <c r="G178" s="150">
        <v>6.93</v>
      </c>
      <c r="H178" s="150">
        <v>4</v>
      </c>
      <c r="I178" s="150">
        <v>5.48</v>
      </c>
    </row>
    <row r="179" spans="1:9">
      <c r="A179" s="332">
        <v>37848</v>
      </c>
      <c r="B179" s="150">
        <v>5.19</v>
      </c>
      <c r="C179" s="150">
        <v>9.57</v>
      </c>
      <c r="D179" s="150">
        <v>98.4</v>
      </c>
      <c r="E179" s="150">
        <v>7.87</v>
      </c>
      <c r="F179" s="150">
        <v>77.900000000000006</v>
      </c>
      <c r="G179" s="150">
        <v>6.94</v>
      </c>
      <c r="H179" s="150">
        <v>4.8</v>
      </c>
      <c r="I179" s="150">
        <v>5.25</v>
      </c>
    </row>
    <row r="180" spans="1:9">
      <c r="A180" s="332">
        <v>37879</v>
      </c>
      <c r="B180" s="150">
        <v>5.32</v>
      </c>
      <c r="C180" s="150">
        <v>9.59</v>
      </c>
      <c r="D180" s="150">
        <v>98.4</v>
      </c>
      <c r="E180" s="150">
        <v>8.0500000000000007</v>
      </c>
      <c r="F180" s="150">
        <v>72</v>
      </c>
      <c r="G180" s="150">
        <v>7.18</v>
      </c>
      <c r="H180" s="150">
        <v>4.3</v>
      </c>
      <c r="I180" s="150">
        <v>5.25</v>
      </c>
    </row>
    <row r="181" spans="1:9">
      <c r="A181" s="332">
        <v>37909</v>
      </c>
      <c r="B181" s="150">
        <v>4.83</v>
      </c>
      <c r="C181" s="150">
        <v>9.2899999999999991</v>
      </c>
      <c r="D181" s="150">
        <v>98.4</v>
      </c>
      <c r="E181" s="150">
        <v>7.53</v>
      </c>
      <c r="F181" s="150">
        <v>67.400000000000006</v>
      </c>
      <c r="G181" s="150">
        <v>6.94</v>
      </c>
      <c r="H181" s="150">
        <v>4.0999999999999996</v>
      </c>
      <c r="I181" s="150">
        <v>5.0599999999999996</v>
      </c>
    </row>
    <row r="182" spans="1:9">
      <c r="A182" s="332">
        <v>37940</v>
      </c>
      <c r="B182" s="150">
        <v>4.72</v>
      </c>
      <c r="C182" s="150">
        <v>8.64</v>
      </c>
      <c r="D182" s="150">
        <v>98.5</v>
      </c>
      <c r="E182" s="150">
        <v>7.96</v>
      </c>
      <c r="F182" s="150">
        <v>78.099999999999994</v>
      </c>
      <c r="G182" s="150">
        <v>6.89</v>
      </c>
      <c r="H182" s="150">
        <v>5.3</v>
      </c>
      <c r="I182" s="150">
        <v>4.96</v>
      </c>
    </row>
    <row r="183" spans="1:9">
      <c r="A183" s="332">
        <v>37970</v>
      </c>
      <c r="B183" s="150">
        <v>4.76</v>
      </c>
      <c r="C183" s="150">
        <v>9</v>
      </c>
      <c r="D183" s="150">
        <v>98.5</v>
      </c>
      <c r="E183" s="150">
        <v>8.7899999999999991</v>
      </c>
      <c r="F183" s="150">
        <v>78.7</v>
      </c>
      <c r="G183" s="150">
        <v>7.48</v>
      </c>
      <c r="H183" s="150">
        <v>6.2</v>
      </c>
      <c r="I183" s="150">
        <v>5.62</v>
      </c>
    </row>
    <row r="184" spans="1:9">
      <c r="A184" s="332">
        <v>38001</v>
      </c>
      <c r="B184" s="150">
        <v>5.8</v>
      </c>
      <c r="C184" s="150">
        <v>9.8800000000000008</v>
      </c>
      <c r="D184" s="150">
        <v>99.5</v>
      </c>
      <c r="E184" s="150">
        <v>9.3699999999999992</v>
      </c>
      <c r="F184" s="150">
        <v>72.3</v>
      </c>
      <c r="G184" s="150">
        <v>8.66</v>
      </c>
      <c r="H184" s="150">
        <v>5.2</v>
      </c>
      <c r="I184" s="150">
        <v>5.91</v>
      </c>
    </row>
    <row r="185" spans="1:9">
      <c r="A185" s="332">
        <v>38032</v>
      </c>
      <c r="B185" s="150">
        <v>5.59</v>
      </c>
      <c r="C185" s="150">
        <v>9.86</v>
      </c>
      <c r="D185" s="150">
        <v>99.6</v>
      </c>
      <c r="E185" s="150">
        <v>8.8800000000000008</v>
      </c>
      <c r="F185" s="150">
        <v>71.7</v>
      </c>
      <c r="G185" s="150">
        <v>7.92</v>
      </c>
      <c r="H185" s="150">
        <v>8.3000000000000007</v>
      </c>
      <c r="I185" s="150">
        <v>5.71</v>
      </c>
    </row>
    <row r="186" spans="1:9">
      <c r="A186" s="332">
        <v>38061</v>
      </c>
      <c r="B186" s="150">
        <v>5.04</v>
      </c>
      <c r="C186" s="150">
        <v>8.7100000000000009</v>
      </c>
      <c r="D186" s="150">
        <v>99.8</v>
      </c>
      <c r="E186" s="150">
        <v>8.2100000000000009</v>
      </c>
      <c r="F186" s="150">
        <v>71.3</v>
      </c>
      <c r="G186" s="150">
        <v>7.7</v>
      </c>
      <c r="H186" s="150">
        <v>5.8</v>
      </c>
      <c r="I186" s="150">
        <v>5.36</v>
      </c>
    </row>
    <row r="187" spans="1:9">
      <c r="A187" s="332">
        <v>38092</v>
      </c>
      <c r="B187" s="150">
        <v>5.23</v>
      </c>
      <c r="C187" s="150">
        <v>8.2799999999999994</v>
      </c>
      <c r="D187" s="150">
        <v>99.7</v>
      </c>
      <c r="E187" s="150">
        <v>7.29</v>
      </c>
      <c r="F187" s="150">
        <v>72.400000000000006</v>
      </c>
      <c r="G187" s="150">
        <v>6.68</v>
      </c>
      <c r="H187" s="150">
        <v>5.2</v>
      </c>
      <c r="I187" s="150">
        <v>5.78</v>
      </c>
    </row>
    <row r="188" spans="1:9">
      <c r="A188" s="332">
        <v>38122</v>
      </c>
      <c r="B188" s="150">
        <v>5.83</v>
      </c>
      <c r="C188" s="150">
        <v>9.2899999999999991</v>
      </c>
      <c r="D188" s="150">
        <v>99.8</v>
      </c>
      <c r="E188" s="150">
        <v>7.84</v>
      </c>
      <c r="F188" s="150">
        <v>67.2</v>
      </c>
      <c r="G188" s="150">
        <v>7.11</v>
      </c>
      <c r="H188" s="150">
        <v>5.3</v>
      </c>
      <c r="I188" s="150">
        <v>6.19</v>
      </c>
    </row>
    <row r="189" spans="1:9">
      <c r="A189" s="332">
        <v>38153</v>
      </c>
      <c r="B189" s="150">
        <v>6.5</v>
      </c>
      <c r="C189" s="150">
        <v>10.039999999999999</v>
      </c>
      <c r="D189" s="150">
        <v>99.6</v>
      </c>
      <c r="E189" s="150">
        <v>8.2799999999999994</v>
      </c>
      <c r="F189" s="150">
        <v>73.099999999999994</v>
      </c>
      <c r="G189" s="150">
        <v>7.53</v>
      </c>
      <c r="H189" s="150">
        <v>3.8</v>
      </c>
      <c r="I189" s="150">
        <v>6.47</v>
      </c>
    </row>
    <row r="190" spans="1:9">
      <c r="A190" s="332">
        <v>38183</v>
      </c>
      <c r="B190" s="150">
        <v>6.3</v>
      </c>
      <c r="C190" s="150">
        <v>10.06</v>
      </c>
      <c r="D190" s="150">
        <v>99.5</v>
      </c>
      <c r="E190" s="150">
        <v>8.25</v>
      </c>
      <c r="F190" s="150">
        <v>69.5</v>
      </c>
      <c r="G190" s="150">
        <v>7.68</v>
      </c>
      <c r="H190" s="150">
        <v>4.5999999999999996</v>
      </c>
      <c r="I190" s="150">
        <v>6.36</v>
      </c>
    </row>
    <row r="191" spans="1:9">
      <c r="A191" s="332">
        <v>38214</v>
      </c>
      <c r="B191" s="150">
        <v>6.14</v>
      </c>
      <c r="C191" s="150">
        <v>10.07</v>
      </c>
      <c r="D191" s="150">
        <v>99.5</v>
      </c>
      <c r="E191" s="150">
        <v>8.24</v>
      </c>
      <c r="F191" s="150">
        <v>68.2</v>
      </c>
      <c r="G191" s="150">
        <v>7.65</v>
      </c>
      <c r="H191" s="150">
        <v>4.4000000000000004</v>
      </c>
      <c r="I191" s="150">
        <v>6.05</v>
      </c>
    </row>
    <row r="192" spans="1:9">
      <c r="A192" s="332">
        <v>38245</v>
      </c>
      <c r="B192" s="150">
        <v>5.51</v>
      </c>
      <c r="C192" s="150">
        <v>9.92</v>
      </c>
      <c r="D192" s="150">
        <v>99.6</v>
      </c>
      <c r="E192" s="150">
        <v>7.9</v>
      </c>
      <c r="F192" s="150">
        <v>67.8</v>
      </c>
      <c r="G192" s="150">
        <v>7.55</v>
      </c>
      <c r="H192" s="150">
        <v>4.3</v>
      </c>
      <c r="I192" s="150">
        <v>5.28</v>
      </c>
    </row>
    <row r="193" spans="1:9">
      <c r="A193" s="332">
        <v>38275</v>
      </c>
      <c r="B193" s="150">
        <v>5.46</v>
      </c>
      <c r="C193" s="150">
        <v>9.73</v>
      </c>
      <c r="D193" s="150">
        <v>99.6</v>
      </c>
      <c r="E193" s="150">
        <v>8.08</v>
      </c>
      <c r="F193" s="150">
        <v>68.7</v>
      </c>
      <c r="G193" s="150">
        <v>7.39</v>
      </c>
      <c r="H193" s="150">
        <v>5</v>
      </c>
      <c r="I193" s="150">
        <v>5.73</v>
      </c>
    </row>
    <row r="194" spans="1:9">
      <c r="A194" s="332">
        <v>38306</v>
      </c>
      <c r="B194" s="150">
        <v>7.53</v>
      </c>
      <c r="C194" s="150">
        <v>10.86</v>
      </c>
      <c r="D194" s="150">
        <v>99.6</v>
      </c>
      <c r="E194" s="150">
        <v>9.64</v>
      </c>
      <c r="F194" s="150">
        <v>72.2</v>
      </c>
      <c r="G194" s="150">
        <v>8.68</v>
      </c>
      <c r="H194" s="150">
        <v>5.3</v>
      </c>
      <c r="I194" s="150">
        <v>7.01</v>
      </c>
    </row>
    <row r="195" spans="1:9">
      <c r="A195" s="332">
        <v>38336</v>
      </c>
      <c r="B195" s="150">
        <v>6.89</v>
      </c>
      <c r="C195" s="150">
        <v>10.74</v>
      </c>
      <c r="D195" s="150">
        <v>99.6</v>
      </c>
      <c r="E195" s="150">
        <v>9.9600000000000009</v>
      </c>
      <c r="F195" s="150">
        <v>75.5</v>
      </c>
      <c r="G195" s="150">
        <v>9.52</v>
      </c>
      <c r="H195" s="150">
        <v>5.9</v>
      </c>
      <c r="I195" s="150">
        <v>6.82</v>
      </c>
    </row>
    <row r="196" spans="1:9">
      <c r="A196" s="332">
        <v>38367</v>
      </c>
      <c r="B196" s="150">
        <v>6.34</v>
      </c>
      <c r="C196" s="150">
        <v>10.98</v>
      </c>
      <c r="D196" s="150">
        <v>99.6</v>
      </c>
      <c r="E196" s="150">
        <v>10.18</v>
      </c>
      <c r="F196" s="150">
        <v>71.8</v>
      </c>
      <c r="G196" s="150">
        <v>9.5299999999999994</v>
      </c>
      <c r="H196" s="150">
        <v>5.6</v>
      </c>
      <c r="I196" s="150">
        <v>6.29</v>
      </c>
    </row>
    <row r="197" spans="1:9">
      <c r="A197" s="332">
        <v>38398</v>
      </c>
      <c r="B197" s="150">
        <v>6.16</v>
      </c>
      <c r="C197" s="150">
        <v>10.74</v>
      </c>
      <c r="D197" s="150">
        <v>99.7</v>
      </c>
      <c r="E197" s="150">
        <v>9.83</v>
      </c>
      <c r="F197" s="150">
        <v>71.400000000000006</v>
      </c>
      <c r="G197" s="150">
        <v>8.8800000000000008</v>
      </c>
      <c r="H197" s="150">
        <v>6.6</v>
      </c>
      <c r="I197" s="150">
        <v>6.33</v>
      </c>
    </row>
    <row r="198" spans="1:9">
      <c r="A198" s="332">
        <v>38426</v>
      </c>
      <c r="B198" s="150">
        <v>6.3</v>
      </c>
      <c r="C198" s="150">
        <v>9.98</v>
      </c>
      <c r="D198" s="150">
        <v>99.7</v>
      </c>
      <c r="E198" s="150">
        <v>9.52</v>
      </c>
      <c r="F198" s="150">
        <v>71.900000000000006</v>
      </c>
      <c r="G198" s="150">
        <v>8.94</v>
      </c>
      <c r="H198" s="150">
        <v>4.8</v>
      </c>
      <c r="I198" s="150">
        <v>6.83</v>
      </c>
    </row>
    <row r="199" spans="1:9">
      <c r="A199" s="332">
        <v>38457</v>
      </c>
      <c r="B199" s="150">
        <v>6.79</v>
      </c>
      <c r="C199" s="150">
        <v>10.38</v>
      </c>
      <c r="D199" s="150">
        <v>99.7</v>
      </c>
      <c r="E199" s="150">
        <v>9.31</v>
      </c>
      <c r="F199" s="150">
        <v>74.8</v>
      </c>
      <c r="G199" s="150">
        <v>8.4</v>
      </c>
      <c r="H199" s="150">
        <v>5.3</v>
      </c>
      <c r="I199" s="150">
        <v>7.14</v>
      </c>
    </row>
    <row r="200" spans="1:9">
      <c r="A200" s="332">
        <v>38487</v>
      </c>
      <c r="B200" s="150">
        <v>7.04</v>
      </c>
      <c r="C200" s="150">
        <v>11.13</v>
      </c>
      <c r="D200" s="150">
        <v>99.7</v>
      </c>
      <c r="E200" s="150">
        <v>9.42</v>
      </c>
      <c r="F200" s="150">
        <v>68.3</v>
      </c>
      <c r="G200" s="150">
        <v>8.7100000000000009</v>
      </c>
      <c r="H200" s="150">
        <v>5.2</v>
      </c>
      <c r="I200" s="150">
        <v>6.53</v>
      </c>
    </row>
    <row r="201" spans="1:9">
      <c r="A201" s="332">
        <v>38518</v>
      </c>
      <c r="B201" s="150">
        <v>6.37</v>
      </c>
      <c r="C201" s="150">
        <v>10.86</v>
      </c>
      <c r="D201" s="150">
        <v>99.6</v>
      </c>
      <c r="E201" s="150">
        <v>9</v>
      </c>
      <c r="F201" s="150">
        <v>68.8</v>
      </c>
      <c r="G201" s="150">
        <v>8.4600000000000009</v>
      </c>
      <c r="H201" s="150">
        <v>5.0999999999999996</v>
      </c>
      <c r="I201" s="150">
        <v>6.49</v>
      </c>
    </row>
    <row r="202" spans="1:9">
      <c r="A202" s="332">
        <v>38548</v>
      </c>
      <c r="B202" s="150">
        <v>6.97</v>
      </c>
      <c r="C202" s="150">
        <v>11.42</v>
      </c>
      <c r="D202" s="150">
        <v>99.6</v>
      </c>
      <c r="E202" s="150">
        <v>9.48</v>
      </c>
      <c r="F202" s="150">
        <v>60.4</v>
      </c>
      <c r="G202" s="150">
        <v>8.51</v>
      </c>
      <c r="H202" s="150">
        <v>4.5</v>
      </c>
      <c r="I202" s="150">
        <v>7.06</v>
      </c>
    </row>
    <row r="203" spans="1:9">
      <c r="A203" s="332">
        <v>38579</v>
      </c>
      <c r="B203" s="150">
        <v>7.14</v>
      </c>
      <c r="C203" s="150">
        <v>11.44</v>
      </c>
      <c r="D203" s="150">
        <v>99.7</v>
      </c>
      <c r="E203" s="150">
        <v>9.51</v>
      </c>
      <c r="F203" s="150">
        <v>63.7</v>
      </c>
      <c r="G203" s="150">
        <v>8.66</v>
      </c>
      <c r="H203" s="150">
        <v>4.8</v>
      </c>
      <c r="I203" s="150">
        <v>7.86</v>
      </c>
    </row>
    <row r="204" spans="1:9">
      <c r="A204" s="332">
        <v>38610</v>
      </c>
      <c r="B204" s="150">
        <v>9.34</v>
      </c>
      <c r="C204" s="150">
        <v>12.78</v>
      </c>
      <c r="D204" s="150">
        <v>99.6</v>
      </c>
      <c r="E204" s="150">
        <v>10.86</v>
      </c>
      <c r="F204" s="150">
        <v>59.9</v>
      </c>
      <c r="G204" s="150">
        <v>9.5299999999999994</v>
      </c>
      <c r="H204" s="150">
        <v>5.2</v>
      </c>
      <c r="I204" s="150">
        <v>9.61</v>
      </c>
    </row>
    <row r="205" spans="1:9">
      <c r="A205" s="332">
        <v>38640</v>
      </c>
      <c r="B205" s="150">
        <v>11</v>
      </c>
      <c r="C205" s="150">
        <v>14.79</v>
      </c>
      <c r="D205" s="150">
        <v>99.7</v>
      </c>
      <c r="E205" s="150">
        <v>13.1</v>
      </c>
      <c r="F205" s="150">
        <v>66.7</v>
      </c>
      <c r="G205" s="150">
        <v>11.6</v>
      </c>
      <c r="H205" s="150">
        <v>5.8</v>
      </c>
      <c r="I205" s="150">
        <v>11.1</v>
      </c>
    </row>
    <row r="206" spans="1:9">
      <c r="A206" s="332">
        <v>38671</v>
      </c>
      <c r="B206" s="150">
        <v>12.18</v>
      </c>
      <c r="C206" s="150">
        <v>15.5</v>
      </c>
      <c r="D206" s="150">
        <v>99.7</v>
      </c>
      <c r="E206" s="150">
        <v>14.36</v>
      </c>
      <c r="F206" s="150">
        <v>70.3</v>
      </c>
      <c r="G206" s="150">
        <v>13.39</v>
      </c>
      <c r="H206" s="150">
        <v>5.9</v>
      </c>
      <c r="I206" s="150">
        <v>9.4600000000000009</v>
      </c>
    </row>
    <row r="207" spans="1:9">
      <c r="A207" s="332">
        <v>38701</v>
      </c>
      <c r="B207" s="150">
        <v>9.2899999999999991</v>
      </c>
      <c r="C207" s="150">
        <v>14.02</v>
      </c>
      <c r="D207" s="150">
        <v>99.7</v>
      </c>
      <c r="E207" s="150">
        <v>13.45</v>
      </c>
      <c r="F207" s="150">
        <v>71</v>
      </c>
      <c r="G207" s="150">
        <v>12.78</v>
      </c>
      <c r="H207" s="150">
        <v>6.7</v>
      </c>
      <c r="I207" s="150">
        <v>11.55</v>
      </c>
    </row>
    <row r="208" spans="1:9">
      <c r="A208" s="332">
        <v>38732</v>
      </c>
      <c r="B208" s="150">
        <v>10.050000000000001</v>
      </c>
      <c r="C208" s="150">
        <v>14.18</v>
      </c>
      <c r="D208" s="150">
        <v>99.7</v>
      </c>
      <c r="E208" s="150">
        <v>13.69</v>
      </c>
      <c r="F208" s="150">
        <v>69.400000000000006</v>
      </c>
      <c r="G208" s="150">
        <v>12.76</v>
      </c>
      <c r="H208" s="150">
        <v>6.2</v>
      </c>
      <c r="I208" s="150">
        <v>8.7799999999999994</v>
      </c>
    </row>
    <row r="209" spans="1:9">
      <c r="A209" s="332">
        <v>38763</v>
      </c>
      <c r="B209" s="150">
        <v>8.01</v>
      </c>
      <c r="C209" s="150">
        <v>13.24</v>
      </c>
      <c r="D209" s="150">
        <v>99.7</v>
      </c>
      <c r="E209" s="150">
        <v>12.33</v>
      </c>
      <c r="F209" s="150">
        <v>69.400000000000006</v>
      </c>
      <c r="G209" s="150">
        <v>11.49</v>
      </c>
      <c r="H209" s="150">
        <v>7.2</v>
      </c>
      <c r="I209" s="150">
        <v>7.42</v>
      </c>
    </row>
    <row r="210" spans="1:9">
      <c r="A210" s="332">
        <v>38791</v>
      </c>
      <c r="B210" s="150">
        <v>6.83</v>
      </c>
      <c r="C210" s="150">
        <v>11.75</v>
      </c>
      <c r="D210" s="150">
        <v>99.7</v>
      </c>
      <c r="E210" s="150">
        <v>11.12</v>
      </c>
      <c r="F210" s="150">
        <v>74</v>
      </c>
      <c r="G210" s="150">
        <v>10.55</v>
      </c>
      <c r="H210" s="150">
        <v>5.7</v>
      </c>
      <c r="I210" s="150">
        <v>6.63</v>
      </c>
    </row>
    <row r="211" spans="1:9">
      <c r="A211" s="332">
        <v>38822</v>
      </c>
      <c r="B211" s="150">
        <v>6.45</v>
      </c>
      <c r="C211" s="150">
        <v>10.91</v>
      </c>
      <c r="D211" s="150">
        <v>99.7</v>
      </c>
      <c r="E211" s="150">
        <v>9.81</v>
      </c>
      <c r="F211" s="150">
        <v>67</v>
      </c>
      <c r="G211" s="150">
        <v>8.85</v>
      </c>
      <c r="H211" s="150">
        <v>5.9</v>
      </c>
      <c r="I211" s="150">
        <v>6.53</v>
      </c>
    </row>
    <row r="212" spans="1:9">
      <c r="A212" s="332">
        <v>38852</v>
      </c>
      <c r="B212" s="150">
        <v>6.45</v>
      </c>
      <c r="C212" s="150">
        <v>11.88</v>
      </c>
      <c r="D212" s="150">
        <v>99.6</v>
      </c>
      <c r="E212" s="150">
        <v>10.02</v>
      </c>
      <c r="F212" s="150">
        <v>66.900000000000006</v>
      </c>
      <c r="G212" s="150">
        <v>8.84</v>
      </c>
      <c r="H212" s="150">
        <v>6</v>
      </c>
      <c r="I212" s="150">
        <v>6.23</v>
      </c>
    </row>
    <row r="213" spans="1:9">
      <c r="A213" s="332">
        <v>38883</v>
      </c>
      <c r="B213" s="150">
        <v>5.54</v>
      </c>
      <c r="C213" s="150">
        <v>10.86</v>
      </c>
      <c r="D213" s="150">
        <v>99.6</v>
      </c>
      <c r="E213" s="150">
        <v>9.0399999999999991</v>
      </c>
      <c r="F213" s="150">
        <v>62.8</v>
      </c>
      <c r="G213" s="150">
        <v>8.06</v>
      </c>
      <c r="H213" s="150">
        <v>5.4</v>
      </c>
      <c r="I213" s="150">
        <v>6.2</v>
      </c>
    </row>
    <row r="214" spans="1:9">
      <c r="A214" s="332">
        <v>38913</v>
      </c>
      <c r="B214" s="150">
        <v>5.32</v>
      </c>
      <c r="C214" s="150">
        <v>10.66</v>
      </c>
      <c r="D214" s="150">
        <v>99.6</v>
      </c>
      <c r="E214" s="150">
        <v>8.94</v>
      </c>
      <c r="F214" s="150">
        <v>58.9</v>
      </c>
      <c r="G214" s="150">
        <v>7.66</v>
      </c>
      <c r="H214" s="150">
        <v>4.5999999999999996</v>
      </c>
      <c r="I214" s="150">
        <v>6.44</v>
      </c>
    </row>
    <row r="215" spans="1:9">
      <c r="A215" s="332">
        <v>38944</v>
      </c>
      <c r="B215" s="150">
        <v>6.53</v>
      </c>
      <c r="C215" s="150">
        <v>11.1</v>
      </c>
      <c r="D215" s="150">
        <v>99.6</v>
      </c>
      <c r="E215" s="150">
        <v>9.16</v>
      </c>
      <c r="F215" s="150">
        <v>53.3</v>
      </c>
      <c r="G215" s="150">
        <v>8.1199999999999992</v>
      </c>
      <c r="H215" s="150">
        <v>4.7</v>
      </c>
      <c r="I215" s="150">
        <v>7.16</v>
      </c>
    </row>
    <row r="216" spans="1:9">
      <c r="A216" s="332">
        <v>38975</v>
      </c>
      <c r="B216" s="150">
        <v>6.44</v>
      </c>
      <c r="C216" s="150">
        <v>11.61</v>
      </c>
      <c r="D216" s="150">
        <v>99.6</v>
      </c>
      <c r="E216" s="150">
        <v>9.42</v>
      </c>
      <c r="F216" s="150">
        <v>57</v>
      </c>
      <c r="G216" s="150">
        <v>8.7100000000000009</v>
      </c>
      <c r="H216" s="150">
        <v>4.9000000000000004</v>
      </c>
      <c r="I216" s="150">
        <v>5.97</v>
      </c>
    </row>
    <row r="217" spans="1:9">
      <c r="A217" s="332">
        <v>39005</v>
      </c>
      <c r="B217" s="150">
        <v>4.03</v>
      </c>
      <c r="C217" s="150">
        <v>9.9700000000000006</v>
      </c>
      <c r="D217" s="150">
        <v>99.6</v>
      </c>
      <c r="E217" s="150">
        <v>8.14</v>
      </c>
      <c r="F217" s="150">
        <v>60.5</v>
      </c>
      <c r="G217" s="150">
        <v>7.56</v>
      </c>
      <c r="H217" s="150">
        <v>5.3</v>
      </c>
      <c r="I217" s="150">
        <v>5.52</v>
      </c>
    </row>
    <row r="218" spans="1:9">
      <c r="A218" s="332">
        <v>39036</v>
      </c>
      <c r="B218" s="150">
        <v>6.83</v>
      </c>
      <c r="C218" s="150">
        <v>10.83</v>
      </c>
      <c r="D218" s="150">
        <v>99.6</v>
      </c>
      <c r="E218" s="150">
        <v>9.61</v>
      </c>
      <c r="F218" s="150">
        <v>62.8</v>
      </c>
      <c r="G218" s="150">
        <v>8.18</v>
      </c>
      <c r="H218" s="150">
        <v>6.1</v>
      </c>
      <c r="I218" s="150">
        <v>7.26</v>
      </c>
    </row>
    <row r="219" spans="1:9">
      <c r="A219" s="332">
        <v>39066</v>
      </c>
      <c r="B219" s="150">
        <v>7.13</v>
      </c>
      <c r="C219" s="150">
        <v>11.17</v>
      </c>
      <c r="D219" s="150">
        <v>99.6</v>
      </c>
      <c r="E219" s="150">
        <v>10.48</v>
      </c>
      <c r="F219" s="150">
        <v>66.2</v>
      </c>
      <c r="G219" s="150">
        <v>9.36</v>
      </c>
      <c r="H219" s="150">
        <v>6.2</v>
      </c>
      <c r="I219" s="150">
        <v>7.3</v>
      </c>
    </row>
    <row r="220" spans="1:9">
      <c r="A220" s="332">
        <v>39097</v>
      </c>
      <c r="B220" s="150">
        <v>6.41</v>
      </c>
      <c r="C220" s="150">
        <v>10.96</v>
      </c>
      <c r="D220" s="150">
        <v>99.6</v>
      </c>
      <c r="E220" s="150">
        <v>9.99</v>
      </c>
      <c r="F220" s="150">
        <v>65.900000000000006</v>
      </c>
      <c r="G220" s="150">
        <v>9.1</v>
      </c>
      <c r="H220" s="150">
        <v>6</v>
      </c>
      <c r="I220" s="150">
        <v>6.7</v>
      </c>
    </row>
    <row r="221" spans="1:9">
      <c r="A221" s="332">
        <v>39128</v>
      </c>
      <c r="B221" s="150">
        <v>7.13</v>
      </c>
      <c r="C221" s="150">
        <v>11.65</v>
      </c>
      <c r="D221" s="150">
        <v>99.6</v>
      </c>
      <c r="E221" s="150">
        <v>10.57</v>
      </c>
      <c r="F221" s="150">
        <v>63</v>
      </c>
      <c r="G221" s="150">
        <v>9.1</v>
      </c>
      <c r="H221" s="150">
        <v>7.2</v>
      </c>
      <c r="I221" s="150">
        <v>7.39</v>
      </c>
    </row>
    <row r="222" spans="1:9">
      <c r="A222" s="332">
        <v>39156</v>
      </c>
      <c r="B222" s="150">
        <v>7.48</v>
      </c>
      <c r="C222" s="150">
        <v>11.14</v>
      </c>
      <c r="D222" s="150">
        <v>99.5</v>
      </c>
      <c r="E222" s="150">
        <v>10.47</v>
      </c>
      <c r="F222" s="150">
        <v>67.5</v>
      </c>
      <c r="G222" s="150">
        <v>9.8800000000000008</v>
      </c>
      <c r="H222" s="150">
        <v>6.5</v>
      </c>
      <c r="I222" s="150">
        <v>6.91</v>
      </c>
    </row>
    <row r="223" spans="1:9">
      <c r="A223" s="332">
        <v>39187</v>
      </c>
      <c r="B223" s="150">
        <v>6.99</v>
      </c>
      <c r="C223" s="150">
        <v>11.48</v>
      </c>
      <c r="D223" s="150">
        <v>99.5</v>
      </c>
      <c r="E223" s="150">
        <v>10.210000000000001</v>
      </c>
      <c r="F223" s="150">
        <v>63.6</v>
      </c>
      <c r="G223" s="150">
        <v>9.1300000000000008</v>
      </c>
      <c r="H223" s="150">
        <v>5.3</v>
      </c>
      <c r="I223" s="150">
        <v>6.67</v>
      </c>
    </row>
    <row r="224" spans="1:9">
      <c r="A224" s="332">
        <v>39217</v>
      </c>
      <c r="B224" s="150">
        <v>7.29</v>
      </c>
      <c r="C224" s="150">
        <v>12.53</v>
      </c>
      <c r="D224" s="150">
        <v>99.5</v>
      </c>
      <c r="E224" s="150">
        <v>10.210000000000001</v>
      </c>
      <c r="F224" s="150">
        <v>61.5</v>
      </c>
      <c r="G224" s="150">
        <v>9.24</v>
      </c>
      <c r="H224" s="150">
        <v>5.6</v>
      </c>
      <c r="I224" s="150">
        <v>7.09</v>
      </c>
    </row>
    <row r="225" spans="1:9">
      <c r="A225" s="332">
        <v>39248</v>
      </c>
      <c r="B225" s="150">
        <v>7.34</v>
      </c>
      <c r="C225" s="150">
        <v>13</v>
      </c>
      <c r="D225" s="150">
        <v>99.4</v>
      </c>
      <c r="E225" s="150">
        <v>10.84</v>
      </c>
      <c r="F225" s="150">
        <v>58.6</v>
      </c>
      <c r="G225" s="150">
        <v>9.7200000000000006</v>
      </c>
      <c r="H225" s="150">
        <v>4.9000000000000004</v>
      </c>
      <c r="I225" s="150">
        <v>7.13</v>
      </c>
    </row>
    <row r="226" spans="1:9">
      <c r="A226" s="332">
        <v>39278</v>
      </c>
      <c r="B226" s="150">
        <v>6.91</v>
      </c>
      <c r="C226" s="150">
        <v>12.9</v>
      </c>
      <c r="D226" s="150">
        <v>99.4</v>
      </c>
      <c r="E226" s="150">
        <v>10.84</v>
      </c>
      <c r="F226" s="150">
        <v>56.1</v>
      </c>
      <c r="G226" s="150">
        <v>9.7100000000000009</v>
      </c>
      <c r="H226" s="150">
        <v>4.5</v>
      </c>
      <c r="I226" s="150">
        <v>6.72</v>
      </c>
    </row>
    <row r="227" spans="1:9">
      <c r="A227" s="332">
        <v>39309</v>
      </c>
      <c r="B227" s="150">
        <v>5.97</v>
      </c>
      <c r="C227" s="150">
        <v>11.85</v>
      </c>
      <c r="D227" s="150">
        <v>99.4</v>
      </c>
      <c r="E227" s="150">
        <v>9.69</v>
      </c>
      <c r="F227" s="150">
        <v>53.2</v>
      </c>
      <c r="G227" s="150">
        <v>8.6999999999999993</v>
      </c>
      <c r="H227" s="150">
        <v>4.3</v>
      </c>
      <c r="I227" s="150">
        <v>6.28</v>
      </c>
    </row>
    <row r="228" spans="1:9">
      <c r="A228" s="332">
        <v>39340</v>
      </c>
      <c r="B228" s="150">
        <v>5.32</v>
      </c>
      <c r="C228" s="150">
        <v>11.2</v>
      </c>
      <c r="D228" s="150">
        <v>99.4</v>
      </c>
      <c r="E228" s="150">
        <v>9.16</v>
      </c>
      <c r="F228" s="150">
        <v>50.6</v>
      </c>
      <c r="G228" s="150">
        <v>7.89</v>
      </c>
      <c r="H228" s="150">
        <v>4.3</v>
      </c>
      <c r="I228" s="150">
        <v>5.74</v>
      </c>
    </row>
    <row r="229" spans="1:9">
      <c r="A229" s="332">
        <v>39370</v>
      </c>
      <c r="B229" s="150">
        <v>6.1</v>
      </c>
      <c r="C229" s="150">
        <v>11.64</v>
      </c>
      <c r="D229" s="150">
        <v>99.3</v>
      </c>
      <c r="E229" s="150">
        <v>9.5399999999999991</v>
      </c>
      <c r="F229" s="150">
        <v>52.6</v>
      </c>
      <c r="G229" s="150">
        <v>8.14</v>
      </c>
      <c r="H229" s="150">
        <v>5.0999999999999996</v>
      </c>
      <c r="I229" s="150">
        <v>6.56</v>
      </c>
    </row>
    <row r="230" spans="1:9">
      <c r="A230" s="332">
        <v>39401</v>
      </c>
      <c r="B230" s="150">
        <v>6.66</v>
      </c>
      <c r="C230" s="150">
        <v>11.48</v>
      </c>
      <c r="D230" s="150">
        <v>99.4</v>
      </c>
      <c r="E230" s="150">
        <v>10.15</v>
      </c>
      <c r="F230" s="150">
        <v>59</v>
      </c>
      <c r="G230" s="150">
        <v>8.74</v>
      </c>
      <c r="H230" s="150">
        <v>4.8</v>
      </c>
      <c r="I230" s="150">
        <v>6.7</v>
      </c>
    </row>
    <row r="231" spans="1:9">
      <c r="A231" s="332">
        <v>39431</v>
      </c>
      <c r="B231" s="150">
        <v>7.35</v>
      </c>
      <c r="C231" s="150">
        <v>11.18</v>
      </c>
      <c r="D231" s="150">
        <v>99.5</v>
      </c>
      <c r="E231" s="150">
        <v>10.27</v>
      </c>
      <c r="F231" s="150">
        <v>66.400000000000006</v>
      </c>
      <c r="G231" s="150">
        <v>9.32</v>
      </c>
      <c r="H231" s="150">
        <v>5.3</v>
      </c>
      <c r="I231" s="150">
        <v>7.35</v>
      </c>
    </row>
    <row r="232" spans="1:9">
      <c r="A232" s="332">
        <v>39462</v>
      </c>
      <c r="B232" s="150">
        <v>6.94</v>
      </c>
      <c r="C232" s="150">
        <v>11.87</v>
      </c>
      <c r="D232" s="150">
        <v>99.5</v>
      </c>
      <c r="E232" s="150">
        <v>11.39</v>
      </c>
      <c r="F232" s="150">
        <v>59.3</v>
      </c>
      <c r="G232" s="150">
        <v>10.199999999999999</v>
      </c>
      <c r="H232" s="150">
        <v>5.7</v>
      </c>
      <c r="I232" s="150">
        <v>7.66</v>
      </c>
    </row>
    <row r="233" spans="1:9">
      <c r="A233" s="332">
        <v>39493</v>
      </c>
      <c r="B233" s="150">
        <v>7.74</v>
      </c>
      <c r="C233" s="150">
        <v>12.27</v>
      </c>
      <c r="D233" s="150">
        <v>99.5</v>
      </c>
      <c r="E233" s="150">
        <v>11.28</v>
      </c>
      <c r="F233" s="150">
        <v>61.2</v>
      </c>
      <c r="G233" s="150">
        <v>10.15</v>
      </c>
      <c r="H233" s="150">
        <v>6.6</v>
      </c>
      <c r="I233" s="150">
        <v>8.4</v>
      </c>
    </row>
    <row r="234" spans="1:9">
      <c r="A234" s="332">
        <v>39522</v>
      </c>
      <c r="B234" s="150">
        <v>8.81</v>
      </c>
      <c r="C234" s="150">
        <v>12.31</v>
      </c>
      <c r="D234" s="150">
        <v>99.4</v>
      </c>
      <c r="E234" s="150">
        <v>11.55</v>
      </c>
      <c r="F234" s="150">
        <v>58.5</v>
      </c>
      <c r="G234" s="150">
        <v>10.51</v>
      </c>
      <c r="H234" s="150">
        <v>5.9</v>
      </c>
      <c r="I234" s="150">
        <v>9.23</v>
      </c>
    </row>
    <row r="235" spans="1:9">
      <c r="A235" s="332">
        <v>39553</v>
      </c>
      <c r="B235" s="150">
        <v>9.23</v>
      </c>
      <c r="C235" s="150">
        <v>13.98</v>
      </c>
      <c r="D235" s="150">
        <v>99.3</v>
      </c>
      <c r="E235" s="150">
        <v>12.7</v>
      </c>
      <c r="F235" s="150">
        <v>56.3</v>
      </c>
      <c r="G235" s="150">
        <v>11.47</v>
      </c>
      <c r="H235" s="150">
        <v>5.6</v>
      </c>
      <c r="I235" s="150">
        <v>9.91</v>
      </c>
    </row>
    <row r="236" spans="1:9">
      <c r="A236" s="332">
        <v>39583</v>
      </c>
      <c r="B236" s="150">
        <v>10.039999999999999</v>
      </c>
      <c r="C236" s="150">
        <v>15.41</v>
      </c>
      <c r="D236" s="150">
        <v>99.3</v>
      </c>
      <c r="E236" s="150">
        <v>13.45</v>
      </c>
      <c r="F236" s="150">
        <v>57.5</v>
      </c>
      <c r="G236" s="150">
        <v>12.4</v>
      </c>
      <c r="H236" s="150">
        <v>5.6</v>
      </c>
      <c r="I236" s="150">
        <v>10.47</v>
      </c>
    </row>
    <row r="237" spans="1:9">
      <c r="A237" s="332">
        <v>39614</v>
      </c>
      <c r="B237" s="150">
        <v>10.54</v>
      </c>
      <c r="C237" s="150">
        <v>16.170000000000002</v>
      </c>
      <c r="D237" s="150">
        <v>99.2</v>
      </c>
      <c r="E237" s="150">
        <v>14.01</v>
      </c>
      <c r="F237" s="150">
        <v>56.9</v>
      </c>
      <c r="G237" s="150">
        <v>12.91</v>
      </c>
      <c r="H237" s="150">
        <v>4.5</v>
      </c>
      <c r="I237" s="150">
        <v>11.5</v>
      </c>
    </row>
    <row r="238" spans="1:9">
      <c r="A238" s="332">
        <v>39644</v>
      </c>
      <c r="B238" s="150">
        <v>12.18</v>
      </c>
      <c r="C238" s="150">
        <v>17.690000000000001</v>
      </c>
      <c r="D238" s="150">
        <v>99.1</v>
      </c>
      <c r="E238" s="150">
        <v>15.86</v>
      </c>
      <c r="F238" s="150">
        <v>54.7</v>
      </c>
      <c r="G238" s="150">
        <v>14.34</v>
      </c>
      <c r="H238" s="150">
        <v>4.4000000000000004</v>
      </c>
      <c r="I238" s="150">
        <v>10.92</v>
      </c>
    </row>
    <row r="239" spans="1:9">
      <c r="A239" s="332">
        <v>39675</v>
      </c>
      <c r="B239" s="150">
        <v>9.1199999999999992</v>
      </c>
      <c r="C239" s="150">
        <v>15.79</v>
      </c>
      <c r="D239" s="150">
        <v>99.1</v>
      </c>
      <c r="E239" s="150">
        <v>13.33</v>
      </c>
      <c r="F239" s="150">
        <v>50.7</v>
      </c>
      <c r="G239" s="150">
        <v>12.99</v>
      </c>
      <c r="H239" s="150">
        <v>4.3</v>
      </c>
      <c r="I239" s="150">
        <v>8.25</v>
      </c>
    </row>
    <row r="240" spans="1:9">
      <c r="A240" s="332">
        <v>39706</v>
      </c>
      <c r="B240" s="150">
        <v>7.48</v>
      </c>
      <c r="C240" s="150">
        <v>13.58</v>
      </c>
      <c r="D240" s="150">
        <v>99.1</v>
      </c>
      <c r="E240" s="150">
        <v>11.31</v>
      </c>
      <c r="F240" s="150">
        <v>48.2</v>
      </c>
      <c r="G240" s="150">
        <v>10.53</v>
      </c>
      <c r="H240" s="150">
        <v>4.4000000000000004</v>
      </c>
      <c r="I240" s="150">
        <v>6.55</v>
      </c>
    </row>
    <row r="241" spans="1:9">
      <c r="A241" s="332">
        <v>39736</v>
      </c>
      <c r="B241" s="150">
        <v>5.01</v>
      </c>
      <c r="C241" s="150">
        <v>12.47</v>
      </c>
      <c r="D241" s="150">
        <v>99.1</v>
      </c>
      <c r="E241" s="150">
        <v>10.56</v>
      </c>
      <c r="F241" s="150">
        <v>50.9</v>
      </c>
      <c r="G241" s="150">
        <v>9.27</v>
      </c>
      <c r="H241" s="150">
        <v>4.7</v>
      </c>
      <c r="I241" s="150">
        <v>5.73</v>
      </c>
    </row>
    <row r="242" spans="1:9">
      <c r="A242" s="332">
        <v>39767</v>
      </c>
      <c r="B242" s="150">
        <v>4.38</v>
      </c>
      <c r="C242" s="150">
        <v>10.07</v>
      </c>
      <c r="D242" s="150">
        <v>99.2</v>
      </c>
      <c r="E242" s="150">
        <v>8.86</v>
      </c>
      <c r="F242" s="150">
        <v>56</v>
      </c>
      <c r="G242" s="150">
        <v>7.86</v>
      </c>
      <c r="H242" s="150">
        <v>4.7</v>
      </c>
      <c r="I242" s="150">
        <v>5.41</v>
      </c>
    </row>
    <row r="243" spans="1:9">
      <c r="A243" s="332">
        <v>39797</v>
      </c>
      <c r="B243" s="150">
        <v>5.86</v>
      </c>
      <c r="C243" s="150">
        <v>9.9499999999999993</v>
      </c>
      <c r="D243" s="150">
        <v>99.3</v>
      </c>
      <c r="E243" s="150">
        <v>9.14</v>
      </c>
      <c r="F243" s="150">
        <v>62.3</v>
      </c>
      <c r="G243" s="150">
        <v>8.49</v>
      </c>
      <c r="H243" s="150">
        <v>5.5</v>
      </c>
      <c r="I243" s="150">
        <v>6.06</v>
      </c>
    </row>
    <row r="244" spans="1:9">
      <c r="A244" s="332">
        <v>39828</v>
      </c>
      <c r="B244" s="150">
        <v>5.76</v>
      </c>
      <c r="C244" s="150">
        <v>10.55</v>
      </c>
      <c r="D244" s="150">
        <v>99.1</v>
      </c>
      <c r="E244" s="150">
        <v>9.44</v>
      </c>
      <c r="F244" s="150">
        <v>58.4</v>
      </c>
      <c r="G244" s="150">
        <v>8.27</v>
      </c>
      <c r="H244" s="150">
        <v>5.5</v>
      </c>
      <c r="I244" s="150">
        <v>5.47</v>
      </c>
    </row>
    <row r="245" spans="1:9">
      <c r="A245" s="332">
        <v>39859</v>
      </c>
      <c r="B245" s="150">
        <v>4.55</v>
      </c>
      <c r="C245" s="150">
        <v>9.73</v>
      </c>
      <c r="D245" s="150">
        <v>99.1</v>
      </c>
      <c r="E245" s="150">
        <v>8.27</v>
      </c>
      <c r="F245" s="150">
        <v>60.8</v>
      </c>
      <c r="G245" s="150">
        <v>7.31</v>
      </c>
      <c r="H245" s="150">
        <v>7.2</v>
      </c>
      <c r="I245" s="150">
        <v>4.67</v>
      </c>
    </row>
    <row r="246" spans="1:9">
      <c r="A246" s="332">
        <v>39887</v>
      </c>
      <c r="B246" s="150">
        <v>3.62</v>
      </c>
      <c r="C246" s="150">
        <v>8.3800000000000008</v>
      </c>
      <c r="D246" s="150">
        <v>99</v>
      </c>
      <c r="E246" s="150">
        <v>7.52</v>
      </c>
      <c r="F246" s="150">
        <v>59.5</v>
      </c>
      <c r="G246" s="150">
        <v>6.4</v>
      </c>
      <c r="H246" s="150">
        <v>5.2</v>
      </c>
      <c r="I246" s="150">
        <v>4.05</v>
      </c>
    </row>
    <row r="247" spans="1:9">
      <c r="A247" s="332">
        <v>39918</v>
      </c>
      <c r="B247" s="150">
        <v>3.44</v>
      </c>
      <c r="C247" s="150">
        <v>8.6199999999999992</v>
      </c>
      <c r="D247" s="150">
        <v>98.9</v>
      </c>
      <c r="E247" s="150">
        <v>7.19</v>
      </c>
      <c r="F247" s="150">
        <v>57.2</v>
      </c>
      <c r="G247" s="150">
        <v>6.6</v>
      </c>
      <c r="H247" s="150">
        <v>4</v>
      </c>
      <c r="I247" s="150">
        <v>3.91</v>
      </c>
    </row>
    <row r="248" spans="1:9">
      <c r="A248" s="332">
        <v>39948</v>
      </c>
      <c r="B248" s="150">
        <v>3.33</v>
      </c>
      <c r="C248" s="150">
        <v>8.75</v>
      </c>
      <c r="D248" s="150">
        <v>98.7</v>
      </c>
      <c r="E248" s="150">
        <v>6.09</v>
      </c>
      <c r="F248" s="150">
        <v>54.6</v>
      </c>
      <c r="G248" s="150">
        <v>4.8099999999999996</v>
      </c>
      <c r="H248" s="150">
        <v>5.6</v>
      </c>
      <c r="I248" s="150">
        <v>3.99</v>
      </c>
    </row>
    <row r="249" spans="1:9">
      <c r="A249" s="332">
        <v>39979</v>
      </c>
      <c r="B249" s="150">
        <v>3.39</v>
      </c>
      <c r="C249" s="150">
        <v>9.01</v>
      </c>
      <c r="D249" s="150">
        <v>98.7</v>
      </c>
      <c r="E249" s="150">
        <v>6.84</v>
      </c>
      <c r="F249" s="150">
        <v>54.9</v>
      </c>
      <c r="G249" s="150">
        <v>6</v>
      </c>
      <c r="H249" s="150">
        <v>3.3</v>
      </c>
      <c r="I249" s="150">
        <v>3.76</v>
      </c>
    </row>
    <row r="250" spans="1:9">
      <c r="A250" s="332">
        <v>40009</v>
      </c>
      <c r="B250" s="150">
        <v>3.63</v>
      </c>
      <c r="C250" s="150">
        <v>9.44</v>
      </c>
      <c r="D250" s="150">
        <v>98.6</v>
      </c>
      <c r="E250" s="150">
        <v>7.2</v>
      </c>
      <c r="F250" s="150">
        <v>52.3</v>
      </c>
      <c r="G250" s="150">
        <v>5.81</v>
      </c>
      <c r="H250" s="150">
        <v>3.8</v>
      </c>
      <c r="I250" s="150">
        <v>3.98</v>
      </c>
    </row>
    <row r="251" spans="1:9">
      <c r="A251" s="332">
        <v>40040</v>
      </c>
      <c r="B251" s="150">
        <v>3.78</v>
      </c>
      <c r="C251" s="150">
        <v>9.82</v>
      </c>
      <c r="D251" s="150">
        <v>98.6</v>
      </c>
      <c r="E251" s="150">
        <v>7.41</v>
      </c>
      <c r="F251" s="150">
        <v>46.5</v>
      </c>
      <c r="G251" s="150">
        <v>6.08</v>
      </c>
      <c r="H251" s="150">
        <v>3.5</v>
      </c>
      <c r="I251" s="150">
        <v>3.93</v>
      </c>
    </row>
    <row r="252" spans="1:9">
      <c r="A252" s="332">
        <v>40071</v>
      </c>
      <c r="B252" s="150">
        <v>3.19</v>
      </c>
      <c r="C252" s="150">
        <v>9.1199999999999992</v>
      </c>
      <c r="D252" s="150">
        <v>98.6</v>
      </c>
      <c r="E252" s="150">
        <v>6.71</v>
      </c>
      <c r="F252" s="150">
        <v>46.9</v>
      </c>
      <c r="G252" s="150">
        <v>5.58</v>
      </c>
      <c r="H252" s="150">
        <v>4.0999999999999996</v>
      </c>
      <c r="I252" s="150">
        <v>3.77</v>
      </c>
    </row>
    <row r="253" spans="1:9">
      <c r="A253" s="332">
        <v>40101</v>
      </c>
      <c r="B253" s="150">
        <v>4</v>
      </c>
      <c r="C253" s="150">
        <v>9.52</v>
      </c>
      <c r="D253" s="150">
        <v>98.7</v>
      </c>
      <c r="E253" s="150">
        <v>6.99</v>
      </c>
      <c r="F253" s="150">
        <v>48.2</v>
      </c>
      <c r="G253" s="150">
        <v>5.84</v>
      </c>
      <c r="H253" s="150">
        <v>4.5999999999999996</v>
      </c>
      <c r="I253" s="150">
        <v>4.78</v>
      </c>
    </row>
    <row r="254" spans="1:9">
      <c r="A254" s="332">
        <v>40132</v>
      </c>
      <c r="B254" s="150">
        <v>5.1100000000000003</v>
      </c>
      <c r="C254" s="150">
        <v>9.5299999999999994</v>
      </c>
      <c r="D254" s="150">
        <v>98.8</v>
      </c>
      <c r="E254" s="150">
        <v>8.49</v>
      </c>
      <c r="F254" s="150">
        <v>50.9</v>
      </c>
      <c r="G254" s="150">
        <v>6.82</v>
      </c>
      <c r="H254" s="150">
        <v>4.7</v>
      </c>
      <c r="I254" s="150">
        <v>5.01</v>
      </c>
    </row>
    <row r="255" spans="1:9">
      <c r="A255" s="332">
        <v>40162</v>
      </c>
      <c r="B255" s="150">
        <v>5.04</v>
      </c>
      <c r="C255" s="150">
        <v>9.65</v>
      </c>
      <c r="D255" s="150">
        <v>98.8</v>
      </c>
      <c r="E255" s="150">
        <v>8.68</v>
      </c>
      <c r="F255" s="150">
        <v>60</v>
      </c>
      <c r="G255" s="150">
        <v>8.16</v>
      </c>
      <c r="H255" s="150">
        <v>5.0999999999999996</v>
      </c>
      <c r="I255" s="150">
        <v>5.88</v>
      </c>
    </row>
    <row r="256" spans="1:9">
      <c r="A256" s="332">
        <v>40193</v>
      </c>
      <c r="B256" s="150">
        <v>6.25</v>
      </c>
      <c r="C256" s="150">
        <v>10.38</v>
      </c>
      <c r="D256" s="150">
        <v>98.7</v>
      </c>
      <c r="E256" s="150">
        <v>9.23</v>
      </c>
      <c r="F256" s="150">
        <v>56.2</v>
      </c>
      <c r="G256" s="150">
        <v>7.96</v>
      </c>
      <c r="H256" s="150">
        <v>6.2</v>
      </c>
      <c r="I256" s="150">
        <v>6.49</v>
      </c>
    </row>
    <row r="257" spans="1:9">
      <c r="A257" s="332">
        <v>40224</v>
      </c>
      <c r="B257" s="150">
        <v>6.09</v>
      </c>
      <c r="C257" s="150">
        <v>10.67</v>
      </c>
      <c r="D257" s="150">
        <v>98.6</v>
      </c>
      <c r="E257" s="150">
        <v>9.4700000000000006</v>
      </c>
      <c r="F257" s="150">
        <v>58.9</v>
      </c>
      <c r="G257" s="150">
        <v>8.49</v>
      </c>
      <c r="H257" s="150">
        <v>5.6</v>
      </c>
      <c r="I257" s="150">
        <v>6.08</v>
      </c>
    </row>
    <row r="258" spans="1:9">
      <c r="A258" s="332">
        <v>40252</v>
      </c>
      <c r="B258" s="150">
        <v>5.26</v>
      </c>
      <c r="C258" s="150">
        <v>9.02</v>
      </c>
      <c r="D258" s="150">
        <v>98.5</v>
      </c>
      <c r="E258" s="150">
        <v>6.94</v>
      </c>
      <c r="F258" s="150">
        <v>53.5</v>
      </c>
      <c r="G258" s="150">
        <v>6.7</v>
      </c>
      <c r="H258" s="150">
        <v>4.7</v>
      </c>
      <c r="I258" s="150">
        <v>5.37</v>
      </c>
    </row>
    <row r="259" spans="1:9">
      <c r="A259" s="332">
        <v>40283</v>
      </c>
      <c r="B259" s="150">
        <v>4.47</v>
      </c>
      <c r="C259" s="150">
        <v>9.68</v>
      </c>
      <c r="D259" s="150">
        <v>98.5</v>
      </c>
      <c r="E259" s="150">
        <v>8.4</v>
      </c>
      <c r="F259" s="150">
        <v>55</v>
      </c>
      <c r="G259" s="150">
        <v>7.48</v>
      </c>
      <c r="H259" s="150">
        <v>4.0999999999999996</v>
      </c>
      <c r="I259" s="150">
        <v>4.7699999999999996</v>
      </c>
    </row>
    <row r="260" spans="1:9">
      <c r="A260" s="332">
        <v>40313</v>
      </c>
      <c r="B260" s="150">
        <v>4.37</v>
      </c>
      <c r="C260" s="150">
        <v>10.26</v>
      </c>
      <c r="D260" s="150">
        <v>98.5</v>
      </c>
      <c r="E260" s="150">
        <v>7.62</v>
      </c>
      <c r="F260" s="150">
        <v>55.3</v>
      </c>
      <c r="G260" s="150">
        <v>6.41</v>
      </c>
      <c r="H260" s="150">
        <v>5.3</v>
      </c>
    </row>
    <row r="261" spans="1:9">
      <c r="A261" s="332">
        <v>40344</v>
      </c>
      <c r="B261" s="150">
        <v>4.4400000000000004</v>
      </c>
      <c r="C261" s="150">
        <v>10.220000000000001</v>
      </c>
      <c r="D261" s="150">
        <v>98.3</v>
      </c>
      <c r="E261" s="150">
        <v>8.1199999999999992</v>
      </c>
      <c r="F261" s="150">
        <v>53.9</v>
      </c>
      <c r="G261" s="150">
        <v>6.83</v>
      </c>
      <c r="H261" s="150">
        <v>3.3</v>
      </c>
      <c r="I261" s="150">
        <v>4.9000000000000004</v>
      </c>
    </row>
    <row r="262" spans="1:9">
      <c r="A262" s="332">
        <v>40374</v>
      </c>
      <c r="B262" s="150">
        <v>4.91</v>
      </c>
      <c r="C262" s="150">
        <v>10.46</v>
      </c>
      <c r="D262" s="150">
        <v>98.3</v>
      </c>
      <c r="E262" s="150">
        <v>8.2899999999999991</v>
      </c>
      <c r="F262" s="150">
        <v>53.6</v>
      </c>
      <c r="G262" s="150">
        <v>6.78</v>
      </c>
      <c r="H262" s="150">
        <v>3.8</v>
      </c>
      <c r="I262" s="150">
        <v>5</v>
      </c>
    </row>
    <row r="263" spans="1:9">
      <c r="A263" s="332">
        <v>40405</v>
      </c>
      <c r="B263" s="150">
        <v>4.58</v>
      </c>
      <c r="C263" s="150">
        <v>10.73</v>
      </c>
      <c r="D263" s="150">
        <v>98.2</v>
      </c>
      <c r="E263" s="150">
        <v>8.4</v>
      </c>
      <c r="F263" s="150">
        <v>52.5</v>
      </c>
      <c r="G263" s="150">
        <v>7.03</v>
      </c>
      <c r="H263" s="150">
        <v>3.6</v>
      </c>
      <c r="I263" s="150">
        <v>4.66</v>
      </c>
    </row>
    <row r="264" spans="1:9">
      <c r="A264" s="332">
        <v>40436</v>
      </c>
      <c r="B264" s="150">
        <v>4.0599999999999996</v>
      </c>
      <c r="C264" s="150">
        <v>10.29</v>
      </c>
      <c r="D264" s="150">
        <v>98.2</v>
      </c>
      <c r="E264" s="150">
        <v>7.81</v>
      </c>
      <c r="F264" s="150">
        <v>45.5</v>
      </c>
      <c r="G264" s="150">
        <v>6.34</v>
      </c>
      <c r="H264" s="150">
        <v>4</v>
      </c>
      <c r="I264" s="150">
        <v>4.33</v>
      </c>
    </row>
    <row r="265" spans="1:9">
      <c r="A265" s="332">
        <v>40466</v>
      </c>
      <c r="B265" s="150">
        <v>4.22</v>
      </c>
      <c r="C265" s="150">
        <v>10.199999999999999</v>
      </c>
      <c r="D265" s="150">
        <v>98.5</v>
      </c>
      <c r="E265" s="150">
        <v>8.08</v>
      </c>
      <c r="F265" s="150">
        <v>47.5</v>
      </c>
      <c r="G265" s="150">
        <v>6.37</v>
      </c>
      <c r="H265" s="150">
        <v>4.2</v>
      </c>
      <c r="I265" s="150">
        <v>4.32</v>
      </c>
    </row>
    <row r="266" spans="1:9">
      <c r="A266" s="332">
        <v>40497</v>
      </c>
      <c r="B266" s="150">
        <v>3.85</v>
      </c>
      <c r="C266" s="150">
        <v>8.61</v>
      </c>
      <c r="D266" s="150">
        <v>98.7</v>
      </c>
      <c r="E266" s="150">
        <v>7.46</v>
      </c>
      <c r="F266" s="150">
        <v>53</v>
      </c>
      <c r="G266" s="150">
        <v>6.18</v>
      </c>
      <c r="H266" s="150">
        <v>5</v>
      </c>
      <c r="I266" s="150">
        <v>4.3600000000000003</v>
      </c>
    </row>
    <row r="267" spans="1:9">
      <c r="A267" s="332">
        <v>40527</v>
      </c>
      <c r="B267" s="150">
        <v>4.74</v>
      </c>
      <c r="C267" s="150">
        <v>9.4700000000000006</v>
      </c>
      <c r="D267" s="150">
        <v>98.7</v>
      </c>
      <c r="E267" s="150">
        <v>8.58</v>
      </c>
      <c r="F267" s="150">
        <v>58.7</v>
      </c>
      <c r="G267" s="150">
        <v>7.17</v>
      </c>
      <c r="H267" s="150">
        <v>5.0999999999999996</v>
      </c>
      <c r="I267" s="150">
        <v>4.92</v>
      </c>
    </row>
    <row r="268" spans="1:9">
      <c r="A268" s="332">
        <v>40558</v>
      </c>
      <c r="B268" s="150">
        <v>4.51</v>
      </c>
      <c r="C268" s="150">
        <v>9.59</v>
      </c>
      <c r="D268" s="150">
        <v>98.7</v>
      </c>
      <c r="E268" s="150">
        <v>8.2899999999999991</v>
      </c>
      <c r="F268" s="150">
        <v>56.9</v>
      </c>
      <c r="G268" s="150">
        <v>7.38</v>
      </c>
      <c r="H268" s="150">
        <v>4.7</v>
      </c>
      <c r="I268" s="150">
        <v>4.87</v>
      </c>
    </row>
    <row r="269" spans="1:9">
      <c r="A269" s="332">
        <v>40589</v>
      </c>
      <c r="B269" s="150">
        <v>4.54</v>
      </c>
      <c r="C269" s="150">
        <v>9.89</v>
      </c>
      <c r="D269" s="150">
        <v>98.8</v>
      </c>
      <c r="E269" s="150">
        <v>8.51</v>
      </c>
      <c r="F269" s="150">
        <v>58.1</v>
      </c>
      <c r="G269" s="150">
        <v>7.19</v>
      </c>
      <c r="H269" s="150">
        <v>7</v>
      </c>
      <c r="I269" s="150">
        <v>4.7699999999999996</v>
      </c>
    </row>
    <row r="270" spans="1:9">
      <c r="A270" s="332">
        <v>40617</v>
      </c>
      <c r="B270" s="150">
        <v>4.32</v>
      </c>
      <c r="C270" s="150">
        <v>9.64</v>
      </c>
      <c r="D270" s="150">
        <v>98.3</v>
      </c>
      <c r="E270" s="150">
        <v>8.18</v>
      </c>
      <c r="F270" s="150">
        <v>56.7</v>
      </c>
      <c r="G270" s="150">
        <v>7.39</v>
      </c>
      <c r="H270" s="150">
        <v>4.5</v>
      </c>
      <c r="I270" s="150">
        <v>4.54</v>
      </c>
    </row>
    <row r="271" spans="1:9">
      <c r="A271" s="332">
        <v>40648</v>
      </c>
      <c r="B271" s="150">
        <v>4.5199999999999996</v>
      </c>
      <c r="C271" s="150">
        <v>9.9499999999999993</v>
      </c>
      <c r="D271" s="150">
        <v>98.4</v>
      </c>
      <c r="E271" s="150">
        <v>8.32</v>
      </c>
      <c r="F271" s="150">
        <v>55.5</v>
      </c>
      <c r="G271" s="150">
        <v>7</v>
      </c>
      <c r="H271" s="150">
        <v>4.5999999999999996</v>
      </c>
      <c r="I271" s="150">
        <v>4.88</v>
      </c>
    </row>
    <row r="272" spans="1:9">
      <c r="A272" s="332">
        <v>40678</v>
      </c>
      <c r="B272" s="150">
        <v>4.67</v>
      </c>
      <c r="C272" s="150">
        <v>10.47</v>
      </c>
      <c r="D272" s="150">
        <v>98.1</v>
      </c>
      <c r="E272" s="150">
        <v>8.1999999999999993</v>
      </c>
      <c r="F272" s="150">
        <v>55.6</v>
      </c>
      <c r="G272" s="150">
        <v>6.95</v>
      </c>
      <c r="H272" s="150">
        <v>4.5999999999999996</v>
      </c>
      <c r="I272" s="150">
        <v>4.96</v>
      </c>
    </row>
    <row r="273" spans="1:9">
      <c r="A273" s="332">
        <v>40709</v>
      </c>
      <c r="B273" s="150">
        <v>4.78</v>
      </c>
      <c r="C273" s="150">
        <v>11.1</v>
      </c>
      <c r="D273" s="150">
        <v>97.9</v>
      </c>
      <c r="E273" s="150">
        <v>8.58</v>
      </c>
      <c r="F273" s="150">
        <v>53.9</v>
      </c>
      <c r="G273" s="150">
        <v>7.29</v>
      </c>
      <c r="H273" s="150">
        <v>3.9</v>
      </c>
      <c r="I273" s="150">
        <v>5.07</v>
      </c>
    </row>
    <row r="274" spans="1:9">
      <c r="A274" s="332">
        <v>40739</v>
      </c>
      <c r="B274" s="150">
        <v>4.8899999999999997</v>
      </c>
      <c r="C274" s="150">
        <v>11.06</v>
      </c>
      <c r="D274" s="150">
        <v>97.9</v>
      </c>
      <c r="E274" s="150">
        <v>8.67</v>
      </c>
      <c r="F274" s="150">
        <v>52.3</v>
      </c>
      <c r="G274" s="150">
        <v>7.22</v>
      </c>
      <c r="H274" s="150">
        <v>3.8</v>
      </c>
      <c r="I274" s="150">
        <v>5.0599999999999996</v>
      </c>
    </row>
    <row r="275" spans="1:9">
      <c r="A275" s="332">
        <v>40770</v>
      </c>
      <c r="B275" s="150">
        <v>4.84</v>
      </c>
      <c r="C275" s="150">
        <v>11.25</v>
      </c>
      <c r="D275" s="150">
        <v>97.8</v>
      </c>
      <c r="E275" s="150">
        <v>9.11</v>
      </c>
      <c r="F275" s="150">
        <v>48.8</v>
      </c>
      <c r="G275" s="150">
        <v>7.36</v>
      </c>
      <c r="H275" s="150">
        <v>3.7</v>
      </c>
      <c r="I275" s="150">
        <v>4.9000000000000004</v>
      </c>
    </row>
    <row r="276" spans="1:9">
      <c r="A276" s="332">
        <v>40801</v>
      </c>
      <c r="B276" s="150">
        <v>4.66</v>
      </c>
      <c r="C276" s="150">
        <v>10.67</v>
      </c>
      <c r="D276" s="150">
        <v>97.7</v>
      </c>
      <c r="E276" s="150">
        <v>8.34</v>
      </c>
      <c r="F276" s="150">
        <v>46.9</v>
      </c>
      <c r="G276" s="150">
        <v>6.82</v>
      </c>
      <c r="H276" s="150">
        <v>3.8</v>
      </c>
      <c r="I276" s="150">
        <v>4.75</v>
      </c>
    </row>
    <row r="277" spans="1:9">
      <c r="A277" s="332">
        <v>40831</v>
      </c>
      <c r="B277" s="150">
        <v>4.41</v>
      </c>
      <c r="C277" s="150">
        <v>10.33</v>
      </c>
      <c r="D277" s="150">
        <v>98</v>
      </c>
      <c r="E277" s="150">
        <v>8.0500000000000007</v>
      </c>
      <c r="F277" s="150">
        <v>48</v>
      </c>
      <c r="G277" s="150">
        <v>6.59</v>
      </c>
      <c r="H277" s="150">
        <v>4.4000000000000004</v>
      </c>
      <c r="I277" s="150">
        <v>4.46</v>
      </c>
    </row>
    <row r="278" spans="1:9">
      <c r="A278" s="332">
        <v>40862</v>
      </c>
      <c r="B278" s="150">
        <v>4.13</v>
      </c>
      <c r="C278" s="150">
        <v>9.1999999999999993</v>
      </c>
      <c r="D278" s="150">
        <v>98.2</v>
      </c>
      <c r="E278" s="150">
        <v>7.64</v>
      </c>
      <c r="F278" s="150">
        <v>55.8</v>
      </c>
      <c r="G278" s="150">
        <v>6.53</v>
      </c>
      <c r="H278" s="150">
        <v>4.5999999999999996</v>
      </c>
      <c r="I278" s="150">
        <v>4.34</v>
      </c>
    </row>
    <row r="279" spans="1:9">
      <c r="A279" s="332">
        <v>40892</v>
      </c>
      <c r="B279" s="150">
        <v>3.94</v>
      </c>
      <c r="C279" s="150">
        <v>9.14</v>
      </c>
      <c r="D279" s="150">
        <v>98.3</v>
      </c>
      <c r="E279" s="150">
        <v>7.97</v>
      </c>
      <c r="F279" s="150">
        <v>56.8</v>
      </c>
      <c r="G279" s="150">
        <v>6.81</v>
      </c>
      <c r="H279" s="150">
        <v>5</v>
      </c>
      <c r="I279" s="150">
        <v>4.21</v>
      </c>
    </row>
    <row r="280" spans="1:9">
      <c r="A280" s="332">
        <v>40923</v>
      </c>
      <c r="B280" s="150">
        <v>3.66</v>
      </c>
      <c r="C280" s="150">
        <v>9.27</v>
      </c>
      <c r="D280" s="150">
        <v>98</v>
      </c>
      <c r="E280" s="150">
        <v>7.71</v>
      </c>
      <c r="F280" s="150">
        <v>53.8</v>
      </c>
      <c r="G280" s="150">
        <v>6.71</v>
      </c>
      <c r="H280" s="150">
        <v>5.0999999999999996</v>
      </c>
      <c r="I280" s="150">
        <v>3.81</v>
      </c>
    </row>
    <row r="281" spans="1:9">
      <c r="A281" s="332">
        <v>40954</v>
      </c>
      <c r="B281" s="150">
        <v>3.13</v>
      </c>
      <c r="C281" s="150">
        <v>8.36</v>
      </c>
      <c r="D281" s="150">
        <v>97.9</v>
      </c>
      <c r="E281" s="150">
        <v>6.58</v>
      </c>
      <c r="F281" s="150">
        <v>56</v>
      </c>
      <c r="G281" s="150">
        <v>5.69</v>
      </c>
      <c r="H281" s="150">
        <v>6.5</v>
      </c>
      <c r="I281" s="150">
        <v>3.58</v>
      </c>
    </row>
    <row r="282" spans="1:9">
      <c r="A282" s="332">
        <v>40983</v>
      </c>
      <c r="B282" s="150">
        <v>2.91</v>
      </c>
      <c r="C282" s="150">
        <v>8.69</v>
      </c>
      <c r="D282" s="150">
        <v>97.7</v>
      </c>
      <c r="E282" s="150">
        <v>7.31</v>
      </c>
      <c r="F282" s="150">
        <v>53.2</v>
      </c>
      <c r="G282" s="150">
        <v>6.57</v>
      </c>
      <c r="H282" s="150">
        <v>3.8</v>
      </c>
      <c r="I282" s="150">
        <v>3.19</v>
      </c>
    </row>
    <row r="283" spans="1:9">
      <c r="A283" s="332">
        <v>41014</v>
      </c>
      <c r="B283" s="150">
        <v>2.63</v>
      </c>
      <c r="C283" s="150">
        <v>8.48</v>
      </c>
      <c r="D283" s="150">
        <v>97.4</v>
      </c>
      <c r="E283" s="150">
        <v>6.34</v>
      </c>
      <c r="F283" s="150">
        <v>53.4</v>
      </c>
      <c r="G283" s="150">
        <v>5.17</v>
      </c>
      <c r="H283" s="150">
        <v>4.5999999999999996</v>
      </c>
      <c r="I283" s="150">
        <v>3.05</v>
      </c>
    </row>
    <row r="284" spans="1:9">
      <c r="A284" s="332">
        <v>41044</v>
      </c>
      <c r="B284" s="150">
        <v>2.69</v>
      </c>
      <c r="C284" s="150">
        <v>9.0399999999999991</v>
      </c>
      <c r="D284" s="150">
        <v>97.3</v>
      </c>
      <c r="E284" s="150">
        <v>5.98</v>
      </c>
      <c r="F284" s="150">
        <v>51.8</v>
      </c>
      <c r="G284" s="150">
        <v>4.8600000000000003</v>
      </c>
      <c r="H284" s="150">
        <v>4.2</v>
      </c>
      <c r="I284" s="150">
        <v>3.17</v>
      </c>
    </row>
    <row r="285" spans="1:9">
      <c r="A285" s="332">
        <v>41075</v>
      </c>
      <c r="B285" s="150">
        <v>3.41</v>
      </c>
      <c r="C285" s="150">
        <v>9.6999999999999993</v>
      </c>
      <c r="D285" s="150">
        <v>97</v>
      </c>
      <c r="E285" s="150">
        <v>6.76</v>
      </c>
      <c r="F285" s="150">
        <v>47.7</v>
      </c>
      <c r="G285" s="150">
        <v>5.27</v>
      </c>
      <c r="H285" s="150">
        <v>3.6</v>
      </c>
      <c r="I285" s="150">
        <v>3.4</v>
      </c>
    </row>
    <row r="286" spans="1:9">
      <c r="A286" s="332">
        <v>41105</v>
      </c>
      <c r="B286" s="150">
        <v>3.41</v>
      </c>
      <c r="C286" s="150">
        <v>9.9700000000000006</v>
      </c>
      <c r="D286" s="150">
        <v>96.9</v>
      </c>
      <c r="E286" s="150">
        <v>7.09</v>
      </c>
      <c r="F286" s="150">
        <v>44.7</v>
      </c>
      <c r="G286" s="150">
        <v>5.58</v>
      </c>
      <c r="H286" s="150">
        <v>3.4</v>
      </c>
      <c r="I286" s="150">
        <v>3.63</v>
      </c>
    </row>
    <row r="287" spans="1:9">
      <c r="A287" s="332">
        <v>41136</v>
      </c>
      <c r="B287" s="150">
        <v>4.05</v>
      </c>
      <c r="C287" s="150">
        <v>10.119999999999999</v>
      </c>
      <c r="D287" s="150">
        <v>96.8</v>
      </c>
      <c r="E287" s="150">
        <v>7.14</v>
      </c>
      <c r="F287" s="150">
        <v>42.4</v>
      </c>
      <c r="G287" s="150">
        <v>5.75</v>
      </c>
      <c r="H287" s="150">
        <v>3.4</v>
      </c>
      <c r="I287" s="150">
        <v>3.63</v>
      </c>
    </row>
    <row r="288" spans="1:9">
      <c r="A288" s="332">
        <v>41167</v>
      </c>
      <c r="B288" s="150">
        <v>3.48</v>
      </c>
      <c r="C288" s="150">
        <v>10.07</v>
      </c>
      <c r="D288" s="150">
        <v>96.7</v>
      </c>
      <c r="E288" s="150">
        <v>6.77</v>
      </c>
      <c r="F288" s="150">
        <v>42.8</v>
      </c>
      <c r="G288" s="150">
        <v>5.3</v>
      </c>
      <c r="H288" s="150">
        <v>3.5</v>
      </c>
      <c r="I288" s="150">
        <v>3.7</v>
      </c>
    </row>
    <row r="289" spans="1:9">
      <c r="A289" s="332">
        <v>41197</v>
      </c>
      <c r="B289" s="150">
        <v>3.52</v>
      </c>
      <c r="C289" s="150">
        <v>9.7899999999999991</v>
      </c>
      <c r="D289" s="150">
        <v>96.8</v>
      </c>
      <c r="E289" s="150">
        <v>6.82</v>
      </c>
      <c r="F289" s="150">
        <v>44.5</v>
      </c>
      <c r="G289" s="150">
        <v>5.45</v>
      </c>
      <c r="H289" s="150">
        <v>4</v>
      </c>
      <c r="I289" s="150">
        <v>4.16</v>
      </c>
    </row>
    <row r="290" spans="1:9">
      <c r="A290" s="332">
        <v>41228</v>
      </c>
      <c r="B290" s="150">
        <v>4</v>
      </c>
      <c r="C290" s="150">
        <v>9.09</v>
      </c>
      <c r="D290" s="150">
        <v>97.4</v>
      </c>
      <c r="E290" s="150">
        <v>7.45</v>
      </c>
      <c r="F290" s="150">
        <v>49.1</v>
      </c>
      <c r="G290" s="150">
        <v>5.94</v>
      </c>
      <c r="H290" s="150">
        <v>4.5999999999999996</v>
      </c>
      <c r="I290" s="150">
        <v>4.41</v>
      </c>
    </row>
    <row r="291" spans="1:9">
      <c r="A291" s="332">
        <v>41258</v>
      </c>
      <c r="B291" s="150">
        <v>4.49</v>
      </c>
      <c r="C291" s="150">
        <v>9.33</v>
      </c>
      <c r="D291" s="150">
        <v>97.5</v>
      </c>
      <c r="E291" s="150">
        <v>8.0500000000000007</v>
      </c>
      <c r="F291" s="150">
        <v>52.8</v>
      </c>
      <c r="G291" s="150">
        <v>6.68</v>
      </c>
      <c r="H291" s="150">
        <v>4.5999999999999996</v>
      </c>
      <c r="I291" s="150">
        <v>4.3499999999999996</v>
      </c>
    </row>
    <row r="292" spans="1:9">
      <c r="A292" s="332">
        <v>41289</v>
      </c>
      <c r="B292" s="150">
        <v>4.18</v>
      </c>
      <c r="C292" s="150">
        <v>9.5</v>
      </c>
      <c r="D292" s="150">
        <v>97</v>
      </c>
      <c r="E292" s="150">
        <v>7.52</v>
      </c>
      <c r="F292" s="150">
        <v>52.9</v>
      </c>
      <c r="G292" s="150">
        <v>6.73</v>
      </c>
      <c r="H292" s="150">
        <v>4.4000000000000004</v>
      </c>
      <c r="I292" s="150">
        <v>4.2300000000000004</v>
      </c>
    </row>
    <row r="293" spans="1:9">
      <c r="A293" s="332">
        <v>41320</v>
      </c>
      <c r="B293" s="150">
        <v>3.58</v>
      </c>
      <c r="C293" s="150">
        <v>8.91</v>
      </c>
      <c r="D293" s="150">
        <v>97</v>
      </c>
      <c r="E293" s="150">
        <v>7.09</v>
      </c>
      <c r="F293" s="150">
        <v>56.1</v>
      </c>
      <c r="G293" s="150">
        <v>6.09</v>
      </c>
      <c r="H293" s="150">
        <v>6.4</v>
      </c>
      <c r="I293" s="150">
        <v>4.2300000000000004</v>
      </c>
    </row>
    <row r="294" spans="1:9">
      <c r="A294" s="332">
        <v>41348</v>
      </c>
      <c r="B294" s="150">
        <v>4.18</v>
      </c>
      <c r="C294" s="150">
        <v>9.19</v>
      </c>
      <c r="D294" s="150">
        <v>96.2</v>
      </c>
      <c r="E294" s="150">
        <v>7.52</v>
      </c>
      <c r="F294" s="150">
        <v>52</v>
      </c>
      <c r="G294" s="150">
        <v>6.39</v>
      </c>
      <c r="H294" s="150">
        <v>4.5</v>
      </c>
      <c r="I294" s="150">
        <v>4.47</v>
      </c>
    </row>
    <row r="295" spans="1:9">
      <c r="A295" s="332">
        <v>41379</v>
      </c>
      <c r="B295" s="150">
        <v>4.58</v>
      </c>
      <c r="C295" s="150">
        <v>9.83</v>
      </c>
      <c r="D295" s="150">
        <v>96.1</v>
      </c>
      <c r="E295" s="150">
        <v>7.63</v>
      </c>
      <c r="F295" s="150">
        <v>52.7</v>
      </c>
      <c r="G295" s="150">
        <v>6.44</v>
      </c>
      <c r="H295" s="150">
        <v>4.3</v>
      </c>
      <c r="I295" s="150">
        <v>4.82</v>
      </c>
    </row>
    <row r="296" spans="1:9">
      <c r="A296" s="332">
        <v>41409</v>
      </c>
      <c r="B296" s="150">
        <v>4.57</v>
      </c>
      <c r="C296" s="150">
        <v>10.94</v>
      </c>
      <c r="D296" s="150">
        <v>95.7</v>
      </c>
      <c r="E296" s="150">
        <v>7.97</v>
      </c>
      <c r="F296" s="150">
        <v>51</v>
      </c>
      <c r="G296" s="150">
        <v>6.74</v>
      </c>
      <c r="H296" s="150">
        <v>3.7</v>
      </c>
    </row>
    <row r="297" spans="1:9">
      <c r="A297" s="332">
        <v>41440</v>
      </c>
      <c r="B297" s="150">
        <v>4.6500000000000004</v>
      </c>
      <c r="C297" s="150">
        <v>11.38</v>
      </c>
      <c r="D297" s="150">
        <v>95.6</v>
      </c>
      <c r="E297" s="150">
        <v>8.58</v>
      </c>
      <c r="F297" s="150">
        <v>47.6</v>
      </c>
      <c r="G297" s="150">
        <v>7.07</v>
      </c>
      <c r="H297" s="150">
        <v>3.4</v>
      </c>
      <c r="I297" s="150">
        <v>4.55</v>
      </c>
    </row>
    <row r="298" spans="1:9">
      <c r="A298" s="332">
        <v>41470</v>
      </c>
      <c r="B298" s="150">
        <v>4.2</v>
      </c>
      <c r="C298" s="150">
        <v>11.06</v>
      </c>
      <c r="D298" s="150">
        <v>95.4</v>
      </c>
      <c r="E298" s="150">
        <v>8.15</v>
      </c>
      <c r="F298" s="150">
        <v>42.5</v>
      </c>
      <c r="G298" s="150">
        <v>6.88</v>
      </c>
      <c r="H298" s="150">
        <v>3</v>
      </c>
      <c r="I298" s="150">
        <v>4.45</v>
      </c>
    </row>
    <row r="299" spans="1:9">
      <c r="A299" s="332">
        <v>41501</v>
      </c>
      <c r="B299" s="150">
        <v>3.94</v>
      </c>
      <c r="C299" s="150">
        <v>10.92</v>
      </c>
      <c r="D299" s="150">
        <v>95.3</v>
      </c>
      <c r="E299" s="150">
        <v>8.17</v>
      </c>
      <c r="F299" s="150">
        <v>44</v>
      </c>
      <c r="G299" s="150">
        <v>6.68</v>
      </c>
      <c r="H299" s="150">
        <v>3.2</v>
      </c>
      <c r="I299" s="150">
        <v>4.29</v>
      </c>
    </row>
    <row r="300" spans="1:9">
      <c r="A300" s="332">
        <v>41532</v>
      </c>
      <c r="B300" s="150">
        <v>3.73</v>
      </c>
      <c r="C300" s="150">
        <v>10.52</v>
      </c>
      <c r="D300" s="150">
        <v>95.3</v>
      </c>
      <c r="E300" s="150">
        <v>7.6</v>
      </c>
      <c r="F300" s="150">
        <v>43.7</v>
      </c>
      <c r="G300" s="150">
        <v>6.27</v>
      </c>
      <c r="H300" s="150">
        <v>3.5</v>
      </c>
      <c r="I300" s="150">
        <v>4.4400000000000004</v>
      </c>
    </row>
    <row r="301" spans="1:9">
      <c r="A301" s="332">
        <v>41562</v>
      </c>
      <c r="B301" s="150">
        <v>3.88</v>
      </c>
      <c r="C301" s="150">
        <v>10.42</v>
      </c>
      <c r="D301" s="150">
        <v>95.2</v>
      </c>
      <c r="E301" s="150">
        <v>7.6</v>
      </c>
      <c r="F301" s="150">
        <v>48.1</v>
      </c>
      <c r="G301" s="150">
        <v>6.16</v>
      </c>
      <c r="H301" s="150">
        <v>4.0999999999999996</v>
      </c>
      <c r="I301" s="150">
        <v>4.45</v>
      </c>
    </row>
    <row r="302" spans="1:9">
      <c r="A302" s="332">
        <v>41593</v>
      </c>
      <c r="B302" s="150">
        <v>4.25</v>
      </c>
      <c r="C302" s="150">
        <v>9.92</v>
      </c>
      <c r="D302" s="150">
        <v>96</v>
      </c>
      <c r="E302" s="150">
        <v>8.07</v>
      </c>
      <c r="F302" s="150">
        <v>49.8</v>
      </c>
      <c r="G302" s="150">
        <v>6.54</v>
      </c>
      <c r="H302" s="150">
        <v>3.9</v>
      </c>
      <c r="I302" s="150">
        <v>4.47</v>
      </c>
    </row>
    <row r="303" spans="1:9">
      <c r="A303" s="332">
        <v>41623</v>
      </c>
      <c r="B303" s="150">
        <v>4.41</v>
      </c>
      <c r="C303" s="150">
        <v>10.08</v>
      </c>
      <c r="D303" s="150">
        <v>95.5</v>
      </c>
      <c r="E303" s="150">
        <v>8.48</v>
      </c>
      <c r="F303" s="150">
        <v>51.2</v>
      </c>
      <c r="G303" s="150">
        <v>7.22</v>
      </c>
      <c r="H303" s="150">
        <v>3.9</v>
      </c>
      <c r="I303" s="150">
        <v>5.16</v>
      </c>
    </row>
    <row r="304" spans="1:9">
      <c r="A304" s="332">
        <v>41654</v>
      </c>
      <c r="B304" s="150">
        <v>4.88</v>
      </c>
      <c r="C304" s="150">
        <v>10.69</v>
      </c>
      <c r="D304" s="150">
        <v>95</v>
      </c>
      <c r="E304" s="150">
        <v>8.81</v>
      </c>
      <c r="F304" s="150">
        <v>52</v>
      </c>
      <c r="G304" s="150">
        <v>7.5</v>
      </c>
      <c r="H304" s="150">
        <v>4.5</v>
      </c>
      <c r="I304" s="150">
        <v>5.24</v>
      </c>
    </row>
    <row r="305" spans="1:9">
      <c r="A305" s="332">
        <v>41685</v>
      </c>
      <c r="B305" s="150">
        <v>4.8899999999999997</v>
      </c>
      <c r="C305" s="150">
        <v>11.12</v>
      </c>
      <c r="D305" s="150">
        <v>94.7</v>
      </c>
      <c r="E305" s="150">
        <v>9.1</v>
      </c>
      <c r="F305" s="150">
        <v>51.7</v>
      </c>
      <c r="G305" s="150">
        <v>7.65</v>
      </c>
      <c r="H305" s="150">
        <v>5.8</v>
      </c>
      <c r="I305" s="150">
        <v>6.86</v>
      </c>
    </row>
    <row r="306" spans="1:9">
      <c r="A306" s="332">
        <v>41713</v>
      </c>
      <c r="B306" s="150">
        <v>5.84</v>
      </c>
      <c r="C306" s="150">
        <v>11.76</v>
      </c>
      <c r="D306" s="150">
        <v>94.8</v>
      </c>
      <c r="E306" s="150">
        <v>10.09</v>
      </c>
      <c r="F306" s="150">
        <v>51.6</v>
      </c>
      <c r="G306" s="150">
        <v>8.86</v>
      </c>
      <c r="H306" s="150">
        <v>4.0999999999999996</v>
      </c>
      <c r="I306" s="150">
        <v>5.81</v>
      </c>
    </row>
    <row r="307" spans="1:9">
      <c r="A307" s="332">
        <v>41744</v>
      </c>
      <c r="B307" s="150">
        <v>4.91</v>
      </c>
      <c r="C307" s="150">
        <v>11.46</v>
      </c>
      <c r="D307" s="150">
        <v>94.7</v>
      </c>
      <c r="E307" s="150">
        <v>9.1199999999999992</v>
      </c>
      <c r="F307" s="150">
        <v>49.8</v>
      </c>
      <c r="G307" s="150">
        <v>8.24</v>
      </c>
      <c r="H307" s="150">
        <v>2.9</v>
      </c>
      <c r="I307" s="150">
        <v>5.4</v>
      </c>
    </row>
    <row r="308" spans="1:9">
      <c r="A308" s="332">
        <v>41774</v>
      </c>
      <c r="B308" s="150">
        <v>5.24</v>
      </c>
      <c r="C308" s="150">
        <v>12.14</v>
      </c>
      <c r="D308" s="150">
        <v>94.7</v>
      </c>
      <c r="E308" s="150">
        <v>8.98</v>
      </c>
      <c r="F308" s="150">
        <v>48.5</v>
      </c>
      <c r="G308" s="150">
        <v>7.71</v>
      </c>
      <c r="H308" s="150">
        <v>3.6</v>
      </c>
      <c r="I308" s="150">
        <v>5.47</v>
      </c>
    </row>
    <row r="309" spans="1:9">
      <c r="A309" s="332">
        <v>41805</v>
      </c>
      <c r="B309" s="150">
        <v>4.87</v>
      </c>
      <c r="C309" s="150">
        <v>12.03</v>
      </c>
      <c r="D309" s="150">
        <v>94.6</v>
      </c>
      <c r="E309" s="150">
        <v>8.82</v>
      </c>
      <c r="F309" s="150">
        <v>46.3</v>
      </c>
      <c r="G309" s="150">
        <v>7.65</v>
      </c>
      <c r="H309" s="150">
        <v>3.5</v>
      </c>
      <c r="I309" s="150">
        <v>5.44</v>
      </c>
    </row>
    <row r="310" spans="1:9">
      <c r="A310" s="332">
        <v>41835</v>
      </c>
      <c r="B310" s="150">
        <v>5.32</v>
      </c>
      <c r="C310" s="150">
        <v>12.5</v>
      </c>
      <c r="D310" s="150">
        <v>94.3</v>
      </c>
      <c r="E310" s="150">
        <v>9.25</v>
      </c>
      <c r="F310" s="150">
        <v>43.1</v>
      </c>
      <c r="G310" s="150">
        <v>7.84</v>
      </c>
      <c r="H310" s="150">
        <v>2.9</v>
      </c>
      <c r="I310" s="150">
        <v>5.07</v>
      </c>
    </row>
    <row r="311" spans="1:9">
      <c r="A311" s="332">
        <v>41866</v>
      </c>
      <c r="B311" s="150">
        <v>4.46</v>
      </c>
      <c r="C311" s="150">
        <v>12.05</v>
      </c>
      <c r="D311" s="150">
        <v>94.5</v>
      </c>
      <c r="E311" s="150">
        <v>8.73</v>
      </c>
      <c r="F311" s="150">
        <v>42.6</v>
      </c>
      <c r="G311" s="150">
        <v>7.38</v>
      </c>
      <c r="H311" s="150">
        <v>3.1</v>
      </c>
      <c r="I311" s="150">
        <v>4.8099999999999996</v>
      </c>
    </row>
    <row r="312" spans="1:9">
      <c r="A312" s="332">
        <v>41897</v>
      </c>
      <c r="B312" s="150">
        <v>4.59</v>
      </c>
      <c r="C312" s="150">
        <v>12.32</v>
      </c>
      <c r="D312" s="150">
        <v>94.2</v>
      </c>
      <c r="E312" s="150">
        <v>8.7200000000000006</v>
      </c>
      <c r="F312" s="150">
        <v>41.3</v>
      </c>
      <c r="G312" s="150">
        <v>7.35</v>
      </c>
      <c r="H312" s="150">
        <v>3.1</v>
      </c>
      <c r="I312" s="150">
        <v>4.8099999999999996</v>
      </c>
    </row>
    <row r="313" spans="1:9">
      <c r="A313" s="332">
        <v>41927</v>
      </c>
      <c r="B313" s="150">
        <v>4.66</v>
      </c>
      <c r="C313" s="150">
        <v>12.32</v>
      </c>
      <c r="D313" s="150">
        <v>94.3</v>
      </c>
      <c r="E313" s="150">
        <v>8.8800000000000008</v>
      </c>
      <c r="F313" s="150">
        <v>45.2</v>
      </c>
      <c r="G313" s="150">
        <v>7.22</v>
      </c>
      <c r="H313" s="150">
        <v>3.9</v>
      </c>
      <c r="I313" s="150">
        <v>4.62</v>
      </c>
    </row>
    <row r="314" spans="1:9">
      <c r="A314" s="332">
        <v>41958</v>
      </c>
      <c r="B314" s="150">
        <v>4.04</v>
      </c>
      <c r="C314" s="150">
        <v>11.04</v>
      </c>
      <c r="D314" s="150">
        <v>95.1</v>
      </c>
      <c r="E314" s="150">
        <v>8.5</v>
      </c>
      <c r="F314" s="150">
        <v>51</v>
      </c>
      <c r="G314" s="150">
        <v>6.89</v>
      </c>
      <c r="H314" s="150">
        <v>3.9</v>
      </c>
      <c r="I314" s="150">
        <v>4.8600000000000003</v>
      </c>
    </row>
    <row r="315" spans="1:9">
      <c r="A315" s="332">
        <v>41988</v>
      </c>
      <c r="B315" s="150">
        <v>4.78</v>
      </c>
      <c r="C315" s="150">
        <v>11.27</v>
      </c>
      <c r="D315" s="150">
        <v>95.3</v>
      </c>
      <c r="E315" s="150">
        <v>9.26</v>
      </c>
      <c r="F315" s="150">
        <v>52</v>
      </c>
      <c r="G315" s="150">
        <v>7.67</v>
      </c>
      <c r="H315" s="150">
        <v>4</v>
      </c>
      <c r="I315" s="150">
        <v>4.7</v>
      </c>
    </row>
    <row r="316" spans="1:9">
      <c r="A316" s="332">
        <v>42019</v>
      </c>
      <c r="B316" s="150">
        <v>3.58</v>
      </c>
      <c r="C316" s="150">
        <v>11.68</v>
      </c>
      <c r="D316" s="150">
        <v>94.8</v>
      </c>
      <c r="E316" s="150">
        <v>8.9600000000000009</v>
      </c>
      <c r="F316" s="150">
        <v>50.9</v>
      </c>
      <c r="G316" s="150">
        <v>7.67</v>
      </c>
      <c r="H316" s="150">
        <v>3.7</v>
      </c>
    </row>
    <row r="317" spans="1:9">
      <c r="A317" s="332">
        <v>42050</v>
      </c>
      <c r="B317" s="150">
        <v>3.3</v>
      </c>
      <c r="C317" s="150">
        <v>11.53</v>
      </c>
      <c r="D317" s="150">
        <v>94.5</v>
      </c>
      <c r="E317" s="150">
        <v>8.58</v>
      </c>
      <c r="F317" s="150">
        <v>54.9</v>
      </c>
      <c r="G317" s="150">
        <v>6.77</v>
      </c>
      <c r="H317" s="150">
        <v>5.4</v>
      </c>
      <c r="I317" s="150">
        <v>3.73</v>
      </c>
    </row>
    <row r="318" spans="1:9">
      <c r="A318" s="332">
        <v>42078</v>
      </c>
      <c r="B318" s="150">
        <v>3.27</v>
      </c>
      <c r="C318" s="150">
        <v>11.29</v>
      </c>
      <c r="D318" s="150">
        <v>93.9</v>
      </c>
      <c r="E318" s="150">
        <v>8.6999999999999993</v>
      </c>
      <c r="F318" s="150">
        <v>50.6</v>
      </c>
      <c r="G318" s="150">
        <v>6.89</v>
      </c>
      <c r="H318" s="150">
        <v>4.3</v>
      </c>
      <c r="I318" s="150">
        <v>3.5</v>
      </c>
    </row>
    <row r="319" spans="1:9">
      <c r="A319" s="332">
        <v>42109</v>
      </c>
      <c r="B319" s="150">
        <v>3.13</v>
      </c>
      <c r="C319" s="150">
        <v>10.93</v>
      </c>
      <c r="D319" s="150">
        <v>94.8</v>
      </c>
      <c r="E319" s="150">
        <v>7.89</v>
      </c>
      <c r="F319" s="150">
        <v>51.8</v>
      </c>
      <c r="G319" s="150">
        <v>6.45</v>
      </c>
      <c r="H319" s="150">
        <v>3.4</v>
      </c>
    </row>
    <row r="320" spans="1:9">
      <c r="A320" s="332">
        <v>42139</v>
      </c>
      <c r="B320" s="150">
        <v>2.96</v>
      </c>
      <c r="C320" s="150">
        <v>11.35</v>
      </c>
      <c r="D320" s="150">
        <v>94.7</v>
      </c>
      <c r="E320" s="150">
        <v>7.03</v>
      </c>
      <c r="F320" s="150">
        <v>51.5</v>
      </c>
      <c r="G320" s="150">
        <v>5.51</v>
      </c>
      <c r="H320" s="150">
        <v>4.5</v>
      </c>
      <c r="I320" s="150">
        <v>3.45</v>
      </c>
    </row>
    <row r="321" spans="1:9">
      <c r="A321" s="332">
        <v>42170</v>
      </c>
      <c r="B321" s="150">
        <v>3.42</v>
      </c>
      <c r="C321" s="150">
        <v>11.73</v>
      </c>
      <c r="D321" s="150">
        <v>94.6</v>
      </c>
      <c r="E321" s="150">
        <v>7.72</v>
      </c>
      <c r="F321" s="150">
        <v>47.2</v>
      </c>
      <c r="G321" s="150">
        <v>6.29</v>
      </c>
      <c r="H321" s="150">
        <v>3.1</v>
      </c>
      <c r="I321" s="150">
        <v>3.52</v>
      </c>
    </row>
    <row r="322" spans="1:9">
      <c r="A322" s="332">
        <v>42200</v>
      </c>
      <c r="B322" s="150">
        <v>3.56</v>
      </c>
      <c r="C322" s="150">
        <v>11.69</v>
      </c>
      <c r="D322" s="150">
        <v>94.8</v>
      </c>
      <c r="E322" s="150">
        <v>7.74</v>
      </c>
      <c r="F322" s="150">
        <v>44.9</v>
      </c>
      <c r="G322" s="150">
        <v>6.08</v>
      </c>
      <c r="H322" s="150">
        <v>3.1</v>
      </c>
      <c r="I322" s="150">
        <v>3.54</v>
      </c>
    </row>
    <row r="323" spans="1:9">
      <c r="A323" s="332">
        <v>42231</v>
      </c>
      <c r="B323" s="150">
        <v>3.55</v>
      </c>
      <c r="C323" s="150">
        <v>11.86</v>
      </c>
      <c r="D323" s="150">
        <v>94.9</v>
      </c>
      <c r="E323" s="150">
        <v>7.93</v>
      </c>
      <c r="F323" s="150">
        <v>43.4</v>
      </c>
      <c r="G323" s="150">
        <v>6.12</v>
      </c>
      <c r="H323" s="150">
        <v>3.1</v>
      </c>
      <c r="I323" s="150">
        <v>3.53</v>
      </c>
    </row>
    <row r="324" spans="1:9">
      <c r="A324" s="332">
        <v>42262</v>
      </c>
      <c r="B324" s="150">
        <v>3.42</v>
      </c>
      <c r="C324" s="150">
        <v>11.92</v>
      </c>
      <c r="D324" s="150">
        <v>94.6</v>
      </c>
      <c r="E324" s="150">
        <v>7.9</v>
      </c>
      <c r="F324" s="150">
        <v>43.8</v>
      </c>
      <c r="G324" s="150">
        <v>6.15</v>
      </c>
      <c r="H324" s="150">
        <v>3.2</v>
      </c>
      <c r="I324" s="150">
        <v>3.29</v>
      </c>
    </row>
    <row r="325" spans="1:9">
      <c r="A325" s="332">
        <v>42292</v>
      </c>
      <c r="B325" s="150">
        <v>3.32</v>
      </c>
      <c r="C325" s="150">
        <v>11.54</v>
      </c>
      <c r="D325" s="150">
        <v>94.7</v>
      </c>
      <c r="E325" s="150">
        <v>7.75</v>
      </c>
      <c r="F325" s="150">
        <v>46.5</v>
      </c>
      <c r="G325" s="150">
        <v>5.94</v>
      </c>
      <c r="H325" s="150">
        <v>4</v>
      </c>
      <c r="I325" s="150">
        <v>3.19</v>
      </c>
    </row>
    <row r="326" spans="1:9">
      <c r="A326" s="332">
        <v>42323</v>
      </c>
      <c r="B326" s="150">
        <v>3.08</v>
      </c>
      <c r="C326" s="150">
        <v>10.31</v>
      </c>
      <c r="D326" s="150">
        <v>96.1</v>
      </c>
      <c r="E326" s="150">
        <v>7.25</v>
      </c>
      <c r="F326" s="150">
        <v>51.7</v>
      </c>
      <c r="G326" s="150">
        <v>5.83</v>
      </c>
      <c r="H326" s="150">
        <v>4.0999999999999996</v>
      </c>
      <c r="I326" s="150">
        <v>2.95</v>
      </c>
    </row>
    <row r="327" spans="1:9">
      <c r="A327" s="332">
        <v>42353</v>
      </c>
      <c r="B327" s="150">
        <v>3.02</v>
      </c>
      <c r="C327" s="150">
        <v>11.38</v>
      </c>
      <c r="D327" s="150">
        <v>95.6</v>
      </c>
      <c r="E327" s="150">
        <v>8.2899999999999991</v>
      </c>
      <c r="F327" s="150">
        <v>54.7</v>
      </c>
      <c r="G327" s="150">
        <v>6.99</v>
      </c>
      <c r="H327" s="150">
        <v>4.5999999999999996</v>
      </c>
      <c r="I327" s="150">
        <v>2.96</v>
      </c>
    </row>
    <row r="328" spans="1:9">
      <c r="A328" s="332">
        <v>42384</v>
      </c>
      <c r="B328" s="150">
        <v>2.72</v>
      </c>
      <c r="C328" s="150">
        <v>11.39</v>
      </c>
      <c r="D328" s="150">
        <v>95.3</v>
      </c>
      <c r="E328" s="150">
        <v>8.0299999999999994</v>
      </c>
      <c r="F328" s="150">
        <v>54.4</v>
      </c>
      <c r="G328" s="150">
        <v>6.56</v>
      </c>
      <c r="H328" s="150">
        <v>5</v>
      </c>
      <c r="I328" s="150">
        <v>3.02</v>
      </c>
    </row>
    <row r="329" spans="1:9">
      <c r="A329" s="332">
        <v>42415</v>
      </c>
      <c r="B329" s="150">
        <v>2.65</v>
      </c>
      <c r="C329" s="150">
        <v>11.46</v>
      </c>
      <c r="D329" s="150">
        <v>94.9</v>
      </c>
      <c r="E329" s="150">
        <v>8.48</v>
      </c>
      <c r="F329" s="150">
        <v>53.2</v>
      </c>
      <c r="G329" s="150">
        <v>6.9</v>
      </c>
      <c r="H329" s="150">
        <v>4.8</v>
      </c>
      <c r="I329" s="150">
        <v>2.8</v>
      </c>
    </row>
    <row r="330" spans="1:9">
      <c r="A330" s="332">
        <v>42444</v>
      </c>
      <c r="B330" s="150">
        <v>2.2999999999999998</v>
      </c>
      <c r="C330" s="150">
        <v>10.54</v>
      </c>
      <c r="D330" s="150">
        <v>95</v>
      </c>
      <c r="E330" s="150">
        <v>8.16</v>
      </c>
      <c r="F330" s="150">
        <v>52.3</v>
      </c>
      <c r="G330" s="150">
        <v>6.67</v>
      </c>
      <c r="H330" s="150">
        <v>3.6</v>
      </c>
      <c r="I330" s="150">
        <v>2.52</v>
      </c>
    </row>
    <row r="331" spans="1:9">
      <c r="A331" s="332">
        <v>42475</v>
      </c>
      <c r="B331" s="150">
        <v>2.25</v>
      </c>
      <c r="C331" s="150">
        <v>10.44</v>
      </c>
      <c r="D331" s="150">
        <v>94.7</v>
      </c>
      <c r="E331" s="150">
        <v>7.18</v>
      </c>
      <c r="F331" s="150">
        <v>54</v>
      </c>
      <c r="G331" s="150">
        <v>5.7</v>
      </c>
      <c r="H331" s="150">
        <v>4</v>
      </c>
      <c r="I331" s="150">
        <v>2.4300000000000002</v>
      </c>
    </row>
    <row r="332" spans="1:9">
      <c r="A332" s="332">
        <v>42505</v>
      </c>
      <c r="B332" s="150">
        <v>2.4900000000000002</v>
      </c>
      <c r="C332" s="150">
        <v>11.45</v>
      </c>
      <c r="D332" s="150">
        <v>95.2</v>
      </c>
      <c r="E332" s="150">
        <v>7.33</v>
      </c>
      <c r="F332" s="150">
        <v>53.1</v>
      </c>
      <c r="G332" s="150">
        <v>5.84</v>
      </c>
      <c r="H332" s="150">
        <v>3.7</v>
      </c>
    </row>
    <row r="333" spans="1:9">
      <c r="A333" s="332">
        <v>42536</v>
      </c>
      <c r="B333" s="150">
        <v>2.52</v>
      </c>
      <c r="C333" s="150">
        <v>11.31</v>
      </c>
      <c r="D333" s="150">
        <v>94.7</v>
      </c>
      <c r="E333" s="150">
        <v>7.43</v>
      </c>
      <c r="F333" s="150">
        <v>48.2</v>
      </c>
      <c r="G333" s="150">
        <v>5.8</v>
      </c>
      <c r="H333" s="150">
        <v>3.8</v>
      </c>
      <c r="I333" s="150">
        <v>2.95</v>
      </c>
    </row>
    <row r="334" spans="1:9">
      <c r="A334" s="332">
        <v>42566</v>
      </c>
      <c r="B334" s="150">
        <v>3.34</v>
      </c>
      <c r="C334" s="150">
        <v>11.9</v>
      </c>
      <c r="D334" s="150">
        <v>94.9</v>
      </c>
      <c r="E334" s="150">
        <v>8.07</v>
      </c>
      <c r="F334" s="150">
        <v>47.2</v>
      </c>
      <c r="G334" s="150">
        <v>6.3</v>
      </c>
      <c r="H334" s="150">
        <v>3.3</v>
      </c>
      <c r="I334" s="150">
        <v>3.42</v>
      </c>
    </row>
    <row r="335" spans="1:9">
      <c r="A335" s="332">
        <v>42597</v>
      </c>
      <c r="B335" s="150">
        <v>3.29</v>
      </c>
      <c r="C335" s="150">
        <v>12.82</v>
      </c>
      <c r="D335" s="150">
        <v>94.4</v>
      </c>
      <c r="E335" s="150">
        <v>8.74</v>
      </c>
      <c r="F335" s="150">
        <v>43.2</v>
      </c>
      <c r="G335" s="150">
        <v>6.91</v>
      </c>
      <c r="H335" s="150">
        <v>3.2</v>
      </c>
      <c r="I335" s="150">
        <v>3.39</v>
      </c>
    </row>
    <row r="336" spans="1:9">
      <c r="A336" s="332">
        <v>42628</v>
      </c>
      <c r="B336" s="150">
        <v>3.56</v>
      </c>
      <c r="C336" s="150">
        <v>13.26</v>
      </c>
      <c r="D336" s="150">
        <v>94.8</v>
      </c>
      <c r="E336" s="150">
        <v>9.16</v>
      </c>
      <c r="F336" s="150">
        <v>46.8</v>
      </c>
      <c r="G336" s="150">
        <v>7.35</v>
      </c>
      <c r="H336" s="150">
        <v>3.1</v>
      </c>
      <c r="I336" s="150">
        <v>3.51</v>
      </c>
    </row>
    <row r="337" spans="1:9">
      <c r="A337" s="332">
        <v>42658</v>
      </c>
      <c r="B337" s="150">
        <v>3.51</v>
      </c>
      <c r="C337" s="150">
        <v>13.31</v>
      </c>
      <c r="D337" s="150">
        <v>95</v>
      </c>
      <c r="E337" s="150">
        <v>9.08</v>
      </c>
      <c r="F337" s="150">
        <v>49.5</v>
      </c>
      <c r="G337" s="150">
        <v>7.27</v>
      </c>
      <c r="H337" s="150">
        <v>4.3</v>
      </c>
      <c r="I337" s="150">
        <v>3.33</v>
      </c>
    </row>
    <row r="338" spans="1:9">
      <c r="A338" s="332">
        <v>42689</v>
      </c>
      <c r="B338" s="150">
        <v>3.3</v>
      </c>
      <c r="C338" s="150">
        <v>12.33</v>
      </c>
      <c r="D338" s="150">
        <v>95.7</v>
      </c>
      <c r="E338" s="150">
        <v>9.2799999999999994</v>
      </c>
      <c r="F338" s="150">
        <v>52</v>
      </c>
      <c r="G338" s="150">
        <v>7.48</v>
      </c>
      <c r="H338" s="150">
        <v>4.5</v>
      </c>
      <c r="I338" s="150">
        <v>3.22</v>
      </c>
    </row>
    <row r="339" spans="1:9">
      <c r="A339" s="332">
        <v>42719</v>
      </c>
      <c r="B339" s="150">
        <v>3.64</v>
      </c>
      <c r="C339" s="150">
        <v>13.08</v>
      </c>
      <c r="D339" s="150">
        <v>95.5</v>
      </c>
      <c r="E339" s="150">
        <v>9.9600000000000009</v>
      </c>
      <c r="F339" s="150">
        <v>54</v>
      </c>
      <c r="G339" s="150">
        <v>8.44</v>
      </c>
      <c r="H339" s="150">
        <v>4.0999999999999996</v>
      </c>
      <c r="I339" s="150">
        <v>4.05</v>
      </c>
    </row>
    <row r="340" spans="1:9">
      <c r="A340" s="332">
        <v>42750</v>
      </c>
      <c r="B340" s="150">
        <v>3.87</v>
      </c>
      <c r="C340" s="150">
        <v>13.1</v>
      </c>
      <c r="D340" s="150">
        <v>95.7</v>
      </c>
      <c r="E340" s="150">
        <v>9.6</v>
      </c>
      <c r="F340" s="150">
        <v>56.4</v>
      </c>
      <c r="G340" s="150">
        <v>8.3800000000000008</v>
      </c>
      <c r="H340" s="150">
        <v>4.8</v>
      </c>
    </row>
    <row r="341" spans="1:9">
      <c r="A341" s="332">
        <v>42781</v>
      </c>
      <c r="B341" s="150">
        <v>3.59</v>
      </c>
      <c r="C341" s="150">
        <v>12.65</v>
      </c>
      <c r="D341" s="150">
        <v>95.1</v>
      </c>
      <c r="E341" s="150">
        <v>9.34</v>
      </c>
      <c r="F341" s="150">
        <v>56.8</v>
      </c>
      <c r="G341" s="150">
        <v>7.96</v>
      </c>
      <c r="H341" s="150">
        <v>5.0999999999999996</v>
      </c>
    </row>
    <row r="342" spans="1:9">
      <c r="A342" s="332">
        <v>42809</v>
      </c>
      <c r="B342" s="150">
        <v>3.15</v>
      </c>
      <c r="C342" s="150">
        <v>12.41</v>
      </c>
      <c r="D342" s="150">
        <v>94.6</v>
      </c>
      <c r="E342" s="150">
        <v>9.4700000000000006</v>
      </c>
      <c r="F342" s="150">
        <v>53.7</v>
      </c>
      <c r="G342" s="150">
        <v>7.71</v>
      </c>
      <c r="H342" s="150">
        <v>4.5999999999999996</v>
      </c>
    </row>
    <row r="343" spans="1:9">
      <c r="A343" s="332">
        <v>42840</v>
      </c>
      <c r="B343" s="150">
        <v>3.31</v>
      </c>
      <c r="C343" s="150">
        <v>12.51</v>
      </c>
      <c r="D343" s="150">
        <v>94.7</v>
      </c>
      <c r="E343" s="150">
        <v>8.81</v>
      </c>
      <c r="F343" s="150">
        <v>53.7</v>
      </c>
      <c r="G343" s="150">
        <v>7.19</v>
      </c>
      <c r="H343" s="150">
        <v>3.9</v>
      </c>
    </row>
    <row r="344" spans="1:9">
      <c r="A344" s="332">
        <v>42870</v>
      </c>
      <c r="B344" s="150">
        <v>3.38</v>
      </c>
      <c r="C344" s="150">
        <v>12.96</v>
      </c>
      <c r="D344" s="150">
        <v>95.2</v>
      </c>
      <c r="E344" s="150">
        <v>8.68</v>
      </c>
      <c r="F344" s="150">
        <v>54.9</v>
      </c>
      <c r="G344" s="150">
        <v>7.05</v>
      </c>
      <c r="H344" s="150">
        <v>3.8</v>
      </c>
    </row>
    <row r="345" spans="1:9">
      <c r="A345" s="332">
        <v>42901</v>
      </c>
      <c r="B345" s="150">
        <v>3.55</v>
      </c>
      <c r="C345" s="150">
        <v>13.14</v>
      </c>
      <c r="D345" s="150">
        <v>94.7</v>
      </c>
      <c r="E345" s="150">
        <v>8.74</v>
      </c>
      <c r="F345" s="150">
        <v>51.4</v>
      </c>
      <c r="G345" s="150">
        <v>7.01</v>
      </c>
      <c r="H345" s="150">
        <v>3.6</v>
      </c>
    </row>
    <row r="346" spans="1:9">
      <c r="A346" s="332">
        <v>42931</v>
      </c>
      <c r="B346" s="150">
        <v>3.47</v>
      </c>
      <c r="C346" s="150">
        <v>12.55</v>
      </c>
      <c r="D346" s="150">
        <v>95.1</v>
      </c>
      <c r="E346" s="150">
        <v>8.4</v>
      </c>
      <c r="F346" s="150">
        <v>48.4</v>
      </c>
      <c r="G346" s="150">
        <v>6.59</v>
      </c>
      <c r="H346" s="150">
        <v>3.5</v>
      </c>
    </row>
    <row r="347" spans="1:9">
      <c r="A347" s="332">
        <v>42962</v>
      </c>
      <c r="B347" s="150">
        <v>3.22</v>
      </c>
      <c r="C347" s="150">
        <v>12.53</v>
      </c>
      <c r="D347" s="150">
        <v>94.5</v>
      </c>
      <c r="E347" s="150">
        <v>8.31</v>
      </c>
      <c r="F347" s="150">
        <v>46.8</v>
      </c>
      <c r="G347" s="150">
        <v>6.43</v>
      </c>
      <c r="H347" s="150">
        <v>3.9</v>
      </c>
    </row>
    <row r="348" spans="1:9">
      <c r="A348" s="332">
        <v>42993</v>
      </c>
      <c r="B348" s="150">
        <v>3.09</v>
      </c>
      <c r="C348" s="150">
        <v>12.28</v>
      </c>
      <c r="D348" s="150">
        <v>95.1</v>
      </c>
      <c r="E348" s="150">
        <v>7.95</v>
      </c>
      <c r="F348" s="150">
        <v>47.4</v>
      </c>
      <c r="G348" s="150">
        <v>6.24</v>
      </c>
      <c r="H348" s="150">
        <v>3.9</v>
      </c>
    </row>
    <row r="349" spans="1:9">
      <c r="A349" s="332">
        <v>43023</v>
      </c>
      <c r="B349" s="150">
        <v>2.95</v>
      </c>
      <c r="C349" s="150">
        <v>12.1</v>
      </c>
      <c r="D349" s="150">
        <v>95</v>
      </c>
      <c r="E349" s="150">
        <v>7.78</v>
      </c>
      <c r="F349" s="150">
        <v>48.3</v>
      </c>
      <c r="G349" s="150">
        <v>6.09</v>
      </c>
      <c r="H349" s="150">
        <v>4.5</v>
      </c>
    </row>
    <row r="350" spans="1:9">
      <c r="A350" s="332">
        <v>43054</v>
      </c>
      <c r="B350" s="150">
        <v>3.24</v>
      </c>
      <c r="C350" s="150">
        <v>11.41</v>
      </c>
      <c r="D350" s="150">
        <v>95.3</v>
      </c>
      <c r="E350" s="150">
        <v>8</v>
      </c>
      <c r="F350" s="150">
        <v>51</v>
      </c>
      <c r="G350" s="150">
        <v>6.38</v>
      </c>
      <c r="H350" s="150">
        <v>4</v>
      </c>
    </row>
    <row r="351" spans="1:9">
      <c r="A351" s="332">
        <v>43084</v>
      </c>
      <c r="B351" s="150">
        <v>3.66</v>
      </c>
      <c r="C351" s="150">
        <v>11.76</v>
      </c>
      <c r="D351" s="150">
        <v>95.4</v>
      </c>
      <c r="E351" s="150">
        <v>8.64</v>
      </c>
      <c r="F351" s="150">
        <v>54.6</v>
      </c>
      <c r="G351" s="150">
        <v>7.14</v>
      </c>
      <c r="H351" s="150">
        <v>4.5999999999999996</v>
      </c>
    </row>
    <row r="352" spans="1:9">
      <c r="A352" s="332">
        <v>43115</v>
      </c>
      <c r="B352" s="150">
        <v>2.91</v>
      </c>
      <c r="C352" s="150">
        <v>12.11</v>
      </c>
      <c r="D352" s="150">
        <v>95.2</v>
      </c>
      <c r="E352" s="150">
        <v>8.93</v>
      </c>
      <c r="F352" s="150">
        <v>54</v>
      </c>
      <c r="G352" s="150">
        <v>7.53</v>
      </c>
      <c r="H352" s="150">
        <v>4.2</v>
      </c>
      <c r="I352" s="150">
        <v>3.79</v>
      </c>
    </row>
    <row r="353" spans="1:9">
      <c r="A353" s="332">
        <v>43146</v>
      </c>
      <c r="B353" s="150">
        <v>3.12</v>
      </c>
      <c r="C353" s="150">
        <v>12.09</v>
      </c>
      <c r="D353" s="150">
        <v>95.4</v>
      </c>
      <c r="E353" s="150">
        <v>9.16</v>
      </c>
      <c r="F353" s="150">
        <v>55.2</v>
      </c>
      <c r="G353" s="150">
        <v>7.46</v>
      </c>
      <c r="H353" s="150">
        <v>5.2</v>
      </c>
      <c r="I353" s="150">
        <v>3.72</v>
      </c>
    </row>
    <row r="354" spans="1:9">
      <c r="A354" s="332">
        <v>43174</v>
      </c>
      <c r="B354" s="150">
        <v>2.76</v>
      </c>
      <c r="C354" s="150">
        <v>12.26</v>
      </c>
      <c r="D354" s="150">
        <v>94.8</v>
      </c>
      <c r="E354" s="150">
        <v>8.91</v>
      </c>
      <c r="F354" s="150">
        <v>54.8</v>
      </c>
      <c r="G354" s="150">
        <v>7.43</v>
      </c>
      <c r="H354" s="150">
        <v>4.5</v>
      </c>
    </row>
    <row r="355" spans="1:9">
      <c r="A355" s="332">
        <v>43205</v>
      </c>
      <c r="B355" s="150">
        <v>2.42</v>
      </c>
      <c r="C355" s="150">
        <v>11.6</v>
      </c>
      <c r="D355" s="150">
        <v>94.6</v>
      </c>
      <c r="E355" s="150">
        <v>7.99</v>
      </c>
      <c r="F355" s="150">
        <v>52.1</v>
      </c>
      <c r="G355" s="150">
        <v>6.35</v>
      </c>
      <c r="H355" s="150">
        <v>4.3</v>
      </c>
      <c r="I355" s="150">
        <v>3.06</v>
      </c>
    </row>
    <row r="356" spans="1:9">
      <c r="A356" s="332">
        <v>43235</v>
      </c>
      <c r="B356" s="150">
        <v>2.34</v>
      </c>
      <c r="C356" s="150">
        <v>12.42</v>
      </c>
      <c r="D356" s="150">
        <v>94.6</v>
      </c>
      <c r="E356" s="150">
        <v>7.76</v>
      </c>
      <c r="F356" s="150">
        <v>53.8</v>
      </c>
      <c r="G356" s="150">
        <v>6.08</v>
      </c>
      <c r="H356" s="150">
        <v>4.0999999999999996</v>
      </c>
      <c r="I356" s="150">
        <v>2.88</v>
      </c>
    </row>
    <row r="357" spans="1:9">
      <c r="A357" s="332">
        <v>43266</v>
      </c>
      <c r="B357" s="150">
        <v>2.67</v>
      </c>
      <c r="C357" s="150">
        <v>12.14</v>
      </c>
      <c r="D357" s="150">
        <v>94.6</v>
      </c>
      <c r="E357" s="150">
        <v>7.76</v>
      </c>
      <c r="F357" s="150">
        <v>50.6</v>
      </c>
      <c r="G357" s="150">
        <v>6.09</v>
      </c>
      <c r="H357" s="150">
        <v>4</v>
      </c>
      <c r="I357" s="150">
        <v>3.36</v>
      </c>
    </row>
    <row r="358" spans="1:9">
      <c r="A358" s="332">
        <v>43296</v>
      </c>
      <c r="C358" s="150">
        <v>12.36</v>
      </c>
      <c r="D358" s="150">
        <v>94.5</v>
      </c>
      <c r="E358" s="150">
        <v>8.35</v>
      </c>
      <c r="F358" s="150">
        <v>49.1</v>
      </c>
      <c r="G358" s="150">
        <v>6.43</v>
      </c>
      <c r="H358" s="150">
        <v>3.3</v>
      </c>
      <c r="I358" s="150">
        <v>7.92</v>
      </c>
    </row>
    <row r="359" spans="1:9">
      <c r="A359" s="332">
        <v>43327</v>
      </c>
      <c r="I359" s="150">
        <v>5.88</v>
      </c>
    </row>
    <row r="360" spans="1:9">
      <c r="A360" s="332">
        <v>43358</v>
      </c>
      <c r="B360" s="150">
        <v>3.24</v>
      </c>
      <c r="C360" s="150">
        <v>12.3</v>
      </c>
      <c r="D360" s="150">
        <v>94.4</v>
      </c>
      <c r="E360" s="150">
        <v>8.4</v>
      </c>
      <c r="F360" s="150">
        <v>48.2</v>
      </c>
      <c r="G360" s="150">
        <v>7.04</v>
      </c>
      <c r="H360" s="150">
        <v>3.5</v>
      </c>
      <c r="I360" s="150">
        <v>3.58</v>
      </c>
    </row>
    <row r="361" spans="1:9">
      <c r="A361" s="332">
        <v>43388</v>
      </c>
      <c r="B361" s="150">
        <v>2.73</v>
      </c>
      <c r="C361" s="150">
        <v>12.16</v>
      </c>
      <c r="D361" s="150">
        <v>94.5</v>
      </c>
      <c r="E361" s="150">
        <v>7.63</v>
      </c>
      <c r="F361" s="150">
        <v>46.7</v>
      </c>
      <c r="G361" s="150">
        <v>6.11</v>
      </c>
      <c r="H361" s="150">
        <v>4.5999999999999996</v>
      </c>
      <c r="I361" s="150">
        <v>3.78</v>
      </c>
    </row>
    <row r="362" spans="1:9">
      <c r="A362" s="332">
        <v>43419</v>
      </c>
      <c r="B362" s="150">
        <v>3.31</v>
      </c>
      <c r="C362" s="150">
        <v>11.93</v>
      </c>
      <c r="D362" s="150">
        <v>94.9</v>
      </c>
      <c r="G362" s="150">
        <v>6.99</v>
      </c>
      <c r="H362" s="150">
        <v>4.2</v>
      </c>
    </row>
    <row r="363" spans="1:9">
      <c r="A363" s="332">
        <v>43449</v>
      </c>
      <c r="C363" s="150">
        <v>13.08</v>
      </c>
      <c r="D363" s="150">
        <v>95.3</v>
      </c>
      <c r="E363" s="150">
        <v>10.07</v>
      </c>
      <c r="F363" s="150">
        <v>54.6</v>
      </c>
      <c r="G363" s="150">
        <v>8.61</v>
      </c>
      <c r="H363" s="150">
        <v>4.4000000000000004</v>
      </c>
      <c r="I363" s="150">
        <v>6.34</v>
      </c>
    </row>
    <row r="364" spans="1:9">
      <c r="A364" s="332">
        <v>43480</v>
      </c>
      <c r="B364" s="150">
        <v>3.28</v>
      </c>
      <c r="C364" s="150">
        <v>13.87</v>
      </c>
      <c r="D364" s="150">
        <v>95</v>
      </c>
      <c r="E364" s="150">
        <v>10.39</v>
      </c>
      <c r="F364" s="150">
        <v>53.3</v>
      </c>
      <c r="G364" s="150">
        <v>9.15</v>
      </c>
      <c r="H364" s="150">
        <v>4.2</v>
      </c>
    </row>
    <row r="365" spans="1:9">
      <c r="A365" s="332">
        <v>43511</v>
      </c>
      <c r="B365" s="150">
        <v>3.71</v>
      </c>
      <c r="C365" s="150">
        <v>13.43</v>
      </c>
      <c r="D365" s="150">
        <v>95.5</v>
      </c>
      <c r="E365" s="150">
        <v>9.8800000000000008</v>
      </c>
      <c r="F365" s="150">
        <v>55.4</v>
      </c>
      <c r="G365" s="150">
        <v>8.64</v>
      </c>
      <c r="H365" s="150">
        <v>6.1</v>
      </c>
    </row>
    <row r="366" spans="1:9">
      <c r="A366" s="332">
        <v>43539</v>
      </c>
      <c r="B366" s="150">
        <v>3.57</v>
      </c>
      <c r="C366" s="150">
        <v>13.64</v>
      </c>
      <c r="D366" s="150">
        <v>94.6</v>
      </c>
      <c r="E366" s="150">
        <v>10.48</v>
      </c>
      <c r="F366" s="150">
        <v>55.5</v>
      </c>
      <c r="G366" s="150">
        <v>9.0299999999999994</v>
      </c>
      <c r="H366" s="150">
        <v>4.9000000000000004</v>
      </c>
      <c r="I366" s="150">
        <v>4.53</v>
      </c>
    </row>
    <row r="367" spans="1:9">
      <c r="A367" s="332">
        <v>43570</v>
      </c>
      <c r="B367" s="150">
        <v>2.56</v>
      </c>
      <c r="C367" s="150">
        <v>13.31</v>
      </c>
      <c r="D367" s="150">
        <v>94.2</v>
      </c>
      <c r="E367" s="150">
        <v>9.5</v>
      </c>
      <c r="F367" s="150">
        <v>55.8</v>
      </c>
      <c r="G367" s="150">
        <v>7.88</v>
      </c>
      <c r="H367" s="150">
        <v>4.5999999999999996</v>
      </c>
      <c r="I367" s="150">
        <v>3.28</v>
      </c>
    </row>
    <row r="368" spans="1:9">
      <c r="A368" s="332">
        <v>43600</v>
      </c>
      <c r="B368" s="150">
        <v>2.12</v>
      </c>
      <c r="C368" s="150">
        <v>12.99</v>
      </c>
      <c r="D368" s="150">
        <v>94.9</v>
      </c>
      <c r="E368" s="150">
        <v>8.41</v>
      </c>
      <c r="F368" s="150">
        <v>55.6</v>
      </c>
      <c r="G368" s="150">
        <v>6.83</v>
      </c>
      <c r="H368" s="150">
        <v>4.4000000000000004</v>
      </c>
      <c r="I368" s="150">
        <v>2.88</v>
      </c>
    </row>
    <row r="369" spans="1:9">
      <c r="A369" s="332">
        <v>43631</v>
      </c>
      <c r="B369" s="150">
        <v>2.33</v>
      </c>
      <c r="C369" s="150">
        <v>12.96</v>
      </c>
      <c r="D369" s="150">
        <v>94.5</v>
      </c>
      <c r="E369" s="150">
        <v>8.31</v>
      </c>
      <c r="F369" s="150">
        <v>53.3</v>
      </c>
      <c r="G369" s="150">
        <v>6.62</v>
      </c>
      <c r="H369" s="150">
        <v>3.9</v>
      </c>
      <c r="I369" s="150">
        <v>3.04</v>
      </c>
    </row>
    <row r="370" spans="1:9">
      <c r="A370" s="332">
        <v>43661</v>
      </c>
      <c r="B370" s="150">
        <v>2.34</v>
      </c>
      <c r="C370" s="150">
        <v>13.82</v>
      </c>
      <c r="D370" s="150">
        <v>94.8</v>
      </c>
      <c r="E370" s="150">
        <v>8.8699999999999992</v>
      </c>
      <c r="F370" s="150">
        <v>47.2</v>
      </c>
      <c r="G370" s="150">
        <v>6.98</v>
      </c>
      <c r="H370" s="150">
        <v>3.4</v>
      </c>
      <c r="I370" s="150">
        <v>3.38</v>
      </c>
    </row>
  </sheetData>
  <hyperlinks>
    <hyperlink ref="A1" location="Contents!A1" display="Back to Content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workbookViewId="0">
      <selection activeCell="A35" sqref="A35:XFD42"/>
    </sheetView>
  </sheetViews>
  <sheetFormatPr defaultColWidth="9.1328125" defaultRowHeight="12.75"/>
  <cols>
    <col min="1" max="16384" width="9.1328125" style="150"/>
  </cols>
  <sheetData>
    <row r="1" spans="1:23" ht="13.15">
      <c r="A1" s="438" t="s">
        <v>519</v>
      </c>
      <c r="B1" s="439"/>
      <c r="C1" s="439"/>
      <c r="D1" s="439"/>
      <c r="E1" s="439"/>
      <c r="F1" s="439"/>
      <c r="G1" s="439"/>
      <c r="H1" s="439"/>
      <c r="I1" s="439"/>
      <c r="J1" s="439"/>
      <c r="K1" s="439"/>
      <c r="L1" s="439"/>
      <c r="M1" s="439"/>
      <c r="N1" s="439"/>
      <c r="O1" s="439"/>
      <c r="P1" s="439"/>
      <c r="Q1" s="439"/>
      <c r="R1" s="439"/>
      <c r="S1" s="439"/>
      <c r="T1" s="439"/>
      <c r="U1" s="439"/>
      <c r="V1" s="439"/>
      <c r="W1" s="440"/>
    </row>
    <row r="2" spans="1:23" ht="13.15">
      <c r="A2" s="372"/>
      <c r="B2" s="371"/>
      <c r="C2" s="371"/>
      <c r="D2" s="371"/>
      <c r="E2" s="371"/>
      <c r="F2" s="371"/>
      <c r="G2" s="371"/>
      <c r="H2" s="371"/>
      <c r="I2" s="371"/>
      <c r="J2" s="371"/>
      <c r="K2" s="371"/>
      <c r="L2" s="371"/>
      <c r="M2" s="371"/>
      <c r="N2" s="371"/>
      <c r="O2" s="371"/>
      <c r="P2" s="371"/>
      <c r="Q2" s="371"/>
      <c r="R2" s="371"/>
      <c r="S2" s="371"/>
      <c r="T2" s="371"/>
      <c r="U2" s="371"/>
      <c r="V2" s="371"/>
      <c r="W2" s="370"/>
    </row>
    <row r="3" spans="1:23" ht="13.15">
      <c r="A3" s="441" t="s">
        <v>586</v>
      </c>
      <c r="B3" s="442"/>
      <c r="C3" s="442"/>
      <c r="D3" s="442"/>
      <c r="E3" s="442"/>
      <c r="F3" s="442"/>
      <c r="G3" s="442"/>
      <c r="H3" s="442"/>
      <c r="I3" s="442"/>
      <c r="J3" s="442"/>
      <c r="K3" s="442"/>
      <c r="L3" s="442"/>
      <c r="M3" s="442"/>
      <c r="N3" s="442"/>
      <c r="O3" s="442"/>
      <c r="P3" s="442"/>
      <c r="Q3" s="442"/>
      <c r="R3" s="442"/>
      <c r="S3" s="442"/>
      <c r="T3" s="442"/>
      <c r="U3" s="442"/>
      <c r="V3" s="442"/>
      <c r="W3" s="443"/>
    </row>
    <row r="4" spans="1:23" ht="13.15">
      <c r="A4" s="441" t="s">
        <v>585</v>
      </c>
      <c r="B4" s="442"/>
      <c r="C4" s="442"/>
      <c r="D4" s="442"/>
      <c r="E4" s="442"/>
      <c r="F4" s="442"/>
      <c r="G4" s="442"/>
      <c r="H4" s="442"/>
      <c r="I4" s="442"/>
      <c r="J4" s="442"/>
      <c r="K4" s="442"/>
      <c r="L4" s="442"/>
      <c r="M4" s="442"/>
      <c r="N4" s="442"/>
      <c r="O4" s="442"/>
      <c r="P4" s="442"/>
      <c r="Q4" s="442"/>
      <c r="R4" s="442"/>
      <c r="S4" s="442"/>
      <c r="T4" s="442"/>
      <c r="U4" s="442"/>
      <c r="V4" s="442"/>
      <c r="W4" s="443"/>
    </row>
    <row r="5" spans="1:23" ht="13.15">
      <c r="A5" s="441" t="s">
        <v>584</v>
      </c>
      <c r="B5" s="442"/>
      <c r="C5" s="442"/>
      <c r="D5" s="442"/>
      <c r="E5" s="442"/>
      <c r="F5" s="442"/>
      <c r="G5" s="442"/>
      <c r="H5" s="442"/>
      <c r="I5" s="442"/>
      <c r="J5" s="442"/>
      <c r="K5" s="442"/>
      <c r="L5" s="442"/>
      <c r="M5" s="442"/>
      <c r="N5" s="442"/>
      <c r="O5" s="442"/>
      <c r="P5" s="442"/>
      <c r="Q5" s="442"/>
      <c r="R5" s="442"/>
      <c r="S5" s="442"/>
      <c r="T5" s="442"/>
      <c r="U5" s="442"/>
      <c r="V5" s="442"/>
      <c r="W5" s="443"/>
    </row>
    <row r="6" spans="1:23" ht="13.15">
      <c r="A6" s="444" t="s">
        <v>583</v>
      </c>
      <c r="B6" s="445"/>
      <c r="C6" s="445"/>
      <c r="D6" s="445"/>
      <c r="E6" s="445"/>
      <c r="F6" s="445"/>
      <c r="G6" s="445"/>
      <c r="H6" s="445"/>
      <c r="I6" s="445"/>
      <c r="J6" s="445"/>
      <c r="K6" s="445"/>
      <c r="L6" s="445"/>
      <c r="M6" s="445"/>
      <c r="N6" s="445"/>
      <c r="O6" s="445"/>
      <c r="P6" s="445"/>
      <c r="Q6" s="445"/>
      <c r="R6" s="445"/>
      <c r="S6" s="445"/>
      <c r="T6" s="445"/>
      <c r="U6" s="445"/>
      <c r="V6" s="445"/>
      <c r="W6" s="446"/>
    </row>
    <row r="7" spans="1:23" ht="13.15">
      <c r="A7" s="369"/>
      <c r="B7" s="368"/>
      <c r="C7" s="368"/>
      <c r="D7" s="368"/>
      <c r="E7" s="368"/>
      <c r="F7" s="368" t="s">
        <v>582</v>
      </c>
      <c r="G7" s="368"/>
      <c r="H7" s="368"/>
      <c r="I7" s="368"/>
      <c r="J7" s="368"/>
      <c r="K7" s="368"/>
      <c r="L7" s="368"/>
      <c r="M7" s="368"/>
      <c r="N7" s="368"/>
      <c r="O7" s="368"/>
      <c r="P7" s="368"/>
      <c r="Q7" s="368"/>
      <c r="R7" s="368"/>
      <c r="S7" s="368"/>
      <c r="T7" s="368"/>
      <c r="U7" s="368"/>
      <c r="V7" s="368"/>
      <c r="W7" s="367"/>
    </row>
    <row r="8" spans="1:23" ht="13.15">
      <c r="A8" s="366" t="s">
        <v>581</v>
      </c>
      <c r="B8" s="436" t="s">
        <v>580</v>
      </c>
      <c r="C8" s="437"/>
      <c r="D8" s="433" t="s">
        <v>579</v>
      </c>
      <c r="E8" s="435"/>
      <c r="F8" s="433" t="s">
        <v>578</v>
      </c>
      <c r="G8" s="435"/>
      <c r="H8" s="433" t="s">
        <v>577</v>
      </c>
      <c r="I8" s="435"/>
      <c r="J8" s="433" t="s">
        <v>576</v>
      </c>
      <c r="K8" s="435"/>
      <c r="L8" s="433" t="s">
        <v>575</v>
      </c>
      <c r="M8" s="435"/>
      <c r="N8" s="433" t="s">
        <v>574</v>
      </c>
      <c r="O8" s="435"/>
      <c r="P8" s="433" t="s">
        <v>573</v>
      </c>
      <c r="Q8" s="435"/>
      <c r="R8" s="433" t="s">
        <v>572</v>
      </c>
      <c r="S8" s="435"/>
      <c r="T8" s="433" t="s">
        <v>571</v>
      </c>
      <c r="U8" s="435"/>
      <c r="V8" s="433" t="s">
        <v>570</v>
      </c>
      <c r="W8" s="434"/>
    </row>
    <row r="9" spans="1:23" ht="26.25">
      <c r="A9" s="365"/>
      <c r="B9" s="364" t="s">
        <v>569</v>
      </c>
      <c r="C9" s="363" t="s">
        <v>568</v>
      </c>
      <c r="D9" s="361" t="s">
        <v>569</v>
      </c>
      <c r="E9" s="362" t="s">
        <v>568</v>
      </c>
      <c r="F9" s="361" t="s">
        <v>569</v>
      </c>
      <c r="G9" s="362" t="s">
        <v>568</v>
      </c>
      <c r="H9" s="361" t="s">
        <v>569</v>
      </c>
      <c r="I9" s="362" t="s">
        <v>568</v>
      </c>
      <c r="J9" s="361" t="s">
        <v>569</v>
      </c>
      <c r="K9" s="362" t="s">
        <v>568</v>
      </c>
      <c r="L9" s="361" t="s">
        <v>569</v>
      </c>
      <c r="M9" s="362" t="s">
        <v>568</v>
      </c>
      <c r="N9" s="361" t="s">
        <v>569</v>
      </c>
      <c r="O9" s="362" t="s">
        <v>568</v>
      </c>
      <c r="P9" s="361" t="s">
        <v>569</v>
      </c>
      <c r="Q9" s="362" t="s">
        <v>568</v>
      </c>
      <c r="R9" s="361" t="s">
        <v>569</v>
      </c>
      <c r="S9" s="362" t="s">
        <v>568</v>
      </c>
      <c r="T9" s="361" t="s">
        <v>569</v>
      </c>
      <c r="U9" s="362" t="s">
        <v>568</v>
      </c>
      <c r="V9" s="361" t="s">
        <v>569</v>
      </c>
      <c r="W9" s="360" t="s">
        <v>568</v>
      </c>
    </row>
    <row r="10" spans="1:23">
      <c r="A10" s="356" t="s">
        <v>567</v>
      </c>
      <c r="B10" s="351">
        <v>43101</v>
      </c>
      <c r="C10" s="354">
        <v>3.0500000000000002E-3</v>
      </c>
      <c r="D10" s="351">
        <v>43101</v>
      </c>
      <c r="E10" s="354">
        <v>2.0899999999999998E-3</v>
      </c>
      <c r="F10" s="351">
        <v>42736</v>
      </c>
      <c r="G10" s="354">
        <v>4.3400000000000001E-3</v>
      </c>
      <c r="H10" s="351">
        <v>42370</v>
      </c>
      <c r="I10" s="354">
        <v>2.5899999999999999E-3</v>
      </c>
      <c r="J10" s="351">
        <v>42005</v>
      </c>
      <c r="K10" s="354">
        <v>4.9100000000000003E-3</v>
      </c>
      <c r="L10" s="351">
        <v>41640</v>
      </c>
      <c r="M10" s="353">
        <v>4.0299999999999997E-3</v>
      </c>
      <c r="N10" s="351">
        <v>41275</v>
      </c>
      <c r="O10" s="359">
        <v>3.2200000000000002E-3</v>
      </c>
      <c r="P10" s="351">
        <v>40909</v>
      </c>
      <c r="Q10" s="353">
        <v>3.14E-3</v>
      </c>
      <c r="R10" s="351">
        <v>40544</v>
      </c>
      <c r="S10" s="353">
        <v>3.8400000000000001E-3</v>
      </c>
      <c r="T10" s="351">
        <v>40179</v>
      </c>
      <c r="U10" s="359">
        <v>5.4099999999999999E-3</v>
      </c>
      <c r="V10" s="351">
        <v>39814</v>
      </c>
      <c r="W10" s="358">
        <v>5.1399999999999996E-3</v>
      </c>
    </row>
    <row r="11" spans="1:23">
      <c r="A11" s="356" t="s">
        <v>566</v>
      </c>
      <c r="B11" s="351">
        <v>43132</v>
      </c>
      <c r="C11" s="354">
        <v>2.7299999999999998E-3</v>
      </c>
      <c r="D11" s="351">
        <v>43132</v>
      </c>
      <c r="E11" s="354">
        <v>2.2799999999999999E-3</v>
      </c>
      <c r="F11" s="351">
        <v>42767</v>
      </c>
      <c r="G11" s="354">
        <v>4.1999999999999997E-3</v>
      </c>
      <c r="H11" s="351">
        <v>42401</v>
      </c>
      <c r="I11" s="354">
        <v>2.7299999999999998E-3</v>
      </c>
      <c r="J11" s="351">
        <v>42036</v>
      </c>
      <c r="K11" s="354">
        <v>3.63E-3</v>
      </c>
      <c r="L11" s="351">
        <v>41671</v>
      </c>
      <c r="M11" s="353">
        <v>4.7400000000000003E-3</v>
      </c>
      <c r="N11" s="351">
        <v>41306</v>
      </c>
      <c r="O11" s="352">
        <v>3.3600000000000001E-3</v>
      </c>
      <c r="P11" s="351">
        <v>40940</v>
      </c>
      <c r="Q11" s="353">
        <v>2.3999999999999998E-3</v>
      </c>
      <c r="R11" s="351">
        <v>40575</v>
      </c>
      <c r="S11" s="353">
        <v>3.9899999999999996E-3</v>
      </c>
      <c r="T11" s="351">
        <v>40210</v>
      </c>
      <c r="U11" s="352">
        <v>5.3299999999999997E-3</v>
      </c>
      <c r="V11" s="351">
        <v>39845</v>
      </c>
      <c r="W11" s="350">
        <v>4.1200000000000004E-3</v>
      </c>
    </row>
    <row r="12" spans="1:23">
      <c r="A12" s="356" t="s">
        <v>565</v>
      </c>
      <c r="B12" s="351">
        <v>43160</v>
      </c>
      <c r="C12" s="354">
        <v>2.5600000000000002E-3</v>
      </c>
      <c r="D12" s="351">
        <v>43160</v>
      </c>
      <c r="E12" s="354">
        <v>1.75E-3</v>
      </c>
      <c r="F12" s="351">
        <v>42795</v>
      </c>
      <c r="G12" s="354">
        <v>3.5699999999999998E-3</v>
      </c>
      <c r="H12" s="351">
        <v>42430</v>
      </c>
      <c r="I12" s="354">
        <v>2.1900000000000001E-3</v>
      </c>
      <c r="J12" s="351">
        <v>42064</v>
      </c>
      <c r="K12" s="354">
        <v>3.3500000000000001E-3</v>
      </c>
      <c r="L12" s="351">
        <v>41699</v>
      </c>
      <c r="M12" s="353">
        <v>5.7400000000000003E-3</v>
      </c>
      <c r="N12" s="351">
        <v>41334</v>
      </c>
      <c r="O12" s="352">
        <v>3.0500000000000002E-3</v>
      </c>
      <c r="P12" s="351">
        <v>40969</v>
      </c>
      <c r="Q12" s="353">
        <v>2.4399999999999999E-3</v>
      </c>
      <c r="R12" s="351">
        <v>40603</v>
      </c>
      <c r="S12" s="353">
        <v>3.5899999999999999E-3</v>
      </c>
      <c r="T12" s="351">
        <v>40238</v>
      </c>
      <c r="U12" s="352">
        <v>5.0400000000000002E-3</v>
      </c>
      <c r="V12" s="351">
        <v>39873</v>
      </c>
      <c r="W12" s="350">
        <v>3.47E-3</v>
      </c>
    </row>
    <row r="13" spans="1:23">
      <c r="A13" s="356" t="s">
        <v>564</v>
      </c>
      <c r="B13" s="351">
        <v>43191</v>
      </c>
      <c r="C13" s="354">
        <v>2.0500000000000002E-3</v>
      </c>
      <c r="D13" s="351">
        <v>43191</v>
      </c>
      <c r="E13" s="354">
        <v>1.75E-3</v>
      </c>
      <c r="F13" s="351">
        <v>42826</v>
      </c>
      <c r="G13" s="354">
        <v>3.5599999999999998E-3</v>
      </c>
      <c r="H13" s="351">
        <v>42461</v>
      </c>
      <c r="I13" s="354">
        <v>2.0300000000000001E-3</v>
      </c>
      <c r="J13" s="351">
        <v>42095</v>
      </c>
      <c r="K13" s="354">
        <v>3.46E-3</v>
      </c>
      <c r="L13" s="351">
        <v>41730</v>
      </c>
      <c r="M13" s="353">
        <v>4.4600000000000004E-3</v>
      </c>
      <c r="N13" s="351">
        <v>41365</v>
      </c>
      <c r="O13" s="352">
        <v>3.6800000000000001E-3</v>
      </c>
      <c r="P13" s="351">
        <v>41000</v>
      </c>
      <c r="Q13" s="353">
        <v>2.1299999999999999E-3</v>
      </c>
      <c r="R13" s="351">
        <v>40634</v>
      </c>
      <c r="S13" s="353">
        <v>3.7000000000000002E-3</v>
      </c>
      <c r="T13" s="351">
        <v>40269</v>
      </c>
      <c r="U13" s="352">
        <v>3.96E-3</v>
      </c>
      <c r="V13" s="351">
        <v>39904</v>
      </c>
      <c r="W13" s="350">
        <v>3.0899999999999999E-3</v>
      </c>
    </row>
    <row r="14" spans="1:23">
      <c r="A14" s="356" t="s">
        <v>563</v>
      </c>
      <c r="B14" s="351">
        <v>43221</v>
      </c>
      <c r="C14" s="354">
        <v>1.42E-3</v>
      </c>
      <c r="D14" s="351">
        <v>43221</v>
      </c>
      <c r="E14" s="354">
        <v>1.32E-3</v>
      </c>
      <c r="F14" s="351">
        <v>42856</v>
      </c>
      <c r="G14" s="354">
        <v>3.4499999999999999E-3</v>
      </c>
      <c r="H14" s="351">
        <v>42491</v>
      </c>
      <c r="I14" s="354">
        <v>1.82E-3</v>
      </c>
      <c r="J14" s="351">
        <v>42125</v>
      </c>
      <c r="K14" s="354">
        <v>3.0799999999999998E-3</v>
      </c>
      <c r="L14" s="351">
        <v>41760</v>
      </c>
      <c r="M14" s="353">
        <v>4.5500000000000002E-3</v>
      </c>
      <c r="N14" s="351">
        <v>41395</v>
      </c>
      <c r="O14" s="352">
        <v>3.8999999999999998E-3</v>
      </c>
      <c r="P14" s="351">
        <v>41030</v>
      </c>
      <c r="Q14" s="353">
        <v>1.7700000000000001E-3</v>
      </c>
      <c r="R14" s="351">
        <v>40664</v>
      </c>
      <c r="S14" s="353">
        <v>3.7599999999999999E-3</v>
      </c>
      <c r="T14" s="351">
        <v>40299</v>
      </c>
      <c r="U14" s="352">
        <v>3.65E-3</v>
      </c>
      <c r="V14" s="351">
        <v>39934</v>
      </c>
      <c r="W14" s="350">
        <v>2.7599999999999999E-3</v>
      </c>
    </row>
    <row r="15" spans="1:23">
      <c r="A15" s="356" t="s">
        <v>562</v>
      </c>
      <c r="B15" s="351">
        <v>43252</v>
      </c>
      <c r="C15" s="354">
        <v>1.24E-3</v>
      </c>
      <c r="D15" s="351">
        <v>43252</v>
      </c>
      <c r="E15" s="354">
        <v>1.2099999999999999E-3</v>
      </c>
      <c r="F15" s="351">
        <v>42887</v>
      </c>
      <c r="G15" s="354">
        <v>3.4499999999999999E-3</v>
      </c>
      <c r="H15" s="351">
        <v>42522</v>
      </c>
      <c r="I15" s="354">
        <v>1.83E-3</v>
      </c>
      <c r="J15" s="351">
        <v>42156</v>
      </c>
      <c r="K15" s="354">
        <v>3.7100000000000002E-3</v>
      </c>
      <c r="L15" s="351">
        <v>41791</v>
      </c>
      <c r="M15" s="353">
        <v>4.3E-3</v>
      </c>
      <c r="N15" s="351">
        <v>41426</v>
      </c>
      <c r="O15" s="352">
        <v>3.7699999999999999E-3</v>
      </c>
      <c r="P15" s="351">
        <v>41061</v>
      </c>
      <c r="Q15" s="353">
        <v>2.3800000000000002E-3</v>
      </c>
      <c r="R15" s="351">
        <v>40695</v>
      </c>
      <c r="S15" s="353">
        <v>3.9699999999999996E-3</v>
      </c>
      <c r="T15" s="351">
        <v>40330</v>
      </c>
      <c r="U15" s="352">
        <v>3.79E-3</v>
      </c>
      <c r="V15" s="351">
        <v>39965</v>
      </c>
      <c r="W15" s="350">
        <v>3.4199999999999999E-3</v>
      </c>
    </row>
    <row r="16" spans="1:23">
      <c r="A16" s="356" t="s">
        <v>561</v>
      </c>
      <c r="B16" s="351">
        <v>43282</v>
      </c>
      <c r="C16" s="354">
        <v>1.16E-3</v>
      </c>
      <c r="D16" s="351">
        <v>43282</v>
      </c>
      <c r="E16" s="354">
        <v>1.32E-3</v>
      </c>
      <c r="F16" s="351">
        <v>42917</v>
      </c>
      <c r="G16" s="354">
        <v>2.0500000000000002E-3</v>
      </c>
      <c r="H16" s="351">
        <v>42552</v>
      </c>
      <c r="I16" s="354">
        <v>2.7200000000000002E-3</v>
      </c>
      <c r="J16" s="351">
        <v>42186</v>
      </c>
      <c r="K16" s="354">
        <v>3.2299999999999998E-3</v>
      </c>
      <c r="L16" s="351">
        <v>41821</v>
      </c>
      <c r="M16" s="353">
        <v>4.4999999999999997E-3</v>
      </c>
      <c r="N16" s="351">
        <v>41456</v>
      </c>
      <c r="O16" s="352">
        <v>3.47E-3</v>
      </c>
      <c r="P16" s="351">
        <v>41091</v>
      </c>
      <c r="Q16" s="353">
        <v>2.2499999999999998E-3</v>
      </c>
      <c r="R16" s="351">
        <v>40725</v>
      </c>
      <c r="S16" s="353">
        <v>4.1200000000000004E-3</v>
      </c>
      <c r="T16" s="351">
        <v>40360</v>
      </c>
      <c r="U16" s="352">
        <v>4.1399999999999996E-3</v>
      </c>
      <c r="V16" s="351">
        <v>39995</v>
      </c>
      <c r="W16" s="350">
        <v>3.1700000000000001E-3</v>
      </c>
    </row>
    <row r="17" spans="1:23">
      <c r="A17" s="356" t="s">
        <v>560</v>
      </c>
      <c r="B17" s="351">
        <v>43313</v>
      </c>
      <c r="C17" s="354">
        <v>1.2999999999999999E-3</v>
      </c>
      <c r="D17" s="351">
        <v>43313</v>
      </c>
      <c r="E17" s="354">
        <v>1.75E-3</v>
      </c>
      <c r="F17" s="351">
        <v>42948</v>
      </c>
      <c r="G17" s="354">
        <v>2.1199999999999999E-3</v>
      </c>
      <c r="H17" s="351">
        <v>42583</v>
      </c>
      <c r="I17" s="354">
        <v>2.8500000000000001E-3</v>
      </c>
      <c r="J17" s="351">
        <v>42217</v>
      </c>
      <c r="K17" s="354">
        <v>3.4099999999999998E-3</v>
      </c>
      <c r="L17" s="351">
        <v>41852</v>
      </c>
      <c r="M17" s="353">
        <v>3.7399999999999998E-3</v>
      </c>
      <c r="N17" s="351">
        <v>41487</v>
      </c>
      <c r="O17" s="352">
        <v>3.16E-3</v>
      </c>
      <c r="P17" s="351">
        <v>41122</v>
      </c>
      <c r="Q17" s="353">
        <v>2.4599999999999999E-3</v>
      </c>
      <c r="R17" s="351">
        <v>40756</v>
      </c>
      <c r="S17" s="353">
        <v>4.0699999999999998E-3</v>
      </c>
      <c r="T17" s="351">
        <v>40391</v>
      </c>
      <c r="U17" s="352">
        <v>3.5400000000000002E-3</v>
      </c>
      <c r="V17" s="351">
        <v>40026</v>
      </c>
      <c r="W17" s="350">
        <v>3.0999999999999999E-3</v>
      </c>
    </row>
    <row r="18" spans="1:23">
      <c r="A18" s="356" t="s">
        <v>559</v>
      </c>
      <c r="B18" s="351">
        <v>43344</v>
      </c>
      <c r="C18" s="354">
        <v>1.2899999999999999E-3</v>
      </c>
      <c r="D18" s="351">
        <v>43344</v>
      </c>
      <c r="E18" s="354">
        <v>1.4E-3</v>
      </c>
      <c r="F18" s="351">
        <v>42979</v>
      </c>
      <c r="G18" s="354">
        <v>1.6100000000000001E-3</v>
      </c>
      <c r="H18" s="351">
        <v>42614</v>
      </c>
      <c r="I18" s="354">
        <v>2.48E-3</v>
      </c>
      <c r="J18" s="351">
        <v>42248</v>
      </c>
      <c r="K18" s="354">
        <v>3.0300000000000001E-3</v>
      </c>
      <c r="L18" s="357" t="s">
        <v>558</v>
      </c>
      <c r="M18" s="353">
        <v>5.3800000000000002E-3</v>
      </c>
      <c r="N18" s="351">
        <v>41518</v>
      </c>
      <c r="O18" s="352">
        <v>2.7000000000000001E-3</v>
      </c>
      <c r="P18" s="351">
        <v>41153</v>
      </c>
      <c r="Q18" s="353">
        <v>2.2899999999999999E-3</v>
      </c>
      <c r="R18" s="351">
        <v>40787</v>
      </c>
      <c r="S18" s="353">
        <v>3.7699999999999999E-3</v>
      </c>
      <c r="T18" s="351">
        <v>40422</v>
      </c>
      <c r="U18" s="352">
        <v>3.2000000000000002E-3</v>
      </c>
      <c r="V18" s="351">
        <v>40057</v>
      </c>
      <c r="W18" s="350">
        <v>2.64E-3</v>
      </c>
    </row>
    <row r="19" spans="1:23">
      <c r="A19" s="356" t="s">
        <v>557</v>
      </c>
      <c r="B19" s="351">
        <v>43374</v>
      </c>
      <c r="C19" s="354">
        <f>'[3]OUT_Tariff G-SUR'!$G$17</f>
        <v>1.3500000000000001E-3</v>
      </c>
      <c r="D19" s="351">
        <v>43374</v>
      </c>
      <c r="E19" s="354">
        <v>1.42E-3</v>
      </c>
      <c r="F19" s="351">
        <v>43009</v>
      </c>
      <c r="G19" s="354">
        <v>1.9300000000000001E-3</v>
      </c>
      <c r="H19" s="351">
        <v>42644</v>
      </c>
      <c r="I19" s="354">
        <v>3.1800000000000001E-3</v>
      </c>
      <c r="J19" s="351">
        <v>42278</v>
      </c>
      <c r="K19" s="354">
        <v>3.0400000000000002E-3</v>
      </c>
      <c r="L19" s="351">
        <v>41913</v>
      </c>
      <c r="M19" s="353">
        <v>5.45E-3</v>
      </c>
      <c r="N19" s="351">
        <v>41548</v>
      </c>
      <c r="O19" s="352">
        <v>2.8500000000000001E-3</v>
      </c>
      <c r="P19" s="351">
        <v>41183</v>
      </c>
      <c r="Q19" s="353">
        <v>2.5500000000000002E-3</v>
      </c>
      <c r="R19" s="351">
        <v>40817</v>
      </c>
      <c r="S19" s="353">
        <v>3.6900000000000001E-3</v>
      </c>
      <c r="T19" s="351">
        <v>40452</v>
      </c>
      <c r="U19" s="352">
        <v>3.4499999999999999E-3</v>
      </c>
      <c r="V19" s="351">
        <v>40087</v>
      </c>
      <c r="W19" s="350">
        <v>3.3500000000000001E-3</v>
      </c>
    </row>
    <row r="20" spans="1:23">
      <c r="A20" s="356" t="s">
        <v>556</v>
      </c>
      <c r="B20" s="351">
        <v>43405</v>
      </c>
      <c r="C20" s="355"/>
      <c r="D20" s="351">
        <v>43405</v>
      </c>
      <c r="E20" s="354">
        <v>2.0699999999999998E-3</v>
      </c>
      <c r="F20" s="351">
        <v>43040</v>
      </c>
      <c r="G20" s="354">
        <v>2.0899999999999998E-3</v>
      </c>
      <c r="H20" s="351">
        <v>42675</v>
      </c>
      <c r="I20" s="354">
        <v>3.9100000000000003E-3</v>
      </c>
      <c r="J20" s="351">
        <v>42309</v>
      </c>
      <c r="K20" s="354">
        <v>3.1199999999999999E-3</v>
      </c>
      <c r="L20" s="351">
        <v>41944</v>
      </c>
      <c r="M20" s="353">
        <v>4.9300000000000004E-3</v>
      </c>
      <c r="N20" s="351">
        <v>41579</v>
      </c>
      <c r="O20" s="352">
        <v>3.6600000000000001E-3</v>
      </c>
      <c r="P20" s="351">
        <v>41214</v>
      </c>
      <c r="Q20" s="353">
        <v>3.5999999999999999E-3</v>
      </c>
      <c r="R20" s="351">
        <v>40848</v>
      </c>
      <c r="S20" s="353">
        <v>3.3700000000000002E-3</v>
      </c>
      <c r="T20" s="351">
        <v>40483</v>
      </c>
      <c r="U20" s="352">
        <v>3.3800000000000002E-3</v>
      </c>
      <c r="V20" s="351">
        <v>40118</v>
      </c>
      <c r="W20" s="350">
        <v>5.1000000000000004E-3</v>
      </c>
    </row>
    <row r="21" spans="1:23">
      <c r="A21" s="349" t="s">
        <v>555</v>
      </c>
      <c r="B21" s="345">
        <v>43435</v>
      </c>
      <c r="C21" s="348"/>
      <c r="D21" s="345">
        <v>43435</v>
      </c>
      <c r="E21" s="347">
        <v>3.0200000000000001E-3</v>
      </c>
      <c r="F21" s="345">
        <v>43070</v>
      </c>
      <c r="G21" s="346">
        <v>2.33E-3</v>
      </c>
      <c r="H21" s="345">
        <v>42705</v>
      </c>
      <c r="I21" s="346">
        <v>3.5999999999999999E-3</v>
      </c>
      <c r="J21" s="345">
        <v>42339</v>
      </c>
      <c r="K21" s="344">
        <v>3.2699999999999999E-3</v>
      </c>
      <c r="L21" s="345">
        <v>41974</v>
      </c>
      <c r="M21" s="344">
        <v>5.4200000000000003E-3</v>
      </c>
      <c r="N21" s="342">
        <v>41609</v>
      </c>
      <c r="O21" s="343">
        <v>3.47E-3</v>
      </c>
      <c r="P21" s="342">
        <v>41244</v>
      </c>
      <c r="Q21" s="343">
        <v>3.5999999999999999E-3</v>
      </c>
      <c r="R21" s="342">
        <v>40878</v>
      </c>
      <c r="S21" s="343">
        <v>3.4399999999999999E-3</v>
      </c>
      <c r="T21" s="342">
        <v>40513</v>
      </c>
      <c r="U21" s="343">
        <v>3.63E-3</v>
      </c>
      <c r="V21" s="342">
        <v>40148</v>
      </c>
      <c r="W21" s="341">
        <v>4.47E-3</v>
      </c>
    </row>
    <row r="22" spans="1:23">
      <c r="A22" s="152"/>
      <c r="B22" s="152"/>
      <c r="C22" s="152"/>
      <c r="D22" s="152"/>
      <c r="E22" s="152"/>
      <c r="F22" s="152"/>
      <c r="G22" s="152"/>
      <c r="H22" s="152"/>
      <c r="I22" s="152"/>
      <c r="J22" s="152"/>
      <c r="K22" s="152"/>
      <c r="L22" s="152"/>
      <c r="M22" s="152"/>
      <c r="N22" s="152"/>
      <c r="O22" s="152"/>
      <c r="P22" s="152"/>
      <c r="Q22" s="152"/>
      <c r="R22" s="152"/>
      <c r="S22" s="152"/>
      <c r="T22" s="152"/>
      <c r="U22" s="152"/>
      <c r="V22" s="152"/>
      <c r="W22" s="152"/>
    </row>
    <row r="23" spans="1:23">
      <c r="A23" s="340" t="s">
        <v>554</v>
      </c>
      <c r="B23" s="340"/>
      <c r="C23" s="340"/>
      <c r="D23" s="340"/>
      <c r="E23" s="340"/>
      <c r="F23" s="340"/>
      <c r="G23" s="340"/>
      <c r="H23" s="340"/>
      <c r="I23" s="340"/>
      <c r="J23" s="340"/>
      <c r="K23" s="340"/>
      <c r="L23" s="340"/>
      <c r="M23" s="340"/>
      <c r="N23" s="340"/>
      <c r="O23" s="340"/>
      <c r="P23" s="340"/>
      <c r="Q23" s="340"/>
      <c r="R23" s="340"/>
      <c r="S23" s="340"/>
      <c r="T23" s="340"/>
      <c r="U23" s="340"/>
      <c r="V23" s="340"/>
      <c r="W23" s="340"/>
    </row>
    <row r="24" spans="1:23">
      <c r="A24" s="339" t="s">
        <v>553</v>
      </c>
      <c r="B24" s="339"/>
      <c r="C24" s="339"/>
      <c r="D24" s="339"/>
      <c r="E24" s="339"/>
      <c r="F24" s="339"/>
      <c r="G24" s="339"/>
      <c r="H24" s="339"/>
      <c r="I24" s="339"/>
      <c r="J24" s="339"/>
      <c r="K24" s="339"/>
      <c r="L24" s="339"/>
      <c r="M24" s="339"/>
      <c r="N24" s="339"/>
      <c r="O24" s="339"/>
      <c r="P24" s="339"/>
      <c r="Q24" s="339"/>
      <c r="R24" s="339"/>
      <c r="S24" s="339"/>
      <c r="T24" s="339"/>
      <c r="U24" s="339"/>
      <c r="V24" s="339"/>
      <c r="W24" s="339"/>
    </row>
    <row r="28" spans="1:23">
      <c r="E28" s="152" t="s">
        <v>552</v>
      </c>
      <c r="G28" s="150">
        <f>SUM(G10:G21)/12</f>
        <v>2.891666666666667E-3</v>
      </c>
    </row>
  </sheetData>
  <mergeCells count="16">
    <mergeCell ref="A1:W1"/>
    <mergeCell ref="A3:W3"/>
    <mergeCell ref="A4:W4"/>
    <mergeCell ref="A5:W5"/>
    <mergeCell ref="A6:W6"/>
    <mergeCell ref="B8:C8"/>
    <mergeCell ref="D8:E8"/>
    <mergeCell ref="F8:G8"/>
    <mergeCell ref="H8:I8"/>
    <mergeCell ref="J8:K8"/>
    <mergeCell ref="V8:W8"/>
    <mergeCell ref="L8:M8"/>
    <mergeCell ref="N8:O8"/>
    <mergeCell ref="P8:Q8"/>
    <mergeCell ref="R8:S8"/>
    <mergeCell ref="T8:U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35" sqref="A35:XFD42"/>
    </sheetView>
  </sheetViews>
  <sheetFormatPr defaultColWidth="9.1328125" defaultRowHeight="12.75"/>
  <cols>
    <col min="1" max="1" width="29.3984375" style="150" customWidth="1"/>
    <col min="2" max="16384" width="9.1328125" style="150"/>
  </cols>
  <sheetData>
    <row r="1" spans="1:2">
      <c r="A1" s="150" t="s">
        <v>351</v>
      </c>
      <c r="B1" s="150">
        <v>2017</v>
      </c>
    </row>
    <row r="2" spans="1:2">
      <c r="A2" s="150" t="s">
        <v>375</v>
      </c>
      <c r="B2" s="150">
        <v>1.9204019850077678E-5</v>
      </c>
    </row>
    <row r="3" spans="1:2">
      <c r="A3" s="150" t="s">
        <v>376</v>
      </c>
      <c r="B3" s="150">
        <v>3.8090646094503381E-6</v>
      </c>
    </row>
    <row r="4" spans="1:2">
      <c r="A4" s="150" t="s">
        <v>590</v>
      </c>
      <c r="B4" s="150">
        <v>1.2044358727097398E-5</v>
      </c>
    </row>
    <row r="5" spans="1:2">
      <c r="A5" s="150" t="s">
        <v>589</v>
      </c>
      <c r="B5" s="150">
        <v>8.4474445515911283E-6</v>
      </c>
    </row>
    <row r="6" spans="1:2">
      <c r="A6" s="150" t="s">
        <v>379</v>
      </c>
      <c r="B6" s="150">
        <v>6.7984570877531343E-6</v>
      </c>
    </row>
    <row r="7" spans="1:2">
      <c r="A7" s="150" t="s">
        <v>588</v>
      </c>
      <c r="B7" s="150">
        <v>8.4474445515911283E-6</v>
      </c>
    </row>
    <row r="8" spans="1:2">
      <c r="A8" s="150" t="s">
        <v>587</v>
      </c>
      <c r="B8" s="150">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topLeftCell="A13" workbookViewId="0">
      <selection activeCell="A35" sqref="A35:XFD42"/>
    </sheetView>
  </sheetViews>
  <sheetFormatPr defaultColWidth="9.1328125" defaultRowHeight="12.75"/>
  <cols>
    <col min="1" max="16384" width="9.1328125" style="150"/>
  </cols>
  <sheetData>
    <row r="1" spans="1:14" ht="15">
      <c r="A1" s="379" t="s">
        <v>551</v>
      </c>
      <c r="B1" s="378" t="s">
        <v>550</v>
      </c>
    </row>
    <row r="2" spans="1:14" ht="46.5">
      <c r="A2" s="377" t="s">
        <v>549</v>
      </c>
      <c r="B2" s="376" t="s">
        <v>603</v>
      </c>
      <c r="C2" s="376" t="s">
        <v>602</v>
      </c>
      <c r="D2" s="376" t="s">
        <v>601</v>
      </c>
      <c r="E2" s="376" t="s">
        <v>600</v>
      </c>
      <c r="F2" s="376" t="s">
        <v>548</v>
      </c>
      <c r="G2" s="376" t="s">
        <v>547</v>
      </c>
      <c r="H2" s="376" t="s">
        <v>546</v>
      </c>
      <c r="I2" s="376" t="s">
        <v>545</v>
      </c>
      <c r="J2" s="376" t="s">
        <v>544</v>
      </c>
      <c r="K2" s="376" t="s">
        <v>543</v>
      </c>
      <c r="L2" s="376" t="s">
        <v>542</v>
      </c>
      <c r="M2" s="376" t="s">
        <v>599</v>
      </c>
      <c r="N2" s="376" t="s">
        <v>541</v>
      </c>
    </row>
    <row r="3" spans="1:14" ht="196.9">
      <c r="A3" s="375" t="s">
        <v>540</v>
      </c>
      <c r="B3" s="374" t="s">
        <v>598</v>
      </c>
      <c r="C3" s="374" t="s">
        <v>597</v>
      </c>
      <c r="D3" s="374" t="s">
        <v>596</v>
      </c>
      <c r="E3" s="374" t="s">
        <v>595</v>
      </c>
      <c r="F3" s="374" t="s">
        <v>539</v>
      </c>
      <c r="G3" s="374" t="s">
        <v>538</v>
      </c>
      <c r="H3" s="374" t="s">
        <v>537</v>
      </c>
      <c r="I3" s="374" t="s">
        <v>536</v>
      </c>
      <c r="J3" s="374" t="s">
        <v>535</v>
      </c>
      <c r="K3" s="374" t="s">
        <v>534</v>
      </c>
      <c r="L3" s="374" t="s">
        <v>533</v>
      </c>
      <c r="M3" s="374" t="s">
        <v>594</v>
      </c>
      <c r="N3" s="374" t="s">
        <v>532</v>
      </c>
    </row>
    <row r="4" spans="1:14">
      <c r="A4" s="373">
        <v>24653</v>
      </c>
      <c r="B4" s="150">
        <v>0.3</v>
      </c>
      <c r="E4" s="150">
        <v>0.25</v>
      </c>
      <c r="G4" s="150">
        <v>0.93</v>
      </c>
      <c r="I4" s="150">
        <v>0.68</v>
      </c>
    </row>
    <row r="5" spans="1:14">
      <c r="A5" s="373">
        <v>25019</v>
      </c>
      <c r="B5" s="150">
        <v>0.31</v>
      </c>
      <c r="E5" s="150">
        <v>0.24</v>
      </c>
      <c r="G5" s="150">
        <v>0.93</v>
      </c>
      <c r="I5" s="150">
        <v>0.69</v>
      </c>
    </row>
    <row r="6" spans="1:14">
      <c r="A6" s="373">
        <v>25384</v>
      </c>
      <c r="B6" s="150">
        <v>0.31</v>
      </c>
      <c r="E6" s="150">
        <v>0.3</v>
      </c>
      <c r="G6" s="150">
        <v>0.93</v>
      </c>
      <c r="I6" s="150">
        <v>0.69</v>
      </c>
    </row>
    <row r="7" spans="1:14">
      <c r="A7" s="373">
        <v>25749</v>
      </c>
      <c r="B7" s="150">
        <v>0.32</v>
      </c>
      <c r="E7" s="150">
        <v>0.28999999999999998</v>
      </c>
      <c r="G7" s="150">
        <v>0.99</v>
      </c>
      <c r="I7" s="150">
        <v>0.73</v>
      </c>
    </row>
    <row r="8" spans="1:14">
      <c r="A8" s="373">
        <v>26114</v>
      </c>
      <c r="B8" s="150">
        <v>0.33</v>
      </c>
      <c r="E8" s="150">
        <v>0.35</v>
      </c>
      <c r="G8" s="150">
        <v>1.03</v>
      </c>
      <c r="I8" s="150">
        <v>0.76</v>
      </c>
    </row>
    <row r="9" spans="1:14">
      <c r="A9" s="373">
        <v>26480</v>
      </c>
      <c r="B9" s="150">
        <v>0.37</v>
      </c>
      <c r="E9" s="150">
        <v>0.35</v>
      </c>
      <c r="G9" s="150">
        <v>1.08</v>
      </c>
      <c r="I9" s="150">
        <v>0.81</v>
      </c>
    </row>
    <row r="10" spans="1:14">
      <c r="A10" s="373">
        <v>26845</v>
      </c>
      <c r="B10" s="150">
        <v>0.37</v>
      </c>
      <c r="E10" s="150">
        <v>0.39</v>
      </c>
      <c r="G10" s="150">
        <v>1.1599999999999999</v>
      </c>
      <c r="I10" s="150">
        <v>0.85</v>
      </c>
    </row>
    <row r="11" spans="1:14">
      <c r="A11" s="373">
        <v>27210</v>
      </c>
      <c r="B11" s="150">
        <v>0.44</v>
      </c>
      <c r="E11" s="150">
        <v>0.45</v>
      </c>
      <c r="G11" s="150">
        <v>1.38</v>
      </c>
      <c r="I11" s="150">
        <v>0.99</v>
      </c>
    </row>
    <row r="12" spans="1:14">
      <c r="A12" s="373">
        <v>27575</v>
      </c>
      <c r="B12" s="150">
        <v>0.7</v>
      </c>
      <c r="E12" s="150">
        <v>0.47</v>
      </c>
      <c r="G12" s="150">
        <v>1.57</v>
      </c>
      <c r="I12" s="150">
        <v>1.29</v>
      </c>
    </row>
    <row r="13" spans="1:14">
      <c r="A13" s="373">
        <v>27941</v>
      </c>
      <c r="B13" s="150">
        <v>0.94</v>
      </c>
      <c r="E13" s="150">
        <v>0.69</v>
      </c>
      <c r="G13" s="150">
        <v>1.77</v>
      </c>
      <c r="I13" s="150">
        <v>1.59</v>
      </c>
    </row>
    <row r="14" spans="1:14">
      <c r="A14" s="373">
        <v>28306</v>
      </c>
      <c r="B14" s="150">
        <v>1.17</v>
      </c>
      <c r="E14" s="150">
        <v>0.73</v>
      </c>
      <c r="G14" s="150">
        <v>1.89</v>
      </c>
      <c r="I14" s="150">
        <v>2.0699999999999998</v>
      </c>
    </row>
    <row r="15" spans="1:14">
      <c r="A15" s="373">
        <v>28671</v>
      </c>
      <c r="B15" s="150">
        <v>1.36</v>
      </c>
      <c r="E15" s="150">
        <v>0.85</v>
      </c>
      <c r="G15" s="150">
        <v>1.99</v>
      </c>
      <c r="I15" s="150">
        <v>2.2400000000000002</v>
      </c>
    </row>
    <row r="16" spans="1:14">
      <c r="A16" s="373">
        <v>29036</v>
      </c>
      <c r="B16" s="150">
        <v>1.7</v>
      </c>
      <c r="E16" s="150">
        <v>1.75</v>
      </c>
      <c r="G16" s="150">
        <v>2.4700000000000002</v>
      </c>
      <c r="I16" s="150">
        <v>2.73</v>
      </c>
    </row>
    <row r="17" spans="1:15">
      <c r="A17" s="373">
        <v>29402</v>
      </c>
      <c r="B17" s="150">
        <v>2.17</v>
      </c>
      <c r="E17" s="150">
        <v>2.16</v>
      </c>
      <c r="G17" s="150">
        <v>3.51</v>
      </c>
      <c r="I17" s="150">
        <v>3.98</v>
      </c>
    </row>
    <row r="18" spans="1:15">
      <c r="A18" s="373">
        <v>29767</v>
      </c>
      <c r="B18" s="150">
        <v>2.57</v>
      </c>
      <c r="E18" s="150">
        <v>2.9</v>
      </c>
      <c r="G18" s="150">
        <v>3.74</v>
      </c>
      <c r="I18" s="150">
        <v>4.38</v>
      </c>
    </row>
    <row r="19" spans="1:15">
      <c r="A19" s="373">
        <v>30132</v>
      </c>
      <c r="B19" s="150">
        <v>3.09</v>
      </c>
      <c r="E19" s="150">
        <v>3.3</v>
      </c>
      <c r="G19" s="150">
        <v>4.43</v>
      </c>
      <c r="I19" s="150">
        <v>5.32</v>
      </c>
    </row>
    <row r="20" spans="1:15">
      <c r="A20" s="373">
        <v>30497</v>
      </c>
      <c r="B20" s="150">
        <v>3.57</v>
      </c>
      <c r="E20" s="150">
        <v>4.1399999999999997</v>
      </c>
      <c r="G20" s="150">
        <v>5.41</v>
      </c>
      <c r="I20" s="150">
        <v>6.33</v>
      </c>
    </row>
    <row r="21" spans="1:15">
      <c r="A21" s="373">
        <v>30863</v>
      </c>
      <c r="B21" s="150">
        <v>3.8</v>
      </c>
      <c r="E21" s="150">
        <v>4.13</v>
      </c>
      <c r="F21" s="150">
        <v>3.97</v>
      </c>
      <c r="G21" s="150">
        <v>5.84</v>
      </c>
      <c r="I21" s="150">
        <v>6.95</v>
      </c>
    </row>
    <row r="22" spans="1:15">
      <c r="A22" s="373">
        <v>31228</v>
      </c>
      <c r="B22" s="150">
        <v>3.36</v>
      </c>
      <c r="E22" s="150">
        <v>3.7</v>
      </c>
      <c r="F22" s="150">
        <v>3.54</v>
      </c>
      <c r="G22" s="150">
        <v>5.72</v>
      </c>
      <c r="I22" s="150">
        <v>6.63</v>
      </c>
    </row>
    <row r="23" spans="1:15">
      <c r="A23" s="373">
        <v>31593</v>
      </c>
      <c r="B23" s="150">
        <v>2.89</v>
      </c>
      <c r="E23" s="150">
        <v>3.56</v>
      </c>
      <c r="F23" s="150">
        <v>2.76</v>
      </c>
      <c r="G23" s="150">
        <v>5.14</v>
      </c>
      <c r="I23" s="150">
        <v>5.86</v>
      </c>
    </row>
    <row r="24" spans="1:15">
      <c r="A24" s="373">
        <v>31958</v>
      </c>
      <c r="B24" s="150">
        <v>2.37</v>
      </c>
      <c r="E24" s="150">
        <v>3.02</v>
      </c>
      <c r="F24" s="150">
        <v>2.39</v>
      </c>
      <c r="G24" s="150">
        <v>5.26</v>
      </c>
      <c r="I24" s="150">
        <v>5.42</v>
      </c>
    </row>
    <row r="25" spans="1:15">
      <c r="A25" s="373">
        <v>32324</v>
      </c>
      <c r="B25" s="150">
        <v>2.39</v>
      </c>
      <c r="E25" s="150">
        <v>2.5499999999999998</v>
      </c>
      <c r="F25" s="150">
        <v>2.6</v>
      </c>
      <c r="G25" s="150">
        <v>5.64</v>
      </c>
      <c r="I25" s="150">
        <v>4.68</v>
      </c>
    </row>
    <row r="26" spans="1:15">
      <c r="A26" s="373">
        <v>32689</v>
      </c>
      <c r="B26" s="150">
        <v>2.3199999999999998</v>
      </c>
      <c r="E26" s="150">
        <v>2.39</v>
      </c>
      <c r="F26" s="150">
        <v>2.75</v>
      </c>
      <c r="G26" s="150">
        <v>5.59</v>
      </c>
      <c r="H26" s="150">
        <v>100</v>
      </c>
      <c r="I26" s="150">
        <v>4.88</v>
      </c>
    </row>
    <row r="27" spans="1:15">
      <c r="A27" s="373">
        <v>33054</v>
      </c>
      <c r="B27" s="150">
        <v>2.36</v>
      </c>
      <c r="E27" s="150">
        <v>2.4</v>
      </c>
      <c r="F27" s="150">
        <v>2.9</v>
      </c>
      <c r="G27" s="150">
        <v>5.78</v>
      </c>
      <c r="H27" s="150">
        <v>100</v>
      </c>
      <c r="I27" s="150">
        <v>5.12</v>
      </c>
      <c r="J27" s="150">
        <v>86.6</v>
      </c>
      <c r="M27" s="150">
        <v>4.84</v>
      </c>
    </row>
    <row r="28" spans="1:15">
      <c r="A28" s="373">
        <v>33419</v>
      </c>
      <c r="B28" s="150">
        <v>2.46</v>
      </c>
      <c r="E28" s="150">
        <v>2.19</v>
      </c>
      <c r="F28" s="150">
        <v>2.8</v>
      </c>
      <c r="G28" s="150">
        <v>6.27</v>
      </c>
      <c r="H28" s="150">
        <v>99.7</v>
      </c>
      <c r="I28" s="150">
        <v>5.5</v>
      </c>
      <c r="J28" s="150">
        <v>77.8</v>
      </c>
      <c r="M28" s="150">
        <v>5.77</v>
      </c>
    </row>
    <row r="29" spans="1:15">
      <c r="A29" s="373">
        <v>33785</v>
      </c>
      <c r="B29" s="150">
        <v>2.34</v>
      </c>
      <c r="E29" s="150">
        <v>1.4</v>
      </c>
      <c r="F29" s="150">
        <v>2.72</v>
      </c>
      <c r="G29" s="150">
        <v>5.97</v>
      </c>
      <c r="H29" s="150">
        <v>99.2</v>
      </c>
      <c r="I29" s="150">
        <v>5.15</v>
      </c>
      <c r="J29" s="150">
        <v>74.5</v>
      </c>
      <c r="M29" s="150">
        <v>6.43</v>
      </c>
    </row>
    <row r="30" spans="1:15">
      <c r="A30" s="373">
        <v>34150</v>
      </c>
      <c r="B30" s="150">
        <v>2.38</v>
      </c>
      <c r="E30" s="150">
        <v>0.53</v>
      </c>
      <c r="F30" s="150">
        <v>2.85</v>
      </c>
      <c r="G30" s="150">
        <v>6.23</v>
      </c>
      <c r="H30" s="150">
        <v>99.2</v>
      </c>
      <c r="I30" s="150">
        <v>6.03</v>
      </c>
      <c r="J30" s="150">
        <v>76.900000000000006</v>
      </c>
      <c r="M30" s="150">
        <v>4.76</v>
      </c>
    </row>
    <row r="31" spans="1:15">
      <c r="A31" s="373">
        <v>34515</v>
      </c>
      <c r="B31" s="150">
        <v>1.5</v>
      </c>
      <c r="E31" s="150">
        <v>0.33</v>
      </c>
      <c r="F31" s="150">
        <v>2.57</v>
      </c>
      <c r="G31" s="150">
        <v>6.39</v>
      </c>
      <c r="H31" s="150">
        <v>99.3</v>
      </c>
      <c r="I31" s="150">
        <v>7.12</v>
      </c>
      <c r="J31" s="150">
        <v>48.8</v>
      </c>
      <c r="M31" s="150">
        <v>5.09</v>
      </c>
    </row>
    <row r="32" spans="1:15">
      <c r="A32" s="373">
        <v>34880</v>
      </c>
      <c r="B32" s="150">
        <v>1.73</v>
      </c>
      <c r="E32" s="150">
        <v>1.01</v>
      </c>
      <c r="F32" s="150">
        <v>2.0299999999999998</v>
      </c>
      <c r="G32" s="150">
        <v>6.42</v>
      </c>
      <c r="H32" s="150">
        <v>99.4</v>
      </c>
      <c r="I32" s="150">
        <v>6.21</v>
      </c>
      <c r="J32" s="150">
        <v>52.1</v>
      </c>
      <c r="M32" s="150">
        <v>5.54</v>
      </c>
      <c r="O32" s="152" t="s">
        <v>593</v>
      </c>
    </row>
    <row r="33" spans="1:15">
      <c r="A33" s="373">
        <v>35246</v>
      </c>
      <c r="B33" s="150">
        <v>1.82</v>
      </c>
      <c r="E33" s="150">
        <v>1.63</v>
      </c>
      <c r="F33" s="150">
        <v>2.59</v>
      </c>
      <c r="G33" s="150">
        <v>6.44</v>
      </c>
      <c r="H33" s="150">
        <v>99.2</v>
      </c>
      <c r="I33" s="150">
        <v>5.96</v>
      </c>
      <c r="J33" s="150">
        <v>54.9</v>
      </c>
      <c r="M33" s="150">
        <v>4.75</v>
      </c>
    </row>
    <row r="34" spans="1:15">
      <c r="A34" s="373">
        <v>35611</v>
      </c>
      <c r="B34" s="150">
        <v>2.41</v>
      </c>
      <c r="D34" s="150">
        <v>3.15</v>
      </c>
      <c r="E34" s="150">
        <v>1.47</v>
      </c>
      <c r="F34" s="150">
        <v>2.98</v>
      </c>
      <c r="G34" s="150">
        <v>6.81</v>
      </c>
      <c r="H34" s="150">
        <v>99.2</v>
      </c>
      <c r="I34" s="150">
        <v>6.41</v>
      </c>
      <c r="J34" s="150">
        <v>50.4</v>
      </c>
      <c r="K34" s="150">
        <v>4.18</v>
      </c>
      <c r="L34" s="150">
        <v>9</v>
      </c>
      <c r="M34" s="150">
        <v>4.5</v>
      </c>
      <c r="N34" s="150">
        <v>3.08</v>
      </c>
      <c r="O34" s="150">
        <f t="shared" ref="O34:O53" si="0">N34-F34</f>
        <v>0.10000000000000009</v>
      </c>
    </row>
    <row r="35" spans="1:15">
      <c r="A35" s="373">
        <v>35976</v>
      </c>
      <c r="B35" s="150">
        <v>1.97</v>
      </c>
      <c r="D35" s="150">
        <v>2.58</v>
      </c>
      <c r="E35" s="150">
        <v>1.93</v>
      </c>
      <c r="F35" s="150">
        <v>2.38</v>
      </c>
      <c r="G35" s="150">
        <v>6.92</v>
      </c>
      <c r="H35" s="150">
        <v>1</v>
      </c>
      <c r="I35" s="150">
        <v>6.33</v>
      </c>
      <c r="J35" s="150">
        <v>48.7</v>
      </c>
      <c r="K35" s="150">
        <v>3.75</v>
      </c>
      <c r="L35" s="150">
        <v>10.4</v>
      </c>
      <c r="M35" s="150">
        <v>4.2300000000000004</v>
      </c>
      <c r="N35" s="150">
        <v>2.79</v>
      </c>
      <c r="O35" s="150">
        <f t="shared" si="0"/>
        <v>0.41000000000000014</v>
      </c>
    </row>
    <row r="36" spans="1:15">
      <c r="A36" s="373">
        <v>36341</v>
      </c>
      <c r="B36" s="150">
        <v>2.36</v>
      </c>
      <c r="D36" s="150">
        <v>2.73</v>
      </c>
      <c r="E36" s="150">
        <v>2.08</v>
      </c>
      <c r="F36" s="150">
        <v>2.61</v>
      </c>
      <c r="G36" s="150">
        <v>6.62</v>
      </c>
      <c r="H36" s="150">
        <v>99.3</v>
      </c>
      <c r="I36" s="150">
        <v>6.14</v>
      </c>
      <c r="J36" s="150">
        <v>57.1</v>
      </c>
      <c r="K36" s="150">
        <v>3.33</v>
      </c>
      <c r="L36" s="150">
        <v>12.9</v>
      </c>
      <c r="M36" s="150">
        <v>4.43</v>
      </c>
      <c r="N36" s="150">
        <v>2.76</v>
      </c>
      <c r="O36" s="150">
        <f t="shared" si="0"/>
        <v>0.14999999999999991</v>
      </c>
    </row>
    <row r="37" spans="1:15">
      <c r="A37" s="373">
        <v>36707</v>
      </c>
      <c r="B37" s="150">
        <v>4.8099999999999996</v>
      </c>
      <c r="D37" s="150">
        <v>5.97</v>
      </c>
      <c r="E37" s="150">
        <v>3.62</v>
      </c>
      <c r="F37" s="150">
        <v>4.32</v>
      </c>
      <c r="G37" s="150">
        <v>8.2100000000000009</v>
      </c>
      <c r="H37" s="150">
        <v>99.1</v>
      </c>
      <c r="I37" s="150">
        <v>7.54</v>
      </c>
      <c r="J37" s="150">
        <v>57.1</v>
      </c>
      <c r="K37" s="150">
        <v>5.29</v>
      </c>
      <c r="L37" s="150">
        <v>8.6999999999999993</v>
      </c>
      <c r="M37" s="150">
        <v>5.92</v>
      </c>
      <c r="N37" s="150">
        <v>5.88</v>
      </c>
      <c r="O37" s="150">
        <f t="shared" si="0"/>
        <v>1.5599999999999996</v>
      </c>
    </row>
    <row r="38" spans="1:15">
      <c r="A38" s="373">
        <v>37072</v>
      </c>
      <c r="B38" s="150">
        <v>6.93</v>
      </c>
      <c r="D38" s="150">
        <v>6.85</v>
      </c>
      <c r="E38" s="150">
        <v>4.7</v>
      </c>
      <c r="F38" s="150">
        <v>6.64</v>
      </c>
      <c r="G38" s="150">
        <v>10.43</v>
      </c>
      <c r="H38" s="150">
        <v>99.4</v>
      </c>
      <c r="I38" s="150">
        <v>9.33</v>
      </c>
      <c r="J38" s="150">
        <v>62.6</v>
      </c>
      <c r="K38" s="150">
        <v>6.6</v>
      </c>
      <c r="L38" s="150">
        <v>9.1</v>
      </c>
      <c r="M38" s="150">
        <v>6.51</v>
      </c>
      <c r="N38" s="150">
        <v>9.3800000000000008</v>
      </c>
      <c r="O38" s="150">
        <f t="shared" si="0"/>
        <v>2.7400000000000011</v>
      </c>
    </row>
    <row r="39" spans="1:15">
      <c r="A39" s="373">
        <v>37437</v>
      </c>
      <c r="B39" s="150">
        <v>2.92</v>
      </c>
      <c r="D39" s="150">
        <v>3.21</v>
      </c>
      <c r="F39" s="150">
        <v>3.2</v>
      </c>
      <c r="G39" s="150">
        <v>7.11</v>
      </c>
      <c r="H39" s="150">
        <v>99.4</v>
      </c>
      <c r="I39" s="150">
        <v>6.07</v>
      </c>
      <c r="J39" s="150">
        <v>68.599999999999994</v>
      </c>
      <c r="K39" s="150">
        <v>4.93</v>
      </c>
      <c r="L39" s="150">
        <v>7.7</v>
      </c>
      <c r="M39" s="150">
        <v>4.3499999999999996</v>
      </c>
      <c r="N39" s="150">
        <v>3.82</v>
      </c>
      <c r="O39" s="150">
        <f t="shared" si="0"/>
        <v>0.61999999999999966</v>
      </c>
    </row>
    <row r="40" spans="1:15">
      <c r="A40" s="373">
        <v>37802</v>
      </c>
      <c r="B40" s="150">
        <v>5.04</v>
      </c>
      <c r="D40" s="150">
        <v>5.25</v>
      </c>
      <c r="F40" s="150">
        <v>5.16</v>
      </c>
      <c r="G40" s="150">
        <v>9.1300000000000008</v>
      </c>
      <c r="H40" s="150">
        <v>98.3</v>
      </c>
      <c r="I40" s="150">
        <v>8.15</v>
      </c>
      <c r="J40" s="150">
        <v>70.3</v>
      </c>
      <c r="K40" s="150">
        <v>7.19</v>
      </c>
      <c r="L40" s="150">
        <v>4.9000000000000004</v>
      </c>
      <c r="M40" s="150">
        <v>5.76</v>
      </c>
      <c r="N40" s="150">
        <v>5.5</v>
      </c>
      <c r="O40" s="150">
        <f t="shared" si="0"/>
        <v>0.33999999999999986</v>
      </c>
    </row>
    <row r="41" spans="1:15">
      <c r="A41" s="373">
        <v>38168</v>
      </c>
      <c r="B41" s="150">
        <v>5.65</v>
      </c>
      <c r="D41" s="150">
        <v>5.78</v>
      </c>
      <c r="E41" s="150">
        <f t="shared" ref="E41:E53" si="1">N41-F41</f>
        <v>9.9999999999997868E-3</v>
      </c>
      <c r="F41" s="150">
        <v>6.04</v>
      </c>
      <c r="G41" s="150">
        <v>9.86</v>
      </c>
      <c r="H41" s="150">
        <v>99.6</v>
      </c>
      <c r="I41" s="150">
        <v>8.6300000000000008</v>
      </c>
      <c r="J41" s="150">
        <v>71.2</v>
      </c>
      <c r="K41" s="150">
        <v>7.89</v>
      </c>
      <c r="L41" s="150">
        <v>5.2</v>
      </c>
      <c r="M41" s="150">
        <v>6.97</v>
      </c>
      <c r="N41" s="150">
        <v>6.05</v>
      </c>
      <c r="O41" s="150">
        <f t="shared" si="0"/>
        <v>9.9999999999997868E-3</v>
      </c>
    </row>
    <row r="42" spans="1:15">
      <c r="A42" s="373">
        <v>38533</v>
      </c>
      <c r="B42" s="150">
        <v>7.45</v>
      </c>
      <c r="D42" s="150">
        <v>7.91</v>
      </c>
      <c r="E42" s="150">
        <f t="shared" si="1"/>
        <v>0.20000000000000018</v>
      </c>
      <c r="F42" s="150">
        <v>7.88</v>
      </c>
      <c r="G42" s="150">
        <v>11.85</v>
      </c>
      <c r="H42" s="150">
        <v>99.7</v>
      </c>
      <c r="I42" s="150">
        <v>10.69</v>
      </c>
      <c r="J42" s="150">
        <v>68.7</v>
      </c>
      <c r="K42" s="150">
        <v>9.84</v>
      </c>
      <c r="L42" s="150">
        <v>5.5</v>
      </c>
      <c r="M42" s="150">
        <v>8.8000000000000007</v>
      </c>
      <c r="N42" s="150">
        <v>8.08</v>
      </c>
      <c r="O42" s="150">
        <f t="shared" si="0"/>
        <v>0.20000000000000018</v>
      </c>
    </row>
    <row r="43" spans="1:15">
      <c r="A43" s="373">
        <v>38898</v>
      </c>
      <c r="B43" s="150">
        <v>6.47</v>
      </c>
      <c r="D43" s="150">
        <v>6.33</v>
      </c>
      <c r="E43" s="150">
        <f t="shared" si="1"/>
        <v>-4.9999999999999822E-2</v>
      </c>
      <c r="F43" s="150">
        <v>6.76</v>
      </c>
      <c r="G43" s="150">
        <v>11.79</v>
      </c>
      <c r="H43" s="150">
        <v>99.6</v>
      </c>
      <c r="I43" s="150">
        <v>10.43</v>
      </c>
      <c r="J43" s="150">
        <v>64.7</v>
      </c>
      <c r="K43" s="150">
        <v>9.3000000000000007</v>
      </c>
      <c r="L43" s="150">
        <v>5.7</v>
      </c>
      <c r="M43" s="150">
        <v>7.92</v>
      </c>
      <c r="N43" s="150">
        <v>6.71</v>
      </c>
      <c r="O43" s="150">
        <f t="shared" si="0"/>
        <v>-4.9999999999999822E-2</v>
      </c>
    </row>
    <row r="44" spans="1:15">
      <c r="A44" s="373">
        <v>39263</v>
      </c>
      <c r="B44" s="150">
        <v>6.62</v>
      </c>
      <c r="D44" s="150">
        <v>6.53</v>
      </c>
      <c r="E44" s="150">
        <f t="shared" si="1"/>
        <v>-0.10000000000000053</v>
      </c>
      <c r="F44" s="150">
        <v>6.82</v>
      </c>
      <c r="G44" s="150">
        <v>11.57</v>
      </c>
      <c r="H44" s="150">
        <v>99.5</v>
      </c>
      <c r="I44" s="150">
        <v>10.199999999999999</v>
      </c>
      <c r="J44" s="150">
        <v>60.7</v>
      </c>
      <c r="K44" s="150">
        <v>9.07</v>
      </c>
      <c r="L44" s="150">
        <v>5.3</v>
      </c>
      <c r="M44" s="150">
        <v>7.72</v>
      </c>
      <c r="N44" s="150">
        <v>6.72</v>
      </c>
      <c r="O44" s="150">
        <f t="shared" si="0"/>
        <v>-0.10000000000000053</v>
      </c>
    </row>
    <row r="45" spans="1:15">
      <c r="A45" s="373">
        <v>39629</v>
      </c>
      <c r="B45" s="150">
        <v>8.3800000000000008</v>
      </c>
      <c r="C45" s="150">
        <v>9.15</v>
      </c>
      <c r="D45" s="150">
        <v>8.06</v>
      </c>
      <c r="E45" s="150">
        <f t="shared" si="1"/>
        <v>0.12000000000000099</v>
      </c>
      <c r="F45" s="150">
        <v>8.11</v>
      </c>
      <c r="G45" s="150">
        <v>12.75</v>
      </c>
      <c r="H45" s="150">
        <v>99.3</v>
      </c>
      <c r="I45" s="150">
        <v>11.75</v>
      </c>
      <c r="J45" s="150">
        <v>56.7</v>
      </c>
      <c r="K45" s="150">
        <v>10.8</v>
      </c>
      <c r="L45" s="150">
        <v>5.0999999999999996</v>
      </c>
      <c r="M45" s="150">
        <v>11.32</v>
      </c>
      <c r="N45" s="150">
        <v>8.23</v>
      </c>
      <c r="O45" s="150">
        <f t="shared" si="0"/>
        <v>0.12000000000000099</v>
      </c>
    </row>
    <row r="46" spans="1:15">
      <c r="A46" s="373">
        <v>39994</v>
      </c>
      <c r="B46" s="150">
        <v>3.96</v>
      </c>
      <c r="C46" s="150">
        <v>2.83</v>
      </c>
      <c r="D46" s="150">
        <v>3.76</v>
      </c>
      <c r="E46" s="150">
        <f t="shared" si="1"/>
        <v>0.27000000000000046</v>
      </c>
      <c r="F46" s="150">
        <v>4.17</v>
      </c>
      <c r="G46" s="150">
        <v>9.43</v>
      </c>
      <c r="H46" s="150">
        <v>98.9</v>
      </c>
      <c r="I46" s="150">
        <v>7.75</v>
      </c>
      <c r="J46" s="150">
        <v>54.9</v>
      </c>
      <c r="K46" s="150">
        <v>6.56</v>
      </c>
      <c r="L46" s="150">
        <v>4.7</v>
      </c>
      <c r="M46" s="150">
        <v>7.61</v>
      </c>
      <c r="N46" s="150">
        <v>4.4400000000000004</v>
      </c>
      <c r="O46" s="150">
        <f t="shared" si="0"/>
        <v>0.27000000000000046</v>
      </c>
    </row>
    <row r="47" spans="1:15">
      <c r="A47" s="373">
        <v>40359</v>
      </c>
      <c r="B47" s="150">
        <v>4.87</v>
      </c>
      <c r="C47" s="150">
        <v>4.76</v>
      </c>
      <c r="D47" s="150">
        <v>4.51</v>
      </c>
      <c r="E47" s="150">
        <f t="shared" si="1"/>
        <v>0.12999999999999989</v>
      </c>
      <c r="F47" s="150">
        <v>4.8600000000000003</v>
      </c>
      <c r="G47" s="150">
        <v>9.92</v>
      </c>
      <c r="H47" s="150">
        <v>98.5</v>
      </c>
      <c r="I47" s="150">
        <v>8.3000000000000007</v>
      </c>
      <c r="J47" s="150">
        <v>54.1</v>
      </c>
      <c r="K47" s="150">
        <v>7.02</v>
      </c>
      <c r="L47" s="150">
        <v>4.5999999999999996</v>
      </c>
      <c r="M47" s="150">
        <v>5.55</v>
      </c>
      <c r="N47" s="150">
        <v>4.99</v>
      </c>
      <c r="O47" s="150">
        <f t="shared" si="0"/>
        <v>0.12999999999999989</v>
      </c>
    </row>
    <row r="48" spans="1:15">
      <c r="A48" s="373">
        <v>40724</v>
      </c>
      <c r="C48" s="150">
        <v>3.57</v>
      </c>
      <c r="D48" s="150">
        <v>4.18</v>
      </c>
      <c r="E48" s="150">
        <f t="shared" si="1"/>
        <v>0.24000000000000021</v>
      </c>
      <c r="F48" s="150">
        <v>4.47</v>
      </c>
      <c r="G48" s="150">
        <v>9.93</v>
      </c>
      <c r="H48" s="150">
        <v>98.3</v>
      </c>
      <c r="I48" s="150">
        <v>8.2899999999999991</v>
      </c>
      <c r="J48" s="150">
        <v>54.3</v>
      </c>
      <c r="K48" s="150">
        <v>7.04</v>
      </c>
      <c r="L48" s="150">
        <v>4.5</v>
      </c>
      <c r="M48" s="150">
        <v>7.32</v>
      </c>
      <c r="N48" s="150">
        <v>4.71</v>
      </c>
      <c r="O48" s="150">
        <f t="shared" si="0"/>
        <v>0.24000000000000021</v>
      </c>
    </row>
    <row r="49" spans="1:20">
      <c r="A49" s="373">
        <v>41090</v>
      </c>
      <c r="D49" s="150">
        <v>2.9</v>
      </c>
      <c r="E49" s="150">
        <f t="shared" si="1"/>
        <v>0.2200000000000002</v>
      </c>
      <c r="F49" s="150">
        <v>3.46</v>
      </c>
      <c r="G49" s="150">
        <v>9.14</v>
      </c>
      <c r="H49" s="150">
        <v>97.5</v>
      </c>
      <c r="I49" s="150">
        <v>7.05</v>
      </c>
      <c r="J49" s="150">
        <v>50</v>
      </c>
      <c r="K49" s="150">
        <v>5.77</v>
      </c>
      <c r="L49" s="150">
        <v>4.2</v>
      </c>
      <c r="M49" s="150">
        <v>7.01</v>
      </c>
      <c r="N49" s="150">
        <v>3.68</v>
      </c>
      <c r="O49" s="150">
        <f t="shared" si="0"/>
        <v>0.2200000000000002</v>
      </c>
    </row>
    <row r="50" spans="1:20">
      <c r="A50" s="373">
        <v>41455</v>
      </c>
      <c r="C50" s="150">
        <v>3.59</v>
      </c>
      <c r="D50" s="150">
        <v>3.89</v>
      </c>
      <c r="E50" s="150">
        <f t="shared" si="1"/>
        <v>0.35000000000000053</v>
      </c>
      <c r="F50" s="150">
        <v>4.18</v>
      </c>
      <c r="G50" s="150">
        <v>9.92</v>
      </c>
      <c r="H50" s="150">
        <v>96.1</v>
      </c>
      <c r="I50" s="150">
        <v>7.81</v>
      </c>
      <c r="J50" s="150">
        <v>49.9</v>
      </c>
      <c r="K50" s="150">
        <v>6.57</v>
      </c>
      <c r="L50" s="150">
        <v>4</v>
      </c>
      <c r="N50" s="150">
        <v>4.53</v>
      </c>
      <c r="O50" s="150">
        <f t="shared" si="0"/>
        <v>0.35000000000000053</v>
      </c>
    </row>
    <row r="51" spans="1:20">
      <c r="A51" s="373">
        <v>41820</v>
      </c>
      <c r="C51" s="150">
        <v>0</v>
      </c>
      <c r="D51" s="150">
        <v>4.5599999999999996</v>
      </c>
      <c r="E51" s="150">
        <f t="shared" si="1"/>
        <v>0.33999999999999986</v>
      </c>
      <c r="F51" s="150">
        <v>4.88</v>
      </c>
      <c r="G51" s="150">
        <v>11.51</v>
      </c>
      <c r="H51" s="150">
        <v>94.8</v>
      </c>
      <c r="I51" s="150">
        <v>9.0500000000000007</v>
      </c>
      <c r="J51" s="150">
        <v>48.4</v>
      </c>
      <c r="K51" s="150">
        <v>7.65</v>
      </c>
      <c r="L51" s="150">
        <v>3.7</v>
      </c>
      <c r="N51" s="150">
        <v>5.22</v>
      </c>
      <c r="O51" s="150">
        <f t="shared" si="0"/>
        <v>0.33999999999999986</v>
      </c>
    </row>
    <row r="52" spans="1:20">
      <c r="A52" s="373">
        <v>42185</v>
      </c>
      <c r="D52" s="150">
        <v>2.76</v>
      </c>
      <c r="E52" s="150">
        <f t="shared" si="1"/>
        <v>0.12999999999999989</v>
      </c>
      <c r="F52" s="150">
        <v>3.27</v>
      </c>
      <c r="G52" s="150">
        <v>11.39</v>
      </c>
      <c r="H52" s="150">
        <v>94.9</v>
      </c>
      <c r="I52" s="150">
        <v>8.0399999999999991</v>
      </c>
      <c r="J52" s="150">
        <v>49.9</v>
      </c>
      <c r="K52" s="150">
        <v>6.41</v>
      </c>
      <c r="L52" s="150">
        <v>3.8</v>
      </c>
      <c r="N52" s="150">
        <v>3.4</v>
      </c>
      <c r="O52" s="150">
        <f t="shared" si="0"/>
        <v>0.12999999999999989</v>
      </c>
    </row>
    <row r="53" spans="1:20">
      <c r="A53" s="373">
        <v>42551</v>
      </c>
      <c r="C53" s="150">
        <v>3.39</v>
      </c>
      <c r="D53" s="150">
        <v>2.57</v>
      </c>
      <c r="E53" s="150">
        <f t="shared" si="1"/>
        <v>0.20000000000000018</v>
      </c>
      <c r="F53" s="150">
        <v>2.96</v>
      </c>
      <c r="G53" s="150">
        <v>11.84</v>
      </c>
      <c r="H53" s="150">
        <v>95.1</v>
      </c>
      <c r="I53" s="150">
        <v>8.42</v>
      </c>
      <c r="J53" s="150">
        <v>51.1</v>
      </c>
      <c r="K53" s="150">
        <v>6.79</v>
      </c>
      <c r="L53" s="150">
        <v>3.9</v>
      </c>
      <c r="N53" s="150">
        <v>3.16</v>
      </c>
      <c r="O53" s="150">
        <f t="shared" si="0"/>
        <v>0.20000000000000018</v>
      </c>
    </row>
    <row r="54" spans="1:20">
      <c r="A54" s="373">
        <v>42916</v>
      </c>
      <c r="C54" s="150">
        <v>3.57</v>
      </c>
      <c r="D54" s="150">
        <v>3.06</v>
      </c>
      <c r="F54" s="150">
        <v>3.45</v>
      </c>
      <c r="G54" s="150">
        <v>12.49</v>
      </c>
      <c r="H54" s="150">
        <v>95.1</v>
      </c>
      <c r="I54" s="150">
        <v>8.76</v>
      </c>
      <c r="J54" s="150">
        <v>52.4</v>
      </c>
      <c r="K54" s="150">
        <v>7.05</v>
      </c>
      <c r="L54" s="150">
        <v>4.2</v>
      </c>
    </row>
    <row r="55" spans="1:20">
      <c r="A55" s="373">
        <v>43281</v>
      </c>
    </row>
    <row r="57" spans="1:20">
      <c r="N57" s="152" t="s">
        <v>592</v>
      </c>
      <c r="T57" s="150">
        <f>AVERAGE(O49:O53)</f>
        <v>0.24800000000000014</v>
      </c>
    </row>
    <row r="58" spans="1:20">
      <c r="N58" s="152" t="s">
        <v>591</v>
      </c>
      <c r="T58" s="150">
        <f>F54+T57</f>
        <v>3.6980000000000004</v>
      </c>
    </row>
  </sheetData>
  <hyperlinks>
    <hyperlink ref="A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workbookViewId="0">
      <selection activeCell="A3" sqref="A3:B36"/>
    </sheetView>
  </sheetViews>
  <sheetFormatPr defaultRowHeight="14.25"/>
  <cols>
    <col min="1" max="1" width="9.06640625" style="131"/>
    <col min="2" max="2" width="81.73046875" style="131" customWidth="1"/>
    <col min="3" max="16384" width="9.06640625" style="131"/>
  </cols>
  <sheetData>
    <row r="1" spans="1:1">
      <c r="A1" s="53" t="s">
        <v>114</v>
      </c>
    </row>
    <row r="38" spans="1:1">
      <c r="A38" s="53" t="s">
        <v>0</v>
      </c>
    </row>
    <row r="39" spans="1:1">
      <c r="A39" s="131" t="s">
        <v>636</v>
      </c>
    </row>
    <row r="40" spans="1:1">
      <c r="A40" s="131" t="s">
        <v>637</v>
      </c>
    </row>
    <row r="42" spans="1:1">
      <c r="A42" s="131" t="s">
        <v>638</v>
      </c>
    </row>
    <row r="43" spans="1:1">
      <c r="A43" s="131" t="s">
        <v>639</v>
      </c>
    </row>
    <row r="45" spans="1:1">
      <c r="A45" s="131" t="s">
        <v>640</v>
      </c>
    </row>
    <row r="46" spans="1:1">
      <c r="A46" s="131" t="s">
        <v>641</v>
      </c>
    </row>
    <row r="48" spans="1:1">
      <c r="A48" s="131" t="s">
        <v>642</v>
      </c>
    </row>
    <row r="50" spans="1:2">
      <c r="A50" s="53" t="s">
        <v>643</v>
      </c>
    </row>
    <row r="51" spans="1:2">
      <c r="A51" s="131" t="s">
        <v>644</v>
      </c>
    </row>
    <row r="52" spans="1:2">
      <c r="A52" s="131" t="s">
        <v>645</v>
      </c>
    </row>
    <row r="53" spans="1:2">
      <c r="A53" s="131" t="s">
        <v>646</v>
      </c>
    </row>
    <row r="54" spans="1:2">
      <c r="A54" s="131" t="s">
        <v>647</v>
      </c>
    </row>
    <row r="55" spans="1:2">
      <c r="A55" s="131">
        <v>0.98699999999999999</v>
      </c>
      <c r="B55" s="131" t="s">
        <v>648</v>
      </c>
    </row>
    <row r="56" spans="1:2">
      <c r="A56" s="382">
        <v>1.0549999999999999</v>
      </c>
      <c r="B56" s="131" t="s">
        <v>649</v>
      </c>
    </row>
    <row r="57" spans="1:2">
      <c r="A57" s="131" t="s">
        <v>101</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opLeftCell="A7" workbookViewId="0">
      <selection activeCell="B28" sqref="B28"/>
    </sheetView>
  </sheetViews>
  <sheetFormatPr defaultRowHeight="14.25"/>
  <cols>
    <col min="1" max="1" width="19.3984375" style="131" customWidth="1"/>
    <col min="2" max="2" width="28.53125" style="131" customWidth="1"/>
    <col min="3" max="3" width="26.19921875" style="131" customWidth="1"/>
    <col min="4" max="4" width="23.796875" style="131" customWidth="1"/>
    <col min="5" max="16384" width="9.06640625" style="131"/>
  </cols>
  <sheetData>
    <row r="1" spans="1:4">
      <c r="A1" s="53" t="s">
        <v>650</v>
      </c>
    </row>
    <row r="3" spans="1:4">
      <c r="A3" s="53" t="s">
        <v>330</v>
      </c>
      <c r="B3" s="131" t="s">
        <v>651</v>
      </c>
    </row>
    <row r="4" spans="1:4">
      <c r="B4" s="131" t="s">
        <v>652</v>
      </c>
    </row>
    <row r="5" spans="1:4">
      <c r="B5" s="131" t="s">
        <v>653</v>
      </c>
    </row>
    <row r="6" spans="1:4">
      <c r="B6" s="131" t="s">
        <v>654</v>
      </c>
    </row>
    <row r="7" spans="1:4">
      <c r="B7" s="131" t="s">
        <v>655</v>
      </c>
      <c r="C7" s="3" t="s">
        <v>656</v>
      </c>
    </row>
    <row r="8" spans="1:4">
      <c r="B8" s="131" t="s">
        <v>657</v>
      </c>
    </row>
    <row r="10" spans="1:4" ht="42.75">
      <c r="A10" s="383" t="s">
        <v>658</v>
      </c>
      <c r="B10" s="383" t="s">
        <v>659</v>
      </c>
      <c r="C10" s="383" t="s">
        <v>660</v>
      </c>
      <c r="D10" s="383" t="s">
        <v>661</v>
      </c>
    </row>
    <row r="11" spans="1:4">
      <c r="A11" s="131" t="s">
        <v>662</v>
      </c>
      <c r="B11" s="2">
        <v>4262</v>
      </c>
      <c r="C11" s="384">
        <v>1558</v>
      </c>
      <c r="D11" s="385">
        <f>C11/B11</f>
        <v>0.36555607695917408</v>
      </c>
    </row>
    <row r="12" spans="1:4">
      <c r="A12" s="131" t="s">
        <v>663</v>
      </c>
      <c r="B12" s="2">
        <v>8738</v>
      </c>
      <c r="C12" s="384">
        <v>4305</v>
      </c>
      <c r="D12" s="385">
        <f>C12/B12</f>
        <v>0.49267566948958574</v>
      </c>
    </row>
    <row r="13" spans="1:4">
      <c r="A13" s="131" t="s">
        <v>664</v>
      </c>
      <c r="B13" s="2">
        <v>13901</v>
      </c>
      <c r="C13" s="384">
        <v>8610</v>
      </c>
      <c r="D13" s="385">
        <f>C13/B13</f>
        <v>0.61937990072656646</v>
      </c>
    </row>
    <row r="14" spans="1:4">
      <c r="A14" s="4" t="s">
        <v>2</v>
      </c>
      <c r="B14" s="4"/>
      <c r="C14" s="4"/>
      <c r="D14" s="386">
        <f>AVERAGE(D11:D13)</f>
        <v>0.49253721572510872</v>
      </c>
    </row>
    <row r="16" spans="1:4">
      <c r="A16" s="4" t="s">
        <v>339</v>
      </c>
      <c r="B16" s="41"/>
    </row>
    <row r="17" spans="1:2">
      <c r="A17" s="141">
        <f>2.93*10^-4</f>
        <v>2.9300000000000002E-4</v>
      </c>
    </row>
    <row r="19" spans="1:2">
      <c r="A19" s="4" t="s">
        <v>665</v>
      </c>
      <c r="B19" s="4"/>
    </row>
    <row r="20" spans="1:2">
      <c r="A20" s="387">
        <f>D14*A17</f>
        <v>1.4431340420745687E-4</v>
      </c>
    </row>
    <row r="22" spans="1:2">
      <c r="A22" s="4" t="s">
        <v>698</v>
      </c>
      <c r="B22" s="4"/>
    </row>
    <row r="23" spans="1:2">
      <c r="A23" s="400">
        <f>A20*'California cost adjustment'!I28</f>
        <v>1.6168366760307604E-4</v>
      </c>
    </row>
  </sheetData>
  <hyperlinks>
    <hyperlink ref="C7"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opLeftCell="A16" workbookViewId="0">
      <selection activeCell="B28" sqref="B28"/>
    </sheetView>
  </sheetViews>
  <sheetFormatPr defaultRowHeight="14.25"/>
  <cols>
    <col min="1" max="1" width="21.265625" style="131" customWidth="1"/>
    <col min="2" max="2" width="33.73046875" style="131" customWidth="1"/>
    <col min="3" max="3" width="8.73046875" style="131" customWidth="1"/>
    <col min="4" max="16384" width="9.06640625" style="131"/>
  </cols>
  <sheetData>
    <row r="1" spans="1:3">
      <c r="A1" s="53" t="s">
        <v>329</v>
      </c>
    </row>
    <row r="3" spans="1:3">
      <c r="A3" s="4" t="s">
        <v>330</v>
      </c>
      <c r="B3" s="131" t="s">
        <v>331</v>
      </c>
    </row>
    <row r="4" spans="1:3">
      <c r="B4" s="131" t="s">
        <v>690</v>
      </c>
    </row>
    <row r="5" spans="1:3">
      <c r="A5" s="133"/>
      <c r="B5" s="131" t="s">
        <v>332</v>
      </c>
      <c r="C5" s="133"/>
    </row>
    <row r="6" spans="1:3">
      <c r="A6" s="134"/>
      <c r="C6" s="134"/>
    </row>
    <row r="7" spans="1:3">
      <c r="A7" s="395" t="s">
        <v>691</v>
      </c>
      <c r="B7" s="396"/>
      <c r="C7" s="134"/>
    </row>
    <row r="8" spans="1:3">
      <c r="A8" s="135" t="s">
        <v>333</v>
      </c>
      <c r="B8" s="4" t="s">
        <v>692</v>
      </c>
      <c r="C8" s="134"/>
    </row>
    <row r="9" spans="1:3">
      <c r="A9" s="7" t="s">
        <v>334</v>
      </c>
      <c r="B9" s="136">
        <v>50</v>
      </c>
      <c r="C9" s="134"/>
    </row>
    <row r="10" spans="1:3">
      <c r="A10" s="7" t="s">
        <v>335</v>
      </c>
      <c r="B10" s="137">
        <v>75</v>
      </c>
      <c r="C10" s="134"/>
    </row>
    <row r="11" spans="1:3">
      <c r="A11" s="138" t="s">
        <v>693</v>
      </c>
      <c r="B11" s="139">
        <f>AVERAGE(B9:B10)</f>
        <v>62.5</v>
      </c>
      <c r="C11" s="8"/>
    </row>
    <row r="12" spans="1:3">
      <c r="A12" s="8"/>
      <c r="B12" s="8"/>
      <c r="C12" s="8"/>
    </row>
    <row r="13" spans="1:3">
      <c r="A13" s="4" t="s">
        <v>336</v>
      </c>
      <c r="B13" s="41"/>
      <c r="C13" s="8"/>
    </row>
    <row r="14" spans="1:3">
      <c r="A14" s="7">
        <v>0.47</v>
      </c>
      <c r="B14" s="8"/>
      <c r="C14" s="8"/>
    </row>
    <row r="16" spans="1:3">
      <c r="A16" s="4" t="s">
        <v>337</v>
      </c>
    </row>
    <row r="17" spans="1:6">
      <c r="A17" s="2">
        <f>24*365</f>
        <v>8760</v>
      </c>
    </row>
    <row r="19" spans="1:6">
      <c r="A19" s="4" t="s">
        <v>338</v>
      </c>
      <c r="B19" s="41"/>
    </row>
    <row r="20" spans="1:6">
      <c r="A20" s="140">
        <f>B11/(A17*A14)</f>
        <v>1.5180219566695814E-2</v>
      </c>
    </row>
    <row r="22" spans="1:6">
      <c r="A22" s="4" t="s">
        <v>339</v>
      </c>
      <c r="B22" s="41"/>
    </row>
    <row r="23" spans="1:6">
      <c r="A23" s="141">
        <f>2.93*10^-4</f>
        <v>2.9300000000000002E-4</v>
      </c>
    </row>
    <row r="25" spans="1:6">
      <c r="A25" s="4" t="s">
        <v>694</v>
      </c>
      <c r="B25" s="4"/>
    </row>
    <row r="26" spans="1:6">
      <c r="A26" s="144">
        <f>A20*A23</f>
        <v>4.4478043330418734E-6</v>
      </c>
      <c r="B26" s="131" t="s">
        <v>699</v>
      </c>
    </row>
    <row r="27" spans="1:6">
      <c r="A27" s="132">
        <f>A26*D29</f>
        <v>4.7486995059749351E-6</v>
      </c>
      <c r="B27" s="131" t="s">
        <v>700</v>
      </c>
    </row>
    <row r="28" spans="1:6">
      <c r="A28" s="132">
        <f>A27*'California cost adjustment'!I28</f>
        <v>5.3202760802954588E-6</v>
      </c>
      <c r="B28" s="131" t="s">
        <v>701</v>
      </c>
    </row>
    <row r="29" spans="1:6">
      <c r="C29" s="131" t="s">
        <v>341</v>
      </c>
      <c r="D29" s="131">
        <v>1.0676502720000001</v>
      </c>
      <c r="F29" s="131" t="s">
        <v>342</v>
      </c>
    </row>
    <row r="31" spans="1:6">
      <c r="B31" s="131" t="s">
        <v>340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topLeftCell="A20" workbookViewId="0">
      <selection activeCell="B28" sqref="B28"/>
    </sheetView>
  </sheetViews>
  <sheetFormatPr defaultRowHeight="14.25"/>
  <cols>
    <col min="1" max="1" width="32.19921875" style="131" customWidth="1"/>
    <col min="2" max="2" width="23.46484375" style="131" customWidth="1"/>
    <col min="3" max="3" width="35.33203125" style="131" customWidth="1"/>
    <col min="4" max="4" width="26.796875" style="131" customWidth="1"/>
    <col min="5" max="5" width="29.46484375" style="131" customWidth="1"/>
    <col min="6" max="16384" width="9.06640625" style="131"/>
  </cols>
  <sheetData>
    <row r="1" spans="1:2">
      <c r="A1" s="53" t="s">
        <v>666</v>
      </c>
    </row>
    <row r="2" spans="1:2">
      <c r="A2" s="53"/>
    </row>
    <row r="3" spans="1:2">
      <c r="A3" s="4" t="s">
        <v>667</v>
      </c>
      <c r="B3" s="41"/>
    </row>
    <row r="4" spans="1:2">
      <c r="A4" s="131" t="s">
        <v>668</v>
      </c>
      <c r="B4" s="388">
        <f>2.4*10^15</f>
        <v>2400000000000000</v>
      </c>
    </row>
    <row r="5" spans="1:2">
      <c r="A5" s="131" t="s">
        <v>669</v>
      </c>
      <c r="B5" s="388">
        <f>2.3*10^15</f>
        <v>2300000000000000</v>
      </c>
    </row>
    <row r="6" spans="1:2">
      <c r="A6" s="53"/>
    </row>
    <row r="7" spans="1:2">
      <c r="A7" s="53" t="s">
        <v>670</v>
      </c>
    </row>
    <row r="8" spans="1:2">
      <c r="A8" s="54" t="s">
        <v>671</v>
      </c>
    </row>
    <row r="9" spans="1:2">
      <c r="A9" s="54" t="s">
        <v>672</v>
      </c>
    </row>
    <row r="10" spans="1:2">
      <c r="A10" s="54" t="s">
        <v>673</v>
      </c>
    </row>
    <row r="11" spans="1:2">
      <c r="A11" s="54" t="s">
        <v>674</v>
      </c>
    </row>
    <row r="12" spans="1:2">
      <c r="A12" s="54" t="s">
        <v>675</v>
      </c>
    </row>
    <row r="13" spans="1:2">
      <c r="A13" s="54"/>
    </row>
    <row r="14" spans="1:2">
      <c r="A14" s="389" t="s">
        <v>676</v>
      </c>
    </row>
    <row r="15" spans="1:2">
      <c r="A15" s="54" t="s">
        <v>677</v>
      </c>
    </row>
    <row r="16" spans="1:2">
      <c r="A16" s="54" t="s">
        <v>678</v>
      </c>
    </row>
    <row r="17" spans="1:5">
      <c r="A17" s="54" t="s">
        <v>679</v>
      </c>
    </row>
    <row r="18" spans="1:5">
      <c r="A18" s="54" t="s">
        <v>680</v>
      </c>
    </row>
    <row r="19" spans="1:5">
      <c r="A19" s="54" t="s">
        <v>681</v>
      </c>
    </row>
    <row r="20" spans="1:5">
      <c r="A20" s="54" t="s">
        <v>682</v>
      </c>
    </row>
    <row r="21" spans="1:5">
      <c r="A21" s="54" t="s">
        <v>683</v>
      </c>
    </row>
    <row r="23" spans="1:5">
      <c r="A23" s="4" t="s">
        <v>684</v>
      </c>
      <c r="B23" s="41"/>
      <c r="C23" s="41"/>
      <c r="D23" s="41"/>
      <c r="E23" s="41"/>
    </row>
    <row r="24" spans="1:5">
      <c r="B24" s="131" t="s">
        <v>685</v>
      </c>
      <c r="C24" s="131" t="s">
        <v>686</v>
      </c>
      <c r="D24" s="131" t="s">
        <v>687</v>
      </c>
      <c r="E24" s="131" t="s">
        <v>688</v>
      </c>
    </row>
    <row r="25" spans="1:5">
      <c r="A25" s="131" t="s">
        <v>668</v>
      </c>
      <c r="B25" s="390">
        <v>114</v>
      </c>
      <c r="C25" s="2">
        <v>22</v>
      </c>
      <c r="D25" s="391">
        <f>284*10^9</f>
        <v>284000000000</v>
      </c>
      <c r="E25" s="392">
        <f>(C25/B25)*D25</f>
        <v>54807017543.85965</v>
      </c>
    </row>
    <row r="26" spans="1:5">
      <c r="A26" s="131" t="s">
        <v>669</v>
      </c>
      <c r="B26" s="390">
        <v>114</v>
      </c>
      <c r="C26" s="2">
        <v>5</v>
      </c>
      <c r="D26" s="391">
        <f>284*10^9</f>
        <v>284000000000</v>
      </c>
      <c r="E26" s="392">
        <f>(C26/B26)*D26</f>
        <v>12456140350.877192</v>
      </c>
    </row>
    <row r="27" spans="1:5">
      <c r="A27" s="390"/>
      <c r="B27" s="2"/>
      <c r="C27" s="391"/>
      <c r="D27" s="392"/>
    </row>
    <row r="28" spans="1:5">
      <c r="A28" s="135" t="s">
        <v>689</v>
      </c>
      <c r="B28" s="393"/>
      <c r="C28" s="402" t="s">
        <v>697</v>
      </c>
      <c r="D28" s="392"/>
    </row>
    <row r="29" spans="1:5">
      <c r="A29" s="131" t="s">
        <v>668</v>
      </c>
      <c r="B29" s="394">
        <f>E25/B4</f>
        <v>2.2836257309941521E-5</v>
      </c>
      <c r="C29" s="401">
        <f>B29*'California cost adjustment'!I28</f>
        <v>2.5584940335071918E-5</v>
      </c>
      <c r="D29" s="392"/>
    </row>
    <row r="30" spans="1:5">
      <c r="A30" s="131" t="s">
        <v>669</v>
      </c>
      <c r="B30" s="394">
        <f>E26/B5</f>
        <v>5.4157131960335617E-6</v>
      </c>
      <c r="C30" s="401">
        <f>B30*'California cost adjustment'!I28</f>
        <v>6.0675747830210071E-6</v>
      </c>
      <c r="D30" s="392"/>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8"/>
  <sheetViews>
    <sheetView topLeftCell="A13" workbookViewId="0">
      <selection activeCell="B28" sqref="B28"/>
    </sheetView>
  </sheetViews>
  <sheetFormatPr defaultColWidth="10.86328125" defaultRowHeight="14.25"/>
  <cols>
    <col min="1" max="16384" width="10.86328125" style="131"/>
  </cols>
  <sheetData>
    <row r="1" spans="1:45">
      <c r="A1" s="53" t="s">
        <v>1</v>
      </c>
      <c r="B1" s="55" t="s">
        <v>102</v>
      </c>
    </row>
    <row r="2" spans="1:45">
      <c r="B2" s="398" t="s">
        <v>695</v>
      </c>
    </row>
    <row r="3" spans="1:45">
      <c r="B3" s="399">
        <v>2014</v>
      </c>
    </row>
    <row r="4" spans="1:45">
      <c r="A4" s="53"/>
      <c r="B4" s="3" t="s">
        <v>7</v>
      </c>
    </row>
    <row r="5" spans="1:45">
      <c r="A5" s="53"/>
      <c r="B5" s="3"/>
    </row>
    <row r="6" spans="1:45">
      <c r="A6" s="131" t="s">
        <v>696</v>
      </c>
    </row>
    <row r="7" spans="1:45" ht="39.4">
      <c r="A7" s="10" t="s">
        <v>8</v>
      </c>
      <c r="B7" s="11"/>
      <c r="C7" s="11"/>
      <c r="D7" s="12"/>
      <c r="E7" s="12"/>
      <c r="F7" s="13"/>
      <c r="G7" s="14"/>
      <c r="H7" s="15" t="s">
        <v>9</v>
      </c>
      <c r="I7" s="15" t="s">
        <v>10</v>
      </c>
      <c r="J7" s="15" t="s">
        <v>11</v>
      </c>
      <c r="K7" s="15" t="s">
        <v>12</v>
      </c>
      <c r="L7" s="15" t="s">
        <v>13</v>
      </c>
      <c r="M7" s="15" t="s">
        <v>14</v>
      </c>
      <c r="N7" s="15" t="s">
        <v>15</v>
      </c>
      <c r="O7" s="15" t="s">
        <v>16</v>
      </c>
      <c r="P7" s="15" t="s">
        <v>17</v>
      </c>
      <c r="Q7" s="15" t="s">
        <v>18</v>
      </c>
      <c r="R7" s="15" t="s">
        <v>19</v>
      </c>
      <c r="S7" s="15" t="s">
        <v>20</v>
      </c>
      <c r="T7" s="15" t="s">
        <v>21</v>
      </c>
      <c r="U7" s="15" t="s">
        <v>22</v>
      </c>
      <c r="V7" s="15" t="s">
        <v>23</v>
      </c>
      <c r="W7" s="15" t="s">
        <v>24</v>
      </c>
      <c r="X7" s="15" t="s">
        <v>25</v>
      </c>
      <c r="Y7" s="15" t="s">
        <v>26</v>
      </c>
      <c r="Z7" s="15" t="s">
        <v>27</v>
      </c>
      <c r="AA7" s="15" t="s">
        <v>28</v>
      </c>
      <c r="AB7" s="15" t="s">
        <v>29</v>
      </c>
      <c r="AC7" s="15" t="s">
        <v>30</v>
      </c>
      <c r="AD7" s="15" t="s">
        <v>31</v>
      </c>
      <c r="AE7" s="15" t="s">
        <v>32</v>
      </c>
      <c r="AF7" s="15" t="s">
        <v>33</v>
      </c>
      <c r="AG7" s="15" t="s">
        <v>34</v>
      </c>
      <c r="AH7" s="15" t="s">
        <v>35</v>
      </c>
      <c r="AI7" s="15" t="s">
        <v>36</v>
      </c>
      <c r="AJ7" s="15" t="s">
        <v>37</v>
      </c>
      <c r="AK7" s="15" t="s">
        <v>38</v>
      </c>
      <c r="AL7" s="16" t="s">
        <v>39</v>
      </c>
      <c r="AM7" s="14"/>
      <c r="AN7" s="17" t="s">
        <v>40</v>
      </c>
      <c r="AO7" s="14"/>
      <c r="AP7" s="14"/>
      <c r="AQ7" s="14"/>
      <c r="AR7" s="14"/>
      <c r="AS7" s="14"/>
    </row>
    <row r="8" spans="1:45">
      <c r="A8" s="397" t="s">
        <v>41</v>
      </c>
      <c r="B8" s="397"/>
      <c r="C8" s="18" t="s">
        <v>42</v>
      </c>
      <c r="D8" s="19" t="s">
        <v>43</v>
      </c>
      <c r="E8" s="19"/>
      <c r="F8" s="19"/>
      <c r="G8" s="14"/>
      <c r="H8" s="20">
        <v>1</v>
      </c>
      <c r="I8" s="20">
        <v>1</v>
      </c>
      <c r="J8" s="20">
        <v>1</v>
      </c>
      <c r="K8" s="20">
        <v>1</v>
      </c>
      <c r="L8" s="20">
        <v>1</v>
      </c>
      <c r="M8" s="20">
        <v>1</v>
      </c>
      <c r="N8" s="20">
        <v>1</v>
      </c>
      <c r="O8" s="20">
        <v>1</v>
      </c>
      <c r="P8" s="20">
        <v>1</v>
      </c>
      <c r="Q8" s="20">
        <v>1</v>
      </c>
      <c r="R8" s="20">
        <v>1</v>
      </c>
      <c r="S8" s="20">
        <v>1</v>
      </c>
      <c r="T8" s="20">
        <v>1</v>
      </c>
      <c r="U8" s="20">
        <v>1</v>
      </c>
      <c r="V8" s="20">
        <v>1</v>
      </c>
      <c r="W8" s="20">
        <v>1</v>
      </c>
      <c r="X8" s="20">
        <v>1</v>
      </c>
      <c r="Y8" s="20">
        <v>1</v>
      </c>
      <c r="Z8" s="20">
        <v>1</v>
      </c>
      <c r="AA8" s="20">
        <v>1</v>
      </c>
      <c r="AB8" s="20">
        <v>1</v>
      </c>
      <c r="AC8" s="20">
        <v>1</v>
      </c>
      <c r="AD8" s="20">
        <v>1</v>
      </c>
      <c r="AE8" s="20">
        <v>1</v>
      </c>
      <c r="AF8" s="20">
        <v>1</v>
      </c>
      <c r="AG8" s="20">
        <v>1</v>
      </c>
      <c r="AH8" s="20">
        <v>1</v>
      </c>
      <c r="AI8" s="20">
        <v>1</v>
      </c>
      <c r="AJ8" s="20">
        <v>1</v>
      </c>
      <c r="AK8" s="20">
        <v>1</v>
      </c>
      <c r="AL8" s="20">
        <v>1</v>
      </c>
      <c r="AM8" s="14"/>
      <c r="AN8" s="20">
        <v>1</v>
      </c>
      <c r="AO8" s="14"/>
      <c r="AP8" s="14"/>
      <c r="AQ8" s="14"/>
      <c r="AR8" s="14"/>
      <c r="AS8" s="14"/>
    </row>
    <row r="9" spans="1:45">
      <c r="A9" s="21"/>
      <c r="B9" s="21"/>
      <c r="C9" s="22" t="s">
        <v>44</v>
      </c>
      <c r="D9" s="22" t="s">
        <v>43</v>
      </c>
      <c r="E9" s="22"/>
      <c r="F9" s="22"/>
      <c r="G9" s="14"/>
      <c r="H9" s="23">
        <v>1</v>
      </c>
      <c r="I9" s="23">
        <v>1</v>
      </c>
      <c r="J9" s="23">
        <v>1</v>
      </c>
      <c r="K9" s="23">
        <v>1</v>
      </c>
      <c r="L9" s="23">
        <v>1</v>
      </c>
      <c r="M9" s="23">
        <v>1</v>
      </c>
      <c r="N9" s="23">
        <v>1</v>
      </c>
      <c r="O9" s="23">
        <v>1</v>
      </c>
      <c r="P9" s="23">
        <v>1</v>
      </c>
      <c r="Q9" s="23">
        <v>1</v>
      </c>
      <c r="R9" s="23">
        <v>1</v>
      </c>
      <c r="S9" s="23">
        <v>1</v>
      </c>
      <c r="T9" s="23">
        <v>1</v>
      </c>
      <c r="U9" s="23">
        <v>1</v>
      </c>
      <c r="V9" s="23">
        <v>1</v>
      </c>
      <c r="W9" s="23">
        <v>1</v>
      </c>
      <c r="X9" s="23">
        <v>1</v>
      </c>
      <c r="Y9" s="23">
        <v>1</v>
      </c>
      <c r="Z9" s="23">
        <v>1</v>
      </c>
      <c r="AA9" s="23">
        <v>1</v>
      </c>
      <c r="AB9" s="23">
        <v>1</v>
      </c>
      <c r="AC9" s="23">
        <v>1</v>
      </c>
      <c r="AD9" s="23">
        <v>1</v>
      </c>
      <c r="AE9" s="23">
        <v>1</v>
      </c>
      <c r="AF9" s="23">
        <v>1</v>
      </c>
      <c r="AG9" s="23">
        <v>1</v>
      </c>
      <c r="AH9" s="23">
        <v>1</v>
      </c>
      <c r="AI9" s="23">
        <v>1</v>
      </c>
      <c r="AJ9" s="23">
        <v>1</v>
      </c>
      <c r="AK9" s="23">
        <v>1</v>
      </c>
      <c r="AL9" s="23">
        <v>1</v>
      </c>
      <c r="AM9" s="14"/>
      <c r="AN9" s="23">
        <v>1</v>
      </c>
      <c r="AO9" s="14"/>
      <c r="AP9" s="14"/>
      <c r="AQ9" s="14"/>
      <c r="AR9" s="14"/>
      <c r="AS9" s="14"/>
    </row>
    <row r="10" spans="1:45">
      <c r="A10" s="21"/>
      <c r="B10" s="21"/>
      <c r="C10" s="22" t="s">
        <v>45</v>
      </c>
      <c r="D10" s="22" t="s">
        <v>43</v>
      </c>
      <c r="E10" s="22"/>
      <c r="F10" s="22"/>
      <c r="G10" s="14"/>
      <c r="H10" s="23">
        <v>0.9621621621621621</v>
      </c>
      <c r="I10" s="23">
        <v>0.97657657657657659</v>
      </c>
      <c r="J10" s="23">
        <v>0.97657657657657659</v>
      </c>
      <c r="K10" s="23">
        <v>0.98288288288288284</v>
      </c>
      <c r="L10" s="23">
        <v>0.98288288288288284</v>
      </c>
      <c r="M10" s="23">
        <v>0.9747747747747747</v>
      </c>
      <c r="N10" s="23">
        <v>0.97837837837837838</v>
      </c>
      <c r="O10" s="23">
        <v>0.95855855855855854</v>
      </c>
      <c r="P10" s="23">
        <v>0.95855855855855854</v>
      </c>
      <c r="Q10" s="23">
        <v>0.98288288288288284</v>
      </c>
      <c r="R10" s="23">
        <v>0.98288288288288284</v>
      </c>
      <c r="S10" s="23">
        <v>0.98288288288288284</v>
      </c>
      <c r="T10" s="23">
        <v>0.98288288288288284</v>
      </c>
      <c r="U10" s="23">
        <v>0.97657657657657659</v>
      </c>
      <c r="V10" s="23">
        <v>0.97657657657657659</v>
      </c>
      <c r="W10" s="23">
        <v>0.97657657657657659</v>
      </c>
      <c r="X10" s="23">
        <v>0.95315315315315308</v>
      </c>
      <c r="Y10" s="23">
        <v>0.96036036036036032</v>
      </c>
      <c r="Z10" s="23">
        <v>0.95675675675675675</v>
      </c>
      <c r="AA10" s="23">
        <v>0.97117117117117113</v>
      </c>
      <c r="AB10" s="23">
        <v>0.97117117117117113</v>
      </c>
      <c r="AC10" s="23">
        <v>0.98378378378378373</v>
      </c>
      <c r="AD10" s="23">
        <v>0.98378378378378373</v>
      </c>
      <c r="AE10" s="23">
        <v>0.98378378378378373</v>
      </c>
      <c r="AF10" s="23">
        <v>0.98378378378378373</v>
      </c>
      <c r="AG10" s="23">
        <v>0.98378378378378373</v>
      </c>
      <c r="AH10" s="23">
        <v>0.98378378378378373</v>
      </c>
      <c r="AI10" s="23">
        <v>1</v>
      </c>
      <c r="AJ10" s="23">
        <v>0.96036036036036032</v>
      </c>
      <c r="AK10" s="23">
        <v>0.98558558558558562</v>
      </c>
      <c r="AL10" s="23">
        <v>0.98558558558558562</v>
      </c>
      <c r="AM10" s="14"/>
      <c r="AN10" s="23">
        <v>0.97117117117117113</v>
      </c>
      <c r="AO10" s="14"/>
      <c r="AP10" s="24"/>
      <c r="AQ10" s="24"/>
      <c r="AR10" s="24"/>
      <c r="AS10" s="14"/>
    </row>
    <row r="11" spans="1:45">
      <c r="A11" s="21"/>
      <c r="B11" s="21"/>
      <c r="C11" s="22" t="s">
        <v>46</v>
      </c>
      <c r="D11" s="22" t="s">
        <v>43</v>
      </c>
      <c r="E11" s="22"/>
      <c r="F11" s="22"/>
      <c r="G11" s="14"/>
      <c r="H11" s="23">
        <v>1</v>
      </c>
      <c r="I11" s="23">
        <v>1</v>
      </c>
      <c r="J11" s="23">
        <v>1</v>
      </c>
      <c r="K11" s="23">
        <v>1</v>
      </c>
      <c r="L11" s="23">
        <v>1</v>
      </c>
      <c r="M11" s="23">
        <v>1</v>
      </c>
      <c r="N11" s="23">
        <v>1</v>
      </c>
      <c r="O11" s="23">
        <v>1</v>
      </c>
      <c r="P11" s="23">
        <v>1</v>
      </c>
      <c r="Q11" s="23">
        <v>1</v>
      </c>
      <c r="R11" s="23">
        <v>1</v>
      </c>
      <c r="S11" s="23">
        <v>1</v>
      </c>
      <c r="T11" s="23">
        <v>1</v>
      </c>
      <c r="U11" s="23">
        <v>1</v>
      </c>
      <c r="V11" s="23">
        <v>1</v>
      </c>
      <c r="W11" s="23">
        <v>1</v>
      </c>
      <c r="X11" s="23">
        <v>1</v>
      </c>
      <c r="Y11" s="23">
        <v>1</v>
      </c>
      <c r="Z11" s="23">
        <v>1</v>
      </c>
      <c r="AA11" s="23">
        <v>1</v>
      </c>
      <c r="AB11" s="23">
        <v>1</v>
      </c>
      <c r="AC11" s="23">
        <v>1</v>
      </c>
      <c r="AD11" s="23">
        <v>1</v>
      </c>
      <c r="AE11" s="23">
        <v>1</v>
      </c>
      <c r="AF11" s="23">
        <v>1</v>
      </c>
      <c r="AG11" s="23">
        <v>1</v>
      </c>
      <c r="AH11" s="23">
        <v>1</v>
      </c>
      <c r="AI11" s="23">
        <v>1</v>
      </c>
      <c r="AJ11" s="23">
        <v>1</v>
      </c>
      <c r="AK11" s="23">
        <v>1</v>
      </c>
      <c r="AL11" s="23">
        <v>1</v>
      </c>
      <c r="AM11" s="25"/>
      <c r="AN11" s="23">
        <v>1</v>
      </c>
      <c r="AO11" s="14"/>
      <c r="AP11" s="24" t="s">
        <v>47</v>
      </c>
      <c r="AQ11" s="24" t="s">
        <v>48</v>
      </c>
      <c r="AR11" s="24" t="s">
        <v>49</v>
      </c>
      <c r="AS11" s="14" t="s">
        <v>50</v>
      </c>
    </row>
    <row r="12" spans="1:45">
      <c r="A12" s="21"/>
      <c r="B12" s="21"/>
      <c r="C12" s="22" t="s">
        <v>51</v>
      </c>
      <c r="D12" s="22" t="s">
        <v>43</v>
      </c>
      <c r="E12" s="22"/>
      <c r="F12" s="22"/>
      <c r="G12" s="14"/>
      <c r="H12" s="23">
        <v>1.1702702702702701</v>
      </c>
      <c r="I12" s="23">
        <v>1.1054054054054054</v>
      </c>
      <c r="J12" s="23">
        <v>1.1054054054054054</v>
      </c>
      <c r="K12" s="23">
        <v>1.077027027027027</v>
      </c>
      <c r="L12" s="23">
        <v>1.077027027027027</v>
      </c>
      <c r="M12" s="23">
        <v>1.1135135135135135</v>
      </c>
      <c r="N12" s="23">
        <v>1.0972972972972972</v>
      </c>
      <c r="O12" s="23">
        <v>1.1864864864864864</v>
      </c>
      <c r="P12" s="23">
        <v>1.1864864864864864</v>
      </c>
      <c r="Q12" s="23">
        <v>1.077027027027027</v>
      </c>
      <c r="R12" s="23">
        <v>1.077027027027027</v>
      </c>
      <c r="S12" s="23">
        <v>1.077027027027027</v>
      </c>
      <c r="T12" s="23">
        <v>1.077027027027027</v>
      </c>
      <c r="U12" s="23">
        <v>1.1054054054054054</v>
      </c>
      <c r="V12" s="23">
        <v>1.1054054054054054</v>
      </c>
      <c r="W12" s="23">
        <v>1.1054054054054054</v>
      </c>
      <c r="X12" s="23">
        <v>1.2108108108108107</v>
      </c>
      <c r="Y12" s="23">
        <v>1.1783783783783783</v>
      </c>
      <c r="Z12" s="23">
        <v>1.1945945945945944</v>
      </c>
      <c r="AA12" s="23">
        <v>1.1297297297297297</v>
      </c>
      <c r="AB12" s="23">
        <v>1.1297297297297297</v>
      </c>
      <c r="AC12" s="23">
        <v>1.0729729729729729</v>
      </c>
      <c r="AD12" s="23">
        <v>1.0729729729729729</v>
      </c>
      <c r="AE12" s="23">
        <v>1.0729729729729729</v>
      </c>
      <c r="AF12" s="23">
        <v>1.0729729729729729</v>
      </c>
      <c r="AG12" s="23">
        <v>1.0729729729729729</v>
      </c>
      <c r="AH12" s="23">
        <v>1.0729729729729729</v>
      </c>
      <c r="AI12" s="23">
        <v>1</v>
      </c>
      <c r="AJ12" s="23">
        <v>1.1783783783783783</v>
      </c>
      <c r="AK12" s="23">
        <v>1.0648648648648649</v>
      </c>
      <c r="AL12" s="23">
        <v>1.0648648648648649</v>
      </c>
      <c r="AM12" s="14"/>
      <c r="AN12" s="23">
        <v>1.1297297297297297</v>
      </c>
      <c r="AO12" s="14"/>
      <c r="AP12" s="24">
        <f>MIN(H12:AH12,AJ12:AL12)</f>
        <v>1.0648648648648649</v>
      </c>
      <c r="AQ12" s="24">
        <f>MAX(H12:AH12,AJ12:AL12)</f>
        <v>1.2108108108108107</v>
      </c>
      <c r="AR12" s="26">
        <f>AVERAGE(H12:AH12,AJ12:AL12)</f>
        <v>1.1110810810810812</v>
      </c>
      <c r="AS12" s="26">
        <f>AVERAGE(H12:AL12)</f>
        <v>1.1074978204010462</v>
      </c>
    </row>
    <row r="13" spans="1:45">
      <c r="A13" s="21"/>
      <c r="B13" s="21"/>
      <c r="C13" s="22" t="s">
        <v>52</v>
      </c>
      <c r="D13" s="22" t="s">
        <v>43</v>
      </c>
      <c r="E13" s="22"/>
      <c r="F13" s="22"/>
      <c r="G13" s="14"/>
      <c r="H13" s="23">
        <v>0.90540540540540548</v>
      </c>
      <c r="I13" s="23">
        <v>0.9414414414414416</v>
      </c>
      <c r="J13" s="23">
        <v>0.9414414414414416</v>
      </c>
      <c r="K13" s="23">
        <v>0.9572072072072072</v>
      </c>
      <c r="L13" s="23">
        <v>0.9572072072072072</v>
      </c>
      <c r="M13" s="23">
        <v>0.93693693693693691</v>
      </c>
      <c r="N13" s="23">
        <v>0.94594594594594594</v>
      </c>
      <c r="O13" s="23">
        <v>0.89639639639639646</v>
      </c>
      <c r="P13" s="23">
        <v>0.89639639639639646</v>
      </c>
      <c r="Q13" s="23">
        <v>0.9572072072072072</v>
      </c>
      <c r="R13" s="23">
        <v>0.9572072072072072</v>
      </c>
      <c r="S13" s="23">
        <v>0.9572072072072072</v>
      </c>
      <c r="T13" s="23">
        <v>0.9572072072072072</v>
      </c>
      <c r="U13" s="23">
        <v>0.94144144144144148</v>
      </c>
      <c r="V13" s="23">
        <v>0.94144144144144148</v>
      </c>
      <c r="W13" s="23">
        <v>0.94144144144144148</v>
      </c>
      <c r="X13" s="23">
        <v>0.88288288288288297</v>
      </c>
      <c r="Y13" s="23">
        <v>0.90090090090090091</v>
      </c>
      <c r="Z13" s="23">
        <v>0.89189189189189189</v>
      </c>
      <c r="AA13" s="23">
        <v>0.927927927927928</v>
      </c>
      <c r="AB13" s="23">
        <v>0.927927927927928</v>
      </c>
      <c r="AC13" s="23">
        <v>0.95945945945945943</v>
      </c>
      <c r="AD13" s="23">
        <v>0.95945945945945943</v>
      </c>
      <c r="AE13" s="23">
        <v>0.95945945945945943</v>
      </c>
      <c r="AF13" s="23">
        <v>0.95945945945945943</v>
      </c>
      <c r="AG13" s="23">
        <v>0.95945945945945943</v>
      </c>
      <c r="AH13" s="23">
        <v>0.95945945945945943</v>
      </c>
      <c r="AI13" s="23">
        <v>1</v>
      </c>
      <c r="AJ13" s="23">
        <v>0.90090090090090091</v>
      </c>
      <c r="AK13" s="23">
        <v>0.963963963963964</v>
      </c>
      <c r="AL13" s="23">
        <v>0.963963963963964</v>
      </c>
      <c r="AM13" s="14"/>
      <c r="AN13" s="23">
        <v>0.927927927927928</v>
      </c>
      <c r="AO13" s="14"/>
      <c r="AP13" s="24"/>
      <c r="AQ13" s="24"/>
      <c r="AR13" s="14"/>
      <c r="AS13" s="14"/>
    </row>
    <row r="14" spans="1:45">
      <c r="A14" s="21"/>
      <c r="B14" s="21"/>
      <c r="C14" s="22" t="s">
        <v>53</v>
      </c>
      <c r="D14" s="22" t="s">
        <v>43</v>
      </c>
      <c r="E14" s="22"/>
      <c r="F14" s="22"/>
      <c r="G14" s="14"/>
      <c r="H14" s="23">
        <v>0.99054054054054053</v>
      </c>
      <c r="I14" s="23">
        <v>0.9941441441441442</v>
      </c>
      <c r="J14" s="23">
        <v>0.9941441441441442</v>
      </c>
      <c r="K14" s="23">
        <v>0.99572072072072071</v>
      </c>
      <c r="L14" s="23">
        <v>0.99572072072072071</v>
      </c>
      <c r="M14" s="23">
        <v>0.99369369369369365</v>
      </c>
      <c r="N14" s="23">
        <v>0.99459459459459465</v>
      </c>
      <c r="O14" s="23">
        <v>0.98963963963963963</v>
      </c>
      <c r="P14" s="23">
        <v>0.98963963963963963</v>
      </c>
      <c r="Q14" s="23">
        <v>0.99572072072072071</v>
      </c>
      <c r="R14" s="23">
        <v>0.99572072072072071</v>
      </c>
      <c r="S14" s="23">
        <v>0.99572072072072071</v>
      </c>
      <c r="T14" s="23">
        <v>0.99572072072072071</v>
      </c>
      <c r="U14" s="23">
        <v>0.99414414414414409</v>
      </c>
      <c r="V14" s="23">
        <v>0.99414414414414409</v>
      </c>
      <c r="W14" s="23">
        <v>0.99414414414414409</v>
      </c>
      <c r="X14" s="23">
        <v>0.9882882882882883</v>
      </c>
      <c r="Y14" s="23">
        <v>0.99009009009009008</v>
      </c>
      <c r="Z14" s="23">
        <v>0.98918918918918919</v>
      </c>
      <c r="AA14" s="23">
        <v>0.99279279279279276</v>
      </c>
      <c r="AB14" s="23">
        <v>0.99279279279279276</v>
      </c>
      <c r="AC14" s="23">
        <v>0.99594594594594588</v>
      </c>
      <c r="AD14" s="23">
        <v>0.99594594594594588</v>
      </c>
      <c r="AE14" s="23">
        <v>0.99594594594594588</v>
      </c>
      <c r="AF14" s="23">
        <v>0.99594594594594588</v>
      </c>
      <c r="AG14" s="23">
        <v>0.99594594594594588</v>
      </c>
      <c r="AH14" s="23">
        <v>0.99594594594594588</v>
      </c>
      <c r="AI14" s="23">
        <v>1</v>
      </c>
      <c r="AJ14" s="23">
        <v>0.99009009009009008</v>
      </c>
      <c r="AK14" s="23">
        <v>0.99639639639639643</v>
      </c>
      <c r="AL14" s="23">
        <v>0.99639639639639643</v>
      </c>
      <c r="AM14" s="14"/>
      <c r="AN14" s="23">
        <v>0.99279279279279276</v>
      </c>
      <c r="AO14" s="14"/>
      <c r="AP14" s="24"/>
      <c r="AQ14" s="24"/>
      <c r="AR14" s="14"/>
      <c r="AS14" s="14"/>
    </row>
    <row r="15" spans="1:45">
      <c r="A15" s="21"/>
      <c r="B15" s="21"/>
      <c r="C15" s="22" t="s">
        <v>54</v>
      </c>
      <c r="D15" s="22" t="s">
        <v>43</v>
      </c>
      <c r="E15" s="22"/>
      <c r="F15" s="22"/>
      <c r="G15" s="14"/>
      <c r="H15" s="23">
        <v>0.95270270270270263</v>
      </c>
      <c r="I15" s="23">
        <v>0.97072072072072069</v>
      </c>
      <c r="J15" s="23">
        <v>0.97072072072072069</v>
      </c>
      <c r="K15" s="23">
        <v>0.97860360360360354</v>
      </c>
      <c r="L15" s="23">
        <v>0.97860360360360354</v>
      </c>
      <c r="M15" s="23">
        <v>0.96846846846846835</v>
      </c>
      <c r="N15" s="23">
        <v>0.97297297297297303</v>
      </c>
      <c r="O15" s="23">
        <v>0.94819819819819817</v>
      </c>
      <c r="P15" s="23">
        <v>0.94819819819819817</v>
      </c>
      <c r="Q15" s="23">
        <v>0.97860360360360354</v>
      </c>
      <c r="R15" s="23">
        <v>0.97860360360360354</v>
      </c>
      <c r="S15" s="23">
        <v>0.97860360360360354</v>
      </c>
      <c r="T15" s="23">
        <v>0.97860360360360354</v>
      </c>
      <c r="U15" s="23">
        <v>0.97072072072072069</v>
      </c>
      <c r="V15" s="23">
        <v>0.97072072072072069</v>
      </c>
      <c r="W15" s="23">
        <v>0.97072072072072069</v>
      </c>
      <c r="X15" s="23">
        <v>0.94144144144144137</v>
      </c>
      <c r="Y15" s="23">
        <v>0.9504504504504504</v>
      </c>
      <c r="Z15" s="23">
        <v>0.94594594594594594</v>
      </c>
      <c r="AA15" s="23">
        <v>0.96396396396396389</v>
      </c>
      <c r="AB15" s="23">
        <v>0.96396396396396389</v>
      </c>
      <c r="AC15" s="23">
        <v>0.97972972972972971</v>
      </c>
      <c r="AD15" s="23">
        <v>0.97972972972972971</v>
      </c>
      <c r="AE15" s="23">
        <v>0.97972972972972971</v>
      </c>
      <c r="AF15" s="23">
        <v>0.97972972972972971</v>
      </c>
      <c r="AG15" s="23">
        <v>0.97972972972972971</v>
      </c>
      <c r="AH15" s="23">
        <v>0.97972972972972971</v>
      </c>
      <c r="AI15" s="23">
        <v>1</v>
      </c>
      <c r="AJ15" s="23">
        <v>0.9504504504504504</v>
      </c>
      <c r="AK15" s="23">
        <v>0.98198198198198205</v>
      </c>
      <c r="AL15" s="23">
        <v>0.98198198198198205</v>
      </c>
      <c r="AM15" s="14"/>
      <c r="AN15" s="23">
        <v>0.96396396396396389</v>
      </c>
      <c r="AO15" s="14"/>
      <c r="AP15" s="24"/>
      <c r="AQ15" s="24"/>
      <c r="AR15" s="27"/>
      <c r="AS15" s="14"/>
    </row>
    <row r="16" spans="1:45">
      <c r="A16" s="21"/>
      <c r="B16" s="21"/>
      <c r="C16" s="22" t="s">
        <v>55</v>
      </c>
      <c r="D16" s="22" t="s">
        <v>43</v>
      </c>
      <c r="E16" s="22"/>
      <c r="F16" s="22"/>
      <c r="G16" s="14"/>
      <c r="H16" s="23">
        <v>0.97162162162162158</v>
      </c>
      <c r="I16" s="23">
        <v>0.9824324324324325</v>
      </c>
      <c r="J16" s="23">
        <v>0.9824324324324325</v>
      </c>
      <c r="K16" s="23">
        <v>0.98716216216216213</v>
      </c>
      <c r="L16" s="23">
        <v>0.98716216216216213</v>
      </c>
      <c r="M16" s="23">
        <v>0.98108108108108105</v>
      </c>
      <c r="N16" s="23">
        <v>0.98378378378378373</v>
      </c>
      <c r="O16" s="23">
        <v>0.9689189189189189</v>
      </c>
      <c r="P16" s="23">
        <v>0.9689189189189189</v>
      </c>
      <c r="Q16" s="23">
        <v>0.98716216216216213</v>
      </c>
      <c r="R16" s="23">
        <v>0.98716216216216213</v>
      </c>
      <c r="S16" s="23">
        <v>0.98716216216216213</v>
      </c>
      <c r="T16" s="23">
        <v>0.98716216216216213</v>
      </c>
      <c r="U16" s="23">
        <v>0.9824324324324325</v>
      </c>
      <c r="V16" s="23">
        <v>0.9824324324324325</v>
      </c>
      <c r="W16" s="23">
        <v>0.9824324324324325</v>
      </c>
      <c r="X16" s="23">
        <v>0.96486486486486489</v>
      </c>
      <c r="Y16" s="23">
        <v>0.97027027027027024</v>
      </c>
      <c r="Z16" s="23">
        <v>0.96756756756756757</v>
      </c>
      <c r="AA16" s="23">
        <v>0.97837837837837838</v>
      </c>
      <c r="AB16" s="23">
        <v>0.97837837837837838</v>
      </c>
      <c r="AC16" s="23">
        <v>0.98783783783783785</v>
      </c>
      <c r="AD16" s="23">
        <v>0.98783783783783785</v>
      </c>
      <c r="AE16" s="23">
        <v>0.98783783783783785</v>
      </c>
      <c r="AF16" s="23">
        <v>0.98783783783783785</v>
      </c>
      <c r="AG16" s="23">
        <v>0.98783783783783785</v>
      </c>
      <c r="AH16" s="23">
        <v>0.98783783783783785</v>
      </c>
      <c r="AI16" s="23">
        <v>1</v>
      </c>
      <c r="AJ16" s="23">
        <v>0.97027027027027024</v>
      </c>
      <c r="AK16" s="23">
        <v>0.9891891891891893</v>
      </c>
      <c r="AL16" s="23">
        <v>0.9891891891891893</v>
      </c>
      <c r="AM16" s="25"/>
      <c r="AN16" s="23">
        <v>0.97837837837837838</v>
      </c>
      <c r="AO16" s="14"/>
      <c r="AP16" s="24"/>
      <c r="AQ16" s="24"/>
      <c r="AR16" s="14"/>
      <c r="AS16" s="14"/>
    </row>
    <row r="17" spans="1:45">
      <c r="A17" s="21"/>
      <c r="B17" s="21"/>
      <c r="C17" s="22" t="s">
        <v>56</v>
      </c>
      <c r="D17" s="22" t="s">
        <v>43</v>
      </c>
      <c r="E17" s="22"/>
      <c r="F17" s="22"/>
      <c r="G17" s="14"/>
      <c r="H17" s="23">
        <v>0.95270270270270263</v>
      </c>
      <c r="I17" s="23">
        <v>0.97072072072072069</v>
      </c>
      <c r="J17" s="23">
        <v>0.97072072072072069</v>
      </c>
      <c r="K17" s="23">
        <v>0.97860360360360354</v>
      </c>
      <c r="L17" s="23">
        <v>0.97860360360360354</v>
      </c>
      <c r="M17" s="23">
        <v>0.96846846846846835</v>
      </c>
      <c r="N17" s="23">
        <v>0.97297297297297303</v>
      </c>
      <c r="O17" s="23">
        <v>0.94819819819819817</v>
      </c>
      <c r="P17" s="23">
        <v>0.94819819819819817</v>
      </c>
      <c r="Q17" s="23">
        <v>0.97860360360360354</v>
      </c>
      <c r="R17" s="23">
        <v>0.97860360360360354</v>
      </c>
      <c r="S17" s="23">
        <v>0.97860360360360354</v>
      </c>
      <c r="T17" s="23">
        <v>0.97860360360360354</v>
      </c>
      <c r="U17" s="23">
        <v>0.97072072072072069</v>
      </c>
      <c r="V17" s="23">
        <v>0.97072072072072069</v>
      </c>
      <c r="W17" s="23">
        <v>0.97072072072072069</v>
      </c>
      <c r="X17" s="23">
        <v>0.94144144144144137</v>
      </c>
      <c r="Y17" s="23">
        <v>0.9504504504504504</v>
      </c>
      <c r="Z17" s="23">
        <v>0.94594594594594594</v>
      </c>
      <c r="AA17" s="23">
        <v>0.96396396396396389</v>
      </c>
      <c r="AB17" s="23">
        <v>0.96396396396396389</v>
      </c>
      <c r="AC17" s="23">
        <v>0.97972972972972971</v>
      </c>
      <c r="AD17" s="23">
        <v>0.97972972972972971</v>
      </c>
      <c r="AE17" s="23">
        <v>0.97972972972972971</v>
      </c>
      <c r="AF17" s="23">
        <v>0.97972972972972971</v>
      </c>
      <c r="AG17" s="23">
        <v>0.97972972972972971</v>
      </c>
      <c r="AH17" s="23">
        <v>0.97972972972972971</v>
      </c>
      <c r="AI17" s="23">
        <v>1</v>
      </c>
      <c r="AJ17" s="23">
        <v>0.9504504504504504</v>
      </c>
      <c r="AK17" s="23">
        <v>0.98198198198198205</v>
      </c>
      <c r="AL17" s="23">
        <v>0.98198198198198205</v>
      </c>
      <c r="AM17" s="14"/>
      <c r="AN17" s="23">
        <v>0.96396396396396389</v>
      </c>
      <c r="AO17" s="14"/>
      <c r="AP17" s="24"/>
      <c r="AQ17" s="24"/>
      <c r="AR17" s="14"/>
      <c r="AS17" s="14"/>
    </row>
    <row r="18" spans="1:45">
      <c r="A18" s="21"/>
      <c r="B18" s="21"/>
      <c r="C18" s="22" t="s">
        <v>57</v>
      </c>
      <c r="D18" s="22" t="s">
        <v>43</v>
      </c>
      <c r="E18" s="22"/>
      <c r="F18" s="22"/>
      <c r="G18" s="14"/>
      <c r="H18" s="23">
        <v>1.0756756756756758</v>
      </c>
      <c r="I18" s="23">
        <v>1.0468468468468468</v>
      </c>
      <c r="J18" s="23">
        <v>1.0468468468468468</v>
      </c>
      <c r="K18" s="23">
        <v>1.0342342342342343</v>
      </c>
      <c r="L18" s="23">
        <v>1.0342342342342343</v>
      </c>
      <c r="M18" s="23">
        <v>1.0504504504504504</v>
      </c>
      <c r="N18" s="23">
        <v>1.0432432432432432</v>
      </c>
      <c r="O18" s="23">
        <v>1.0828828828828829</v>
      </c>
      <c r="P18" s="23">
        <v>1.0828828828828829</v>
      </c>
      <c r="Q18" s="23">
        <v>1.0342342342342343</v>
      </c>
      <c r="R18" s="23">
        <v>1.0342342342342343</v>
      </c>
      <c r="S18" s="23">
        <v>1.0342342342342343</v>
      </c>
      <c r="T18" s="23">
        <v>1.0342342342342343</v>
      </c>
      <c r="U18" s="23">
        <v>1.0468468468468468</v>
      </c>
      <c r="V18" s="23">
        <v>1.0468468468468468</v>
      </c>
      <c r="W18" s="23">
        <v>1.0468468468468468</v>
      </c>
      <c r="X18" s="23">
        <v>1.0936936936936936</v>
      </c>
      <c r="Y18" s="23">
        <v>1.0792792792792794</v>
      </c>
      <c r="Z18" s="23">
        <v>1.0864864864864865</v>
      </c>
      <c r="AA18" s="23">
        <v>1.0576576576576577</v>
      </c>
      <c r="AB18" s="23">
        <v>1.0576576576576577</v>
      </c>
      <c r="AC18" s="23">
        <v>1.0324324324324325</v>
      </c>
      <c r="AD18" s="23">
        <v>1.0324324324324325</v>
      </c>
      <c r="AE18" s="23">
        <v>1.0324324324324325</v>
      </c>
      <c r="AF18" s="23">
        <v>1.0324324324324325</v>
      </c>
      <c r="AG18" s="23">
        <v>1.0324324324324325</v>
      </c>
      <c r="AH18" s="23">
        <v>1.0324324324324325</v>
      </c>
      <c r="AI18" s="23">
        <v>1</v>
      </c>
      <c r="AJ18" s="23">
        <v>1.0792792792792794</v>
      </c>
      <c r="AK18" s="23">
        <v>1.028828828828829</v>
      </c>
      <c r="AL18" s="23">
        <v>1.028828828828829</v>
      </c>
      <c r="AM18" s="28"/>
      <c r="AN18" s="23">
        <v>1.0576576576576577</v>
      </c>
      <c r="AO18" s="28"/>
      <c r="AP18" s="24"/>
      <c r="AQ18" s="24"/>
      <c r="AR18" s="14"/>
      <c r="AS18" s="28"/>
    </row>
    <row r="19" spans="1:45">
      <c r="A19" s="21"/>
      <c r="B19" s="21"/>
      <c r="C19" s="22" t="s">
        <v>58</v>
      </c>
      <c r="D19" s="22" t="s">
        <v>43</v>
      </c>
      <c r="E19" s="22"/>
      <c r="F19" s="22"/>
      <c r="G19" s="29"/>
      <c r="H19" s="23">
        <v>1.0662162162162163</v>
      </c>
      <c r="I19" s="23">
        <v>1.0409909909909911</v>
      </c>
      <c r="J19" s="23">
        <v>1.0409909909909911</v>
      </c>
      <c r="K19" s="23">
        <v>1.0299549549549549</v>
      </c>
      <c r="L19" s="23">
        <v>1.0299549549549549</v>
      </c>
      <c r="M19" s="23">
        <v>1.0441441441441441</v>
      </c>
      <c r="N19" s="23">
        <v>1.0378378378378379</v>
      </c>
      <c r="O19" s="23">
        <v>1.0725225225225226</v>
      </c>
      <c r="P19" s="23">
        <v>1.0725225225225226</v>
      </c>
      <c r="Q19" s="23">
        <v>1.0299549549549549</v>
      </c>
      <c r="R19" s="23">
        <v>1.0299549549549549</v>
      </c>
      <c r="S19" s="23">
        <v>1.0299549549549549</v>
      </c>
      <c r="T19" s="23">
        <v>1.0299549549549549</v>
      </c>
      <c r="U19" s="23">
        <v>1.0409909909909909</v>
      </c>
      <c r="V19" s="23">
        <v>1.0409909909909909</v>
      </c>
      <c r="W19" s="23">
        <v>1.0409909909909909</v>
      </c>
      <c r="X19" s="23">
        <v>1.081981981981982</v>
      </c>
      <c r="Y19" s="23">
        <v>1.0693693693693693</v>
      </c>
      <c r="Z19" s="23">
        <v>1.0756756756756758</v>
      </c>
      <c r="AA19" s="23">
        <v>1.0504504504504504</v>
      </c>
      <c r="AB19" s="23">
        <v>1.0504504504504504</v>
      </c>
      <c r="AC19" s="23">
        <v>1.0283783783783784</v>
      </c>
      <c r="AD19" s="23">
        <v>1.0283783783783784</v>
      </c>
      <c r="AE19" s="23">
        <v>1.0283783783783784</v>
      </c>
      <c r="AF19" s="23">
        <v>1.0283783783783784</v>
      </c>
      <c r="AG19" s="23">
        <v>1.0283783783783784</v>
      </c>
      <c r="AH19" s="23">
        <v>1.0283783783783784</v>
      </c>
      <c r="AI19" s="23">
        <v>1</v>
      </c>
      <c r="AJ19" s="23">
        <v>1.0693693693693693</v>
      </c>
      <c r="AK19" s="23">
        <v>1.0252252252252254</v>
      </c>
      <c r="AL19" s="23">
        <v>1.0252252252252254</v>
      </c>
      <c r="AM19" s="21"/>
      <c r="AN19" s="23">
        <v>1.0504504504504504</v>
      </c>
      <c r="AO19" s="14"/>
      <c r="AP19" s="24"/>
      <c r="AQ19" s="24"/>
      <c r="AR19" s="24"/>
      <c r="AS19" s="14"/>
    </row>
    <row r="20" spans="1:45">
      <c r="A20" s="21"/>
      <c r="B20" s="21"/>
      <c r="C20" s="22" t="s">
        <v>59</v>
      </c>
      <c r="D20" s="22" t="s">
        <v>43</v>
      </c>
      <c r="E20" s="22"/>
      <c r="F20" s="22"/>
      <c r="G20" s="29"/>
      <c r="H20" s="23">
        <v>0.87702702702702706</v>
      </c>
      <c r="I20" s="23">
        <v>0.92387387387387387</v>
      </c>
      <c r="J20" s="23">
        <v>0.92387387387387387</v>
      </c>
      <c r="K20" s="23">
        <v>0.94436936936936933</v>
      </c>
      <c r="L20" s="23">
        <v>0.94436936936936933</v>
      </c>
      <c r="M20" s="23">
        <v>0.91801801801801797</v>
      </c>
      <c r="N20" s="23">
        <v>0.92972972972972967</v>
      </c>
      <c r="O20" s="23">
        <v>0.86531531531531525</v>
      </c>
      <c r="P20" s="23">
        <v>0.86531531531531525</v>
      </c>
      <c r="Q20" s="23">
        <v>0.94436936936936933</v>
      </c>
      <c r="R20" s="23">
        <v>0.94436936936936933</v>
      </c>
      <c r="S20" s="23">
        <v>0.94436936936936933</v>
      </c>
      <c r="T20" s="23">
        <v>0.94436936936936933</v>
      </c>
      <c r="U20" s="23">
        <v>0.92387387387387387</v>
      </c>
      <c r="V20" s="23">
        <v>0.92387387387387387</v>
      </c>
      <c r="W20" s="23">
        <v>0.92387387387387387</v>
      </c>
      <c r="X20" s="23">
        <v>0.84774774774774775</v>
      </c>
      <c r="Y20" s="23">
        <v>0.87117117117117115</v>
      </c>
      <c r="Z20" s="23">
        <v>0.85945945945945934</v>
      </c>
      <c r="AA20" s="23">
        <v>0.90630630630630626</v>
      </c>
      <c r="AB20" s="23">
        <v>0.90630630630630626</v>
      </c>
      <c r="AC20" s="23">
        <v>0.94729729729729728</v>
      </c>
      <c r="AD20" s="23">
        <v>0.94729729729729728</v>
      </c>
      <c r="AE20" s="23">
        <v>0.94729729729729728</v>
      </c>
      <c r="AF20" s="23">
        <v>0.94729729729729728</v>
      </c>
      <c r="AG20" s="23">
        <v>0.94729729729729728</v>
      </c>
      <c r="AH20" s="23">
        <v>0.94729729729729728</v>
      </c>
      <c r="AI20" s="23">
        <v>1</v>
      </c>
      <c r="AJ20" s="23">
        <v>0.87117117117117115</v>
      </c>
      <c r="AK20" s="23">
        <v>0.95315315315315319</v>
      </c>
      <c r="AL20" s="23">
        <v>0.95315315315315319</v>
      </c>
      <c r="AM20" s="30"/>
      <c r="AN20" s="23">
        <v>0.90630630630630626</v>
      </c>
      <c r="AO20" s="14"/>
      <c r="AP20" s="24"/>
      <c r="AQ20" s="24"/>
      <c r="AR20" s="24"/>
      <c r="AS20" s="14"/>
    </row>
    <row r="21" spans="1:45">
      <c r="A21" s="21"/>
      <c r="B21" s="21"/>
      <c r="C21" s="22" t="s">
        <v>60</v>
      </c>
      <c r="D21" s="22" t="s">
        <v>43</v>
      </c>
      <c r="E21" s="22"/>
      <c r="F21" s="22"/>
      <c r="G21" s="14"/>
      <c r="H21" s="23">
        <v>0.95270270270270263</v>
      </c>
      <c r="I21" s="23">
        <v>0.97072072072072069</v>
      </c>
      <c r="J21" s="23">
        <v>0.97072072072072069</v>
      </c>
      <c r="K21" s="23">
        <v>0.97860360360360354</v>
      </c>
      <c r="L21" s="23">
        <v>0.97860360360360354</v>
      </c>
      <c r="M21" s="23">
        <v>0.96846846846846835</v>
      </c>
      <c r="N21" s="23">
        <v>0.97297297297297303</v>
      </c>
      <c r="O21" s="23">
        <v>0.94819819819819817</v>
      </c>
      <c r="P21" s="23">
        <v>0.94819819819819817</v>
      </c>
      <c r="Q21" s="23">
        <v>0.97860360360360354</v>
      </c>
      <c r="R21" s="23">
        <v>0.97860360360360354</v>
      </c>
      <c r="S21" s="23">
        <v>0.97860360360360354</v>
      </c>
      <c r="T21" s="23">
        <v>0.97860360360360354</v>
      </c>
      <c r="U21" s="23">
        <v>0.97072072072072069</v>
      </c>
      <c r="V21" s="23">
        <v>0.97072072072072069</v>
      </c>
      <c r="W21" s="23">
        <v>0.97072072072072069</v>
      </c>
      <c r="X21" s="23">
        <v>0.94144144144144137</v>
      </c>
      <c r="Y21" s="23">
        <v>0.9504504504504504</v>
      </c>
      <c r="Z21" s="23">
        <v>0.94594594594594594</v>
      </c>
      <c r="AA21" s="23">
        <v>0.96396396396396389</v>
      </c>
      <c r="AB21" s="23">
        <v>0.96396396396396389</v>
      </c>
      <c r="AC21" s="23">
        <v>0.97972972972972971</v>
      </c>
      <c r="AD21" s="23">
        <v>0.97972972972972971</v>
      </c>
      <c r="AE21" s="23">
        <v>0.97972972972972971</v>
      </c>
      <c r="AF21" s="23">
        <v>0.97972972972972971</v>
      </c>
      <c r="AG21" s="23">
        <v>0.97972972972972971</v>
      </c>
      <c r="AH21" s="23">
        <v>0.97972972972972971</v>
      </c>
      <c r="AI21" s="23">
        <v>1</v>
      </c>
      <c r="AJ21" s="23">
        <v>0.9504504504504504</v>
      </c>
      <c r="AK21" s="23">
        <v>0.98198198198198205</v>
      </c>
      <c r="AL21" s="23">
        <v>0.98198198198198205</v>
      </c>
      <c r="AM21" s="14"/>
      <c r="AN21" s="23">
        <v>0.96396396396396389</v>
      </c>
      <c r="AO21" s="14"/>
      <c r="AP21" s="24"/>
      <c r="AQ21" s="24"/>
      <c r="AR21" s="24"/>
      <c r="AS21" s="14"/>
    </row>
    <row r="22" spans="1:45">
      <c r="A22" s="21"/>
      <c r="B22" s="21"/>
      <c r="C22" s="22" t="s">
        <v>61</v>
      </c>
      <c r="D22" s="22" t="s">
        <v>43</v>
      </c>
      <c r="E22" s="22"/>
      <c r="F22" s="22"/>
      <c r="G22" s="14"/>
      <c r="H22" s="23">
        <v>1.0662162162162163</v>
      </c>
      <c r="I22" s="23">
        <v>1.0409909909909911</v>
      </c>
      <c r="J22" s="23">
        <v>1.0409909909909911</v>
      </c>
      <c r="K22" s="23">
        <v>1.0299549549549549</v>
      </c>
      <c r="L22" s="23">
        <v>1.0299549549549549</v>
      </c>
      <c r="M22" s="23">
        <v>1.0441441441441441</v>
      </c>
      <c r="N22" s="23">
        <v>1.0378378378378379</v>
      </c>
      <c r="O22" s="23">
        <v>1.0725225225225226</v>
      </c>
      <c r="P22" s="23">
        <v>1.0725225225225226</v>
      </c>
      <c r="Q22" s="23">
        <v>1.0299549549549549</v>
      </c>
      <c r="R22" s="23">
        <v>1.0299549549549549</v>
      </c>
      <c r="S22" s="23">
        <v>1.0299549549549549</v>
      </c>
      <c r="T22" s="23">
        <v>1.0299549549549549</v>
      </c>
      <c r="U22" s="23">
        <v>1.0409909909909909</v>
      </c>
      <c r="V22" s="23">
        <v>1.0409909909909909</v>
      </c>
      <c r="W22" s="23">
        <v>1.0409909909909909</v>
      </c>
      <c r="X22" s="23">
        <v>1.081981981981982</v>
      </c>
      <c r="Y22" s="23">
        <v>1.0693693693693693</v>
      </c>
      <c r="Z22" s="23">
        <v>1.0756756756756758</v>
      </c>
      <c r="AA22" s="23">
        <v>1.0504504504504504</v>
      </c>
      <c r="AB22" s="23">
        <v>1.0504504504504504</v>
      </c>
      <c r="AC22" s="23">
        <v>1.0283783783783784</v>
      </c>
      <c r="AD22" s="23">
        <v>1.0283783783783784</v>
      </c>
      <c r="AE22" s="23">
        <v>1.0283783783783784</v>
      </c>
      <c r="AF22" s="23">
        <v>1.0283783783783784</v>
      </c>
      <c r="AG22" s="23">
        <v>1.0283783783783784</v>
      </c>
      <c r="AH22" s="23">
        <v>1.0283783783783784</v>
      </c>
      <c r="AI22" s="23">
        <v>1</v>
      </c>
      <c r="AJ22" s="23">
        <v>1.0693693693693693</v>
      </c>
      <c r="AK22" s="23">
        <v>1.0252252252252254</v>
      </c>
      <c r="AL22" s="23">
        <v>1.0252252252252254</v>
      </c>
      <c r="AM22" s="25"/>
      <c r="AN22" s="23">
        <v>1.0504504504504504</v>
      </c>
      <c r="AO22" s="14"/>
      <c r="AP22" s="24"/>
      <c r="AQ22" s="24"/>
      <c r="AR22" s="24"/>
      <c r="AS22" s="14"/>
    </row>
    <row r="23" spans="1:45">
      <c r="A23" s="31"/>
      <c r="B23" s="31"/>
      <c r="C23" s="32" t="s">
        <v>62</v>
      </c>
      <c r="D23" s="32" t="s">
        <v>43</v>
      </c>
      <c r="E23" s="32"/>
      <c r="F23" s="22"/>
      <c r="G23" s="14"/>
      <c r="H23" s="33">
        <v>0.90540540540540548</v>
      </c>
      <c r="I23" s="33">
        <v>0.9414414414414416</v>
      </c>
      <c r="J23" s="33">
        <v>0.9414414414414416</v>
      </c>
      <c r="K23" s="33">
        <v>0.9572072072072072</v>
      </c>
      <c r="L23" s="33">
        <v>0.9572072072072072</v>
      </c>
      <c r="M23" s="33">
        <v>0.93693693693693691</v>
      </c>
      <c r="N23" s="33">
        <v>0.94594594594594594</v>
      </c>
      <c r="O23" s="33">
        <v>0.89639639639639646</v>
      </c>
      <c r="P23" s="33">
        <v>0.89639639639639646</v>
      </c>
      <c r="Q23" s="33">
        <v>0.9572072072072072</v>
      </c>
      <c r="R23" s="33">
        <v>0.9572072072072072</v>
      </c>
      <c r="S23" s="33">
        <v>0.9572072072072072</v>
      </c>
      <c r="T23" s="33">
        <v>0.9572072072072072</v>
      </c>
      <c r="U23" s="33">
        <v>0.94144144144144148</v>
      </c>
      <c r="V23" s="33">
        <v>0.94144144144144148</v>
      </c>
      <c r="W23" s="33">
        <v>0.94144144144144148</v>
      </c>
      <c r="X23" s="33">
        <v>0.88288288288288297</v>
      </c>
      <c r="Y23" s="33">
        <v>0.90090090090090091</v>
      </c>
      <c r="Z23" s="33">
        <v>0.89189189189189189</v>
      </c>
      <c r="AA23" s="33">
        <v>0.927927927927928</v>
      </c>
      <c r="AB23" s="33">
        <v>0.927927927927928</v>
      </c>
      <c r="AC23" s="33">
        <v>0.95945945945945943</v>
      </c>
      <c r="AD23" s="33">
        <v>0.95945945945945943</v>
      </c>
      <c r="AE23" s="33">
        <v>0.95945945945945943</v>
      </c>
      <c r="AF23" s="33">
        <v>0.95945945945945943</v>
      </c>
      <c r="AG23" s="33">
        <v>0.95945945945945943</v>
      </c>
      <c r="AH23" s="33">
        <v>0.95945945945945943</v>
      </c>
      <c r="AI23" s="33">
        <v>1</v>
      </c>
      <c r="AJ23" s="33">
        <v>0.90090090090090091</v>
      </c>
      <c r="AK23" s="33">
        <v>0.963963963963964</v>
      </c>
      <c r="AL23" s="33">
        <v>0.963963963963964</v>
      </c>
      <c r="AM23" s="25"/>
      <c r="AN23" s="33">
        <v>0.927927927927928</v>
      </c>
      <c r="AO23" s="14"/>
      <c r="AP23" s="24"/>
      <c r="AQ23" s="24"/>
      <c r="AR23" s="24"/>
      <c r="AS23" s="14"/>
    </row>
    <row r="25" spans="1:45">
      <c r="A25" s="53" t="s">
        <v>63</v>
      </c>
    </row>
    <row r="26" spans="1:45">
      <c r="B26" s="131" t="s">
        <v>64</v>
      </c>
      <c r="E26" s="34" t="s">
        <v>65</v>
      </c>
    </row>
    <row r="27" spans="1:45">
      <c r="B27" s="35" t="s">
        <v>66</v>
      </c>
      <c r="C27" s="35" t="s">
        <v>67</v>
      </c>
      <c r="D27" s="35" t="s">
        <v>2</v>
      </c>
      <c r="E27" s="36" t="s">
        <v>2</v>
      </c>
      <c r="G27" s="35" t="str">
        <f>AN7</f>
        <v>Fixed O&amp;M</v>
      </c>
      <c r="I27" s="53" t="s">
        <v>68</v>
      </c>
    </row>
    <row r="28" spans="1:45">
      <c r="A28" s="131" t="str">
        <f>C12</f>
        <v>California</v>
      </c>
      <c r="B28" s="35">
        <v>1.0649</v>
      </c>
      <c r="C28" s="35">
        <v>1.2108000000000001</v>
      </c>
      <c r="D28" s="37">
        <v>1.111</v>
      </c>
      <c r="E28" s="38">
        <v>1.107</v>
      </c>
      <c r="G28" s="5">
        <f>AN12</f>
        <v>1.1297297297297297</v>
      </c>
      <c r="I28" s="9">
        <f>AVERAGE(D28,G28)</f>
        <v>1.120364864864865</v>
      </c>
    </row>
  </sheetData>
  <hyperlinks>
    <hyperlink ref="B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F29" sqref="F29"/>
    </sheetView>
  </sheetViews>
  <sheetFormatPr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zoomScaleNormal="100" workbookViewId="0">
      <selection activeCell="K39" sqref="K39"/>
    </sheetView>
  </sheetViews>
  <sheetFormatPr defaultRowHeight="14.25"/>
  <sheetData>
    <row r="1" spans="1:3">
      <c r="A1" s="53" t="s">
        <v>307</v>
      </c>
    </row>
    <row r="3" spans="1:3">
      <c r="A3" t="s">
        <v>305</v>
      </c>
    </row>
    <row r="4" spans="1:3">
      <c r="A4" t="s">
        <v>306</v>
      </c>
    </row>
    <row r="6" spans="1:3">
      <c r="A6" s="53" t="s">
        <v>322</v>
      </c>
    </row>
    <row r="8" spans="1:3">
      <c r="A8" t="s">
        <v>323</v>
      </c>
    </row>
    <row r="10" spans="1:3">
      <c r="A10" t="s">
        <v>324</v>
      </c>
    </row>
    <row r="12" spans="1:3">
      <c r="A12" t="s">
        <v>360</v>
      </c>
    </row>
    <row r="14" spans="1:3" s="131" customFormat="1">
      <c r="A14" s="131" t="s">
        <v>365</v>
      </c>
      <c r="C14" s="131">
        <v>12</v>
      </c>
    </row>
    <row r="16" spans="1:3">
      <c r="A16" s="53" t="s">
        <v>315</v>
      </c>
    </row>
    <row r="18" spans="1:1">
      <c r="A18" t="s">
        <v>308</v>
      </c>
    </row>
    <row r="19" spans="1:1">
      <c r="A19" t="s">
        <v>309</v>
      </c>
    </row>
    <row r="21" spans="1:1">
      <c r="A21" t="s">
        <v>310</v>
      </c>
    </row>
    <row r="23" spans="1:1">
      <c r="A23" t="s">
        <v>311</v>
      </c>
    </row>
    <row r="24" spans="1:1">
      <c r="A24" t="s">
        <v>312</v>
      </c>
    </row>
    <row r="26" spans="1:1">
      <c r="A26" t="s">
        <v>313</v>
      </c>
    </row>
    <row r="27" spans="1:1">
      <c r="A27" t="s">
        <v>314</v>
      </c>
    </row>
    <row r="29" spans="1:1">
      <c r="A29" s="53" t="s">
        <v>325</v>
      </c>
    </row>
    <row r="30" spans="1:1">
      <c r="A30" t="s">
        <v>326</v>
      </c>
    </row>
    <row r="32" spans="1:1">
      <c r="A32" t="s">
        <v>327</v>
      </c>
    </row>
    <row r="33" spans="1:6">
      <c r="A33" s="131" t="s">
        <v>328</v>
      </c>
    </row>
    <row r="34" spans="1:6">
      <c r="A34" s="3" t="s">
        <v>164</v>
      </c>
    </row>
    <row r="36" spans="1:6">
      <c r="A36" s="53" t="s">
        <v>352</v>
      </c>
    </row>
    <row r="37" spans="1:6">
      <c r="A37" s="131" t="s">
        <v>614</v>
      </c>
    </row>
    <row r="38" spans="1:6" s="131" customFormat="1"/>
    <row r="39" spans="1:6" s="131" customFormat="1">
      <c r="A39" s="53" t="s">
        <v>615</v>
      </c>
    </row>
    <row r="40" spans="1:6" s="131" customFormat="1">
      <c r="A40" s="54" t="s">
        <v>616</v>
      </c>
    </row>
    <row r="41" spans="1:6" s="131" customFormat="1">
      <c r="A41" s="54" t="s">
        <v>617</v>
      </c>
    </row>
    <row r="43" spans="1:6">
      <c r="A43" s="59" t="s">
        <v>381</v>
      </c>
      <c r="B43" s="45"/>
      <c r="C43" s="45"/>
      <c r="D43" s="45"/>
      <c r="E43" s="45"/>
      <c r="F43" s="45"/>
    </row>
    <row r="46" spans="1:6">
      <c r="A46" t="s">
        <v>294</v>
      </c>
      <c r="D46">
        <f>0.817</f>
        <v>0.81699999999999995</v>
      </c>
    </row>
    <row r="47" spans="1:6">
      <c r="A47" t="s">
        <v>320</v>
      </c>
    </row>
    <row r="88" spans="1:1">
      <c r="A88">
        <v>1</v>
      </c>
    </row>
    <row r="89" spans="1:1">
      <c r="A89" s="47" t="s">
        <v>71</v>
      </c>
    </row>
    <row r="90" spans="1:1">
      <c r="A90" t="s">
        <v>73</v>
      </c>
    </row>
    <row r="92" spans="1:1">
      <c r="A92">
        <v>2</v>
      </c>
    </row>
    <row r="94" spans="1:1">
      <c r="A94" s="39" t="s">
        <v>90</v>
      </c>
    </row>
    <row r="95" spans="1:1">
      <c r="A95" s="40" t="s">
        <v>89</v>
      </c>
    </row>
    <row r="97" spans="1:1">
      <c r="A97" t="s">
        <v>85</v>
      </c>
    </row>
    <row r="98" spans="1:1">
      <c r="A98" t="s">
        <v>76</v>
      </c>
    </row>
    <row r="99" spans="1:1">
      <c r="A99" t="s">
        <v>75</v>
      </c>
    </row>
    <row r="100" spans="1:1">
      <c r="A100" t="s">
        <v>74</v>
      </c>
    </row>
    <row r="102" spans="1:1">
      <c r="A102">
        <v>3</v>
      </c>
    </row>
    <row r="103" spans="1:1">
      <c r="A103" t="s">
        <v>82</v>
      </c>
    </row>
    <row r="104" spans="1:1">
      <c r="A104" t="s">
        <v>87</v>
      </c>
    </row>
    <row r="105" spans="1:1">
      <c r="A105" t="s">
        <v>88</v>
      </c>
    </row>
    <row r="107" spans="1:1">
      <c r="A107">
        <v>4</v>
      </c>
    </row>
    <row r="108" spans="1:1">
      <c r="A108" t="s">
        <v>84</v>
      </c>
    </row>
    <row r="109" spans="1:1">
      <c r="A109" s="48">
        <v>43070</v>
      </c>
    </row>
    <row r="111" spans="1:1">
      <c r="A111" t="s">
        <v>78</v>
      </c>
    </row>
    <row r="112" spans="1:1">
      <c r="A112" t="s">
        <v>79</v>
      </c>
    </row>
    <row r="114" spans="1:1">
      <c r="A114" t="s">
        <v>83</v>
      </c>
    </row>
    <row r="116" spans="1:1">
      <c r="A116" s="39" t="s">
        <v>80</v>
      </c>
    </row>
    <row r="120" spans="1:1">
      <c r="A120" s="62" t="s">
        <v>81</v>
      </c>
    </row>
    <row r="121" spans="1:1">
      <c r="A121" s="62"/>
    </row>
    <row r="122" spans="1:1">
      <c r="A122" s="62" t="s">
        <v>86</v>
      </c>
    </row>
    <row r="123" spans="1:1">
      <c r="A123" s="62"/>
    </row>
    <row r="124" spans="1:1">
      <c r="A124" s="50" t="s">
        <v>134</v>
      </c>
    </row>
    <row r="125" spans="1:1">
      <c r="A125" s="51" t="s">
        <v>77</v>
      </c>
    </row>
  </sheetData>
  <hyperlinks>
    <hyperlink ref="A34" r:id="rId1"/>
    <hyperlink ref="A111" r:id="rId2" location="gs.=0=RJPQ" display="gs.=0=RJPQ"/>
    <hyperlink ref="A112" r:id="rId3" location="gs.iShKKiE" display="https://www.greentechmedia.com/articles/read/glasspoint-is-building-the-worlds-largest-solar-project-in-an-omani-oilfie - gs.iShKKiE"/>
    <hyperlink ref="A95" r:id="rId4"/>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About</vt:lpstr>
      <vt:lpstr>CtIEPpUESoS</vt:lpstr>
      <vt:lpstr>About (US model data)</vt:lpstr>
      <vt:lpstr>early retirement</vt:lpstr>
      <vt:lpstr>substitute fuels for coal</vt:lpstr>
      <vt:lpstr>cogen and WHR + eqpt stds</vt:lpstr>
      <vt:lpstr>California cost adjustment</vt:lpstr>
      <vt:lpstr>Natural gas fuel switch</vt:lpstr>
      <vt:lpstr>Method</vt:lpstr>
      <vt:lpstr>Calculate cost solar steam Btu</vt:lpstr>
      <vt:lpstr>Lazard finance model</vt:lpstr>
      <vt:lpstr>Production and earnings</vt:lpstr>
      <vt:lpstr>Thermal EOR natural gas price</vt:lpstr>
      <vt:lpstr>Debt</vt:lpstr>
      <vt:lpstr>Equity</vt:lpstr>
      <vt:lpstr>Adjust state corporate tax</vt:lpstr>
      <vt:lpstr>Cost to adminster policy</vt:lpstr>
      <vt:lpstr>Taxes</vt:lpstr>
      <vt:lpstr>Price natural gas steam EOR</vt:lpstr>
      <vt:lpstr>Average price calculation</vt:lpstr>
      <vt:lpstr>SoCal Gas</vt:lpstr>
      <vt:lpstr>PG&amp;E calcs- backbone level</vt:lpstr>
      <vt:lpstr>PG&amp;E calcs - distribution level</vt:lpstr>
      <vt:lpstr>PG&amp;E noncore rates</vt:lpstr>
      <vt:lpstr>PGE electric gen rates</vt:lpstr>
      <vt:lpstr>EIA California citygate - month</vt:lpstr>
      <vt:lpstr>PG&amp;E Schedule G-SUR</vt:lpstr>
      <vt:lpstr>BAU prices in EPS</vt:lpstr>
      <vt:lpstr>EIA annual data</vt:lpstr>
      <vt:lpstr>'PG&amp;E noncore rates'!Print_Area</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2014-03-25T01:31:56Z</dcterms:created>
  <dcterms:modified xsi:type="dcterms:W3CDTF">2020-01-25T01:01:16Z</dcterms:modified>
</cp:coreProperties>
</file>