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3980" yWindow="-21560" windowWidth="33820" windowHeight="18340" activeTab="1"/>
  </bookViews>
  <sheets>
    <sheet name="About" sheetId="1" r:id="rId1"/>
    <sheet name="Canada tax data" sheetId="5" r:id="rId2"/>
    <sheet name="Canada fuel price projections" sheetId="6" r:id="rId3"/>
    <sheet name="Population" sheetId="13" r:id="rId4"/>
    <sheet name="Tax data" sheetId="10" r:id="rId5"/>
    <sheet name="USA coal price" sheetId="14" r:id="rId6"/>
    <sheet name="USA jet fuel" sheetId="15" r:id="rId7"/>
    <sheet name="BSoFPtiT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O4" i="3"/>
  <c r="B4" i="3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7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B36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C34" i="6"/>
  <c r="AD34" i="6"/>
  <c r="AE34" i="6"/>
  <c r="AF34" i="6"/>
  <c r="AG34" i="6"/>
  <c r="AH34" i="6"/>
  <c r="AI34" i="6"/>
  <c r="AJ34" i="6"/>
  <c r="AK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B34" i="6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D70" i="5"/>
  <c r="E70" i="5"/>
  <c r="F70" i="5"/>
  <c r="G70" i="5"/>
  <c r="H70" i="5"/>
  <c r="I70" i="5"/>
  <c r="J70" i="5"/>
  <c r="K70" i="5"/>
  <c r="L70" i="5"/>
  <c r="M70" i="5"/>
  <c r="N70" i="5"/>
  <c r="C70" i="5"/>
  <c r="B70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D69" i="5"/>
  <c r="E69" i="5"/>
  <c r="F69" i="5"/>
  <c r="G69" i="5"/>
  <c r="H69" i="5"/>
  <c r="I69" i="5"/>
  <c r="J69" i="5"/>
  <c r="K69" i="5"/>
  <c r="L69" i="5"/>
  <c r="M69" i="5"/>
  <c r="N69" i="5"/>
  <c r="O69" i="5"/>
  <c r="C69" i="5"/>
  <c r="B69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D68" i="5"/>
  <c r="E68" i="5"/>
  <c r="F68" i="5"/>
  <c r="G68" i="5"/>
  <c r="H68" i="5"/>
  <c r="I68" i="5"/>
  <c r="J68" i="5"/>
  <c r="K68" i="5"/>
  <c r="L68" i="5"/>
  <c r="M68" i="5"/>
  <c r="N68" i="5"/>
  <c r="C68" i="5"/>
  <c r="B68" i="5"/>
  <c r="B3" i="3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D67" i="5"/>
  <c r="E67" i="5"/>
  <c r="F67" i="5"/>
  <c r="G67" i="5"/>
  <c r="H67" i="5"/>
  <c r="I67" i="5"/>
  <c r="J67" i="5"/>
  <c r="K67" i="5"/>
  <c r="L67" i="5"/>
  <c r="M67" i="5"/>
  <c r="N67" i="5"/>
  <c r="C67" i="5"/>
  <c r="B67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D66" i="5"/>
  <c r="E66" i="5"/>
  <c r="F66" i="5"/>
  <c r="G66" i="5"/>
  <c r="H66" i="5"/>
  <c r="I66" i="5"/>
  <c r="J66" i="5"/>
  <c r="K66" i="5"/>
  <c r="L66" i="5"/>
  <c r="M66" i="5"/>
  <c r="N66" i="5"/>
  <c r="O66" i="5"/>
  <c r="C66" i="5"/>
  <c r="B66" i="5"/>
  <c r="B30" i="6"/>
  <c r="B27" i="6"/>
  <c r="H21" i="6"/>
  <c r="B28" i="6"/>
  <c r="AB5" i="6"/>
  <c r="AB30" i="6"/>
  <c r="AB4" i="6"/>
  <c r="AB3" i="6"/>
  <c r="B3" i="15"/>
  <c r="B4" i="15"/>
  <c r="C4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H23" i="6"/>
  <c r="H24" i="6"/>
  <c r="D27" i="6"/>
  <c r="F5" i="14"/>
  <c r="E2" i="6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C27" i="6"/>
  <c r="AC5" i="6"/>
  <c r="AC30" i="6"/>
  <c r="AD5" i="6"/>
  <c r="AD30" i="6"/>
  <c r="AE5" i="6"/>
  <c r="AE30" i="6"/>
  <c r="AF5" i="6"/>
  <c r="AF30" i="6"/>
  <c r="AG5" i="6"/>
  <c r="AG30" i="6"/>
  <c r="AH5" i="6"/>
  <c r="AH30" i="6"/>
  <c r="AI5" i="6"/>
  <c r="AI30" i="6"/>
  <c r="AJ5" i="6"/>
  <c r="AJ30" i="6"/>
  <c r="AK5" i="6"/>
  <c r="AK30" i="6"/>
  <c r="H22" i="6"/>
  <c r="D29" i="6"/>
  <c r="AB29" i="6"/>
  <c r="AC4" i="6"/>
  <c r="AC29" i="6"/>
  <c r="AD4" i="6"/>
  <c r="AD29" i="6"/>
  <c r="AE4" i="6"/>
  <c r="AE29" i="6"/>
  <c r="AF4" i="6"/>
  <c r="AF29" i="6"/>
  <c r="AG4" i="6"/>
  <c r="AG29" i="6"/>
  <c r="AH4" i="6"/>
  <c r="AH29" i="6"/>
  <c r="AI4" i="6"/>
  <c r="AI29" i="6"/>
  <c r="AJ4" i="6"/>
  <c r="AJ29" i="6"/>
  <c r="AK4" i="6"/>
  <c r="AK29" i="6"/>
  <c r="AB28" i="6"/>
  <c r="AC3" i="6"/>
  <c r="AC28" i="6"/>
  <c r="AD3" i="6"/>
  <c r="AD28" i="6"/>
  <c r="AE3" i="6"/>
  <c r="AE28" i="6"/>
  <c r="AF3" i="6"/>
  <c r="AF28" i="6"/>
  <c r="AG3" i="6"/>
  <c r="AG28" i="6"/>
  <c r="AH3" i="6"/>
  <c r="AH28" i="6"/>
  <c r="AI3" i="6"/>
  <c r="AI28" i="6"/>
  <c r="AJ3" i="6"/>
  <c r="AJ28" i="6"/>
  <c r="AK3" i="6"/>
  <c r="AK28" i="6"/>
  <c r="E5" i="14"/>
  <c r="D5" i="14"/>
  <c r="C5" i="14"/>
  <c r="C29" i="6"/>
  <c r="E29" i="6"/>
  <c r="F29" i="6"/>
  <c r="G29" i="6"/>
  <c r="H29" i="6"/>
  <c r="I29" i="6"/>
  <c r="J29" i="6"/>
  <c r="K29" i="6"/>
  <c r="M29" i="6"/>
  <c r="N29" i="6"/>
  <c r="O29" i="6"/>
  <c r="P29" i="6"/>
  <c r="Q29" i="6"/>
  <c r="R29" i="6"/>
  <c r="S29" i="6"/>
  <c r="U29" i="6"/>
  <c r="V29" i="6"/>
  <c r="W29" i="6"/>
  <c r="X29" i="6"/>
  <c r="Y29" i="6"/>
  <c r="Z29" i="6"/>
  <c r="AA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B29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F15" i="13"/>
  <c r="L17" i="5"/>
  <c r="F16" i="13"/>
  <c r="L16" i="5"/>
  <c r="F17" i="13"/>
  <c r="L15" i="5"/>
  <c r="F6" i="13"/>
  <c r="L14" i="5"/>
  <c r="F8" i="13"/>
  <c r="L13" i="5"/>
  <c r="F7" i="13"/>
  <c r="L12" i="5"/>
  <c r="F5" i="13"/>
  <c r="L11" i="5"/>
  <c r="F9" i="13"/>
  <c r="L10" i="5"/>
  <c r="F10" i="13"/>
  <c r="L9" i="5"/>
  <c r="F11" i="13"/>
  <c r="L8" i="5"/>
  <c r="F12" i="13"/>
  <c r="L7" i="5"/>
  <c r="F13" i="13"/>
  <c r="L6" i="5"/>
  <c r="F14" i="13"/>
  <c r="L5" i="5"/>
  <c r="K5" i="5"/>
  <c r="K9" i="5"/>
  <c r="K10" i="5"/>
  <c r="K6" i="5"/>
  <c r="K7" i="5"/>
  <c r="K8" i="5"/>
  <c r="K11" i="5"/>
  <c r="K12" i="5"/>
  <c r="K13" i="5"/>
  <c r="K14" i="5"/>
  <c r="K15" i="5"/>
  <c r="K16" i="5"/>
  <c r="K17" i="5"/>
  <c r="AC6" i="3"/>
  <c r="AD6" i="3"/>
  <c r="AE6" i="3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16" i="3"/>
  <c r="AD16" i="3"/>
  <c r="AE16" i="3"/>
  <c r="AF16" i="3"/>
  <c r="AG16" i="3"/>
  <c r="AH16" i="3"/>
  <c r="AI16" i="3"/>
  <c r="AJ16" i="3"/>
  <c r="AK16" i="3"/>
  <c r="AB6" i="3"/>
  <c r="AB7" i="3"/>
  <c r="AB8" i="3"/>
  <c r="AB16" i="3"/>
  <c r="J38" i="5"/>
  <c r="L38" i="5"/>
  <c r="I38" i="5"/>
  <c r="D4" i="15"/>
  <c r="B6" i="6"/>
  <c r="B31" i="6"/>
  <c r="E27" i="6"/>
  <c r="F2" i="6"/>
  <c r="T29" i="6"/>
  <c r="L29" i="6"/>
  <c r="F27" i="6"/>
  <c r="G2" i="6"/>
  <c r="C6" i="6"/>
  <c r="C31" i="6"/>
  <c r="E4" i="15"/>
  <c r="H2" i="6"/>
  <c r="G27" i="6"/>
  <c r="D6" i="6"/>
  <c r="D31" i="6"/>
  <c r="F4" i="15"/>
  <c r="G4" i="15"/>
  <c r="E6" i="6"/>
  <c r="E31" i="6"/>
  <c r="H27" i="6"/>
  <c r="I2" i="6"/>
  <c r="I27" i="6"/>
  <c r="J2" i="6"/>
  <c r="F6" i="6"/>
  <c r="F31" i="6"/>
  <c r="H4" i="15"/>
  <c r="G6" i="6"/>
  <c r="G31" i="6"/>
  <c r="I4" i="15"/>
  <c r="K2" i="6"/>
  <c r="J27" i="6"/>
  <c r="K27" i="6"/>
  <c r="L2" i="6"/>
  <c r="H6" i="6"/>
  <c r="H31" i="6"/>
  <c r="J4" i="15"/>
  <c r="K4" i="15"/>
  <c r="I6" i="6"/>
  <c r="I31" i="6"/>
  <c r="L27" i="6"/>
  <c r="M2" i="6"/>
  <c r="M27" i="6"/>
  <c r="N2" i="6"/>
  <c r="J6" i="6"/>
  <c r="J31" i="6"/>
  <c r="L4" i="15"/>
  <c r="N27" i="6"/>
  <c r="O2" i="6"/>
  <c r="K6" i="6"/>
  <c r="K31" i="6"/>
  <c r="M4" i="15"/>
  <c r="P2" i="6"/>
  <c r="O27" i="6"/>
  <c r="L6" i="6"/>
  <c r="L31" i="6"/>
  <c r="N4" i="15"/>
  <c r="O4" i="15"/>
  <c r="M6" i="6"/>
  <c r="M31" i="6"/>
  <c r="P27" i="6"/>
  <c r="Q2" i="6"/>
  <c r="Q27" i="6"/>
  <c r="R2" i="6"/>
  <c r="N6" i="6"/>
  <c r="N31" i="6"/>
  <c r="P4" i="15"/>
  <c r="O6" i="6"/>
  <c r="O31" i="6"/>
  <c r="Q4" i="15"/>
  <c r="S2" i="6"/>
  <c r="R27" i="6"/>
  <c r="S27" i="6"/>
  <c r="T2" i="6"/>
  <c r="P6" i="6"/>
  <c r="P31" i="6"/>
  <c r="R4" i="15"/>
  <c r="S4" i="15"/>
  <c r="Q6" i="6"/>
  <c r="Q31" i="6"/>
  <c r="T27" i="6"/>
  <c r="U2" i="6"/>
  <c r="U27" i="6"/>
  <c r="V2" i="6"/>
  <c r="R6" i="6"/>
  <c r="T4" i="15"/>
  <c r="V27" i="6"/>
  <c r="W2" i="6"/>
  <c r="S6" i="6"/>
  <c r="S31" i="6"/>
  <c r="U4" i="15"/>
  <c r="R31" i="6"/>
  <c r="V4" i="15"/>
  <c r="T6" i="6"/>
  <c r="X2" i="6"/>
  <c r="W27" i="6"/>
  <c r="X27" i="6"/>
  <c r="Y2" i="6"/>
  <c r="T31" i="6"/>
  <c r="U6" i="6"/>
  <c r="U31" i="6"/>
  <c r="W4" i="15"/>
  <c r="Y27" i="6"/>
  <c r="Z2" i="6"/>
  <c r="V6" i="6"/>
  <c r="X4" i="15"/>
  <c r="AA2" i="6"/>
  <c r="Z27" i="6"/>
  <c r="AD2" i="6"/>
  <c r="AD27" i="6"/>
  <c r="AJ2" i="6"/>
  <c r="AJ27" i="6"/>
  <c r="AK2" i="6"/>
  <c r="AK27" i="6"/>
  <c r="AH2" i="6"/>
  <c r="AH27" i="6"/>
  <c r="AB2" i="6"/>
  <c r="AB27" i="6"/>
  <c r="AI2" i="6"/>
  <c r="AI27" i="6"/>
  <c r="AG2" i="6"/>
  <c r="AG27" i="6"/>
  <c r="W6" i="6"/>
  <c r="Y4" i="15"/>
  <c r="V31" i="6"/>
  <c r="X6" i="6"/>
  <c r="Z4" i="15"/>
  <c r="W31" i="6"/>
  <c r="AA27" i="6"/>
  <c r="AF2" i="6"/>
  <c r="AF27" i="6"/>
  <c r="AC2" i="6"/>
  <c r="AC27" i="6"/>
  <c r="AE2" i="6"/>
  <c r="AE27" i="6"/>
  <c r="AA4" i="15"/>
  <c r="Y6" i="6"/>
  <c r="X31" i="6"/>
  <c r="Y31" i="6"/>
  <c r="Z6" i="6"/>
  <c r="AB4" i="15"/>
  <c r="AA6" i="6"/>
  <c r="AE6" i="6"/>
  <c r="AE31" i="6"/>
  <c r="Z31" i="6"/>
  <c r="AG6" i="6"/>
  <c r="AG31" i="6"/>
  <c r="AK6" i="6"/>
  <c r="AK31" i="6"/>
  <c r="AI6" i="6"/>
  <c r="AI31" i="6"/>
  <c r="AA31" i="6"/>
  <c r="AD6" i="6"/>
  <c r="AD31" i="6"/>
  <c r="AJ6" i="6"/>
  <c r="AJ31" i="6"/>
  <c r="AC6" i="6"/>
  <c r="AC31" i="6"/>
  <c r="AB6" i="6"/>
  <c r="AB31" i="6"/>
  <c r="AF6" i="6"/>
  <c r="AF31" i="6"/>
  <c r="AH6" i="6"/>
  <c r="AH31" i="6"/>
  <c r="M5" i="5"/>
  <c r="C5" i="1"/>
  <c r="AJ14" i="3"/>
  <c r="AJ12" i="3"/>
  <c r="AF12" i="3"/>
  <c r="AF14" i="3"/>
  <c r="AC14" i="3"/>
  <c r="AC12" i="3"/>
  <c r="AB12" i="3"/>
  <c r="AB14" i="3"/>
  <c r="AG12" i="3"/>
  <c r="AG14" i="3"/>
  <c r="AH14" i="3"/>
  <c r="AH12" i="3"/>
  <c r="AK14" i="3"/>
  <c r="AK12" i="3"/>
  <c r="AI12" i="3"/>
  <c r="AI14" i="3"/>
  <c r="AD12" i="3"/>
  <c r="AD14" i="3"/>
  <c r="AA14" i="3"/>
  <c r="Z14" i="3"/>
  <c r="AE14" i="3"/>
  <c r="AE12" i="3"/>
  <c r="Y14" i="3"/>
  <c r="X14" i="3"/>
  <c r="M38" i="5"/>
  <c r="M43" i="5"/>
  <c r="AE3" i="3"/>
  <c r="AC3" i="3"/>
  <c r="AF3" i="3"/>
  <c r="AA3" i="3"/>
  <c r="W14" i="3"/>
  <c r="V14" i="3"/>
  <c r="AG3" i="3"/>
  <c r="AI3" i="3"/>
  <c r="AB3" i="3"/>
  <c r="AH3" i="3"/>
  <c r="AK3" i="3"/>
  <c r="AJ3" i="3"/>
  <c r="AD3" i="3"/>
  <c r="Z3" i="3"/>
  <c r="Y3" i="3"/>
  <c r="U14" i="3"/>
  <c r="T14" i="3"/>
  <c r="X3" i="3"/>
  <c r="W3" i="3"/>
  <c r="R14" i="3"/>
  <c r="S14" i="3"/>
  <c r="V3" i="3"/>
  <c r="U3" i="3"/>
  <c r="T3" i="3"/>
  <c r="Q14" i="3"/>
  <c r="P14" i="3"/>
  <c r="S3" i="3"/>
  <c r="R3" i="3"/>
  <c r="O14" i="3"/>
  <c r="N14" i="3"/>
  <c r="Q3" i="3"/>
  <c r="P3" i="3"/>
  <c r="M14" i="3"/>
  <c r="L14" i="3"/>
  <c r="O3" i="3"/>
  <c r="K14" i="3"/>
  <c r="N3" i="3"/>
  <c r="J14" i="3"/>
  <c r="M3" i="3"/>
  <c r="L3" i="3"/>
  <c r="I14" i="3"/>
  <c r="H14" i="3"/>
  <c r="K3" i="3"/>
  <c r="J3" i="3"/>
  <c r="G14" i="3"/>
  <c r="F14" i="3"/>
  <c r="I3" i="3"/>
  <c r="H3" i="3"/>
  <c r="E14" i="3"/>
  <c r="R9" i="3"/>
  <c r="S9" i="3"/>
  <c r="T9" i="3"/>
  <c r="U9" i="3"/>
  <c r="V9" i="3"/>
  <c r="W9" i="3"/>
  <c r="X9" i="3"/>
  <c r="Y9" i="3"/>
  <c r="Z9" i="3"/>
  <c r="AA9" i="3"/>
  <c r="AC9" i="3"/>
  <c r="AD9" i="3"/>
  <c r="AE9" i="3"/>
  <c r="AI9" i="3"/>
  <c r="AG9" i="3"/>
  <c r="AK9" i="3"/>
  <c r="AF9" i="3"/>
  <c r="AH9" i="3"/>
  <c r="AB9" i="3"/>
  <c r="AJ9" i="3"/>
  <c r="R5" i="3"/>
  <c r="S5" i="3"/>
  <c r="T5" i="3"/>
  <c r="U5" i="3"/>
  <c r="V5" i="3"/>
  <c r="W5" i="3"/>
  <c r="X5" i="3"/>
  <c r="Y5" i="3"/>
  <c r="Z5" i="3"/>
  <c r="AA5" i="3"/>
  <c r="AD5" i="3"/>
  <c r="AH5" i="3"/>
  <c r="AJ5" i="3"/>
  <c r="AE5" i="3"/>
  <c r="AF5" i="3"/>
  <c r="AB5" i="3"/>
  <c r="AG5" i="3"/>
  <c r="AI5" i="3"/>
  <c r="AC5" i="3"/>
  <c r="AK5" i="3"/>
  <c r="D14" i="3"/>
  <c r="R2" i="3"/>
  <c r="S2" i="3"/>
  <c r="T2" i="3"/>
  <c r="U2" i="3"/>
  <c r="V2" i="3"/>
  <c r="W2" i="3"/>
  <c r="X2" i="3"/>
  <c r="Y2" i="3"/>
  <c r="Z2" i="3"/>
  <c r="AA2" i="3"/>
  <c r="AE2" i="3"/>
  <c r="AG2" i="3"/>
  <c r="AI2" i="3"/>
  <c r="AF2" i="3"/>
  <c r="AK2" i="3"/>
  <c r="AC2" i="3"/>
  <c r="AH2" i="3"/>
  <c r="AB2" i="3"/>
  <c r="AJ2" i="3"/>
  <c r="AD2" i="3"/>
  <c r="R15" i="3"/>
  <c r="S15" i="3"/>
  <c r="T15" i="3"/>
  <c r="U15" i="3"/>
  <c r="V15" i="3"/>
  <c r="W15" i="3"/>
  <c r="X15" i="3"/>
  <c r="Y15" i="3"/>
  <c r="Z15" i="3"/>
  <c r="AA15" i="3"/>
  <c r="AC15" i="3"/>
  <c r="AF15" i="3"/>
  <c r="AH15" i="3"/>
  <c r="AJ15" i="3"/>
  <c r="AK15" i="3"/>
  <c r="AB15" i="3"/>
  <c r="AD15" i="3"/>
  <c r="AE15" i="3"/>
  <c r="AG15" i="3"/>
  <c r="AI15" i="3"/>
  <c r="G3" i="3"/>
  <c r="C14" i="3"/>
  <c r="N15" i="3"/>
  <c r="E3" i="3"/>
  <c r="AK13" i="3"/>
  <c r="E9" i="3"/>
  <c r="AH13" i="3"/>
  <c r="E5" i="3"/>
  <c r="AG13" i="3"/>
  <c r="O2" i="3"/>
  <c r="AC13" i="3"/>
  <c r="Q15" i="3"/>
  <c r="B5" i="3"/>
  <c r="C15" i="3"/>
  <c r="P9" i="3"/>
  <c r="P5" i="3"/>
  <c r="D2" i="3"/>
  <c r="C3" i="3"/>
  <c r="AE13" i="3"/>
  <c r="B15" i="3"/>
  <c r="E15" i="3"/>
  <c r="N9" i="3"/>
  <c r="N5" i="3"/>
  <c r="F2" i="3"/>
  <c r="B9" i="3"/>
  <c r="AF13" i="3"/>
  <c r="D3" i="3"/>
  <c r="AD13" i="3"/>
  <c r="F15" i="3"/>
  <c r="M9" i="3"/>
  <c r="M5" i="3"/>
  <c r="G2" i="3"/>
  <c r="AJ13" i="3"/>
  <c r="AB13" i="3"/>
  <c r="K15" i="3"/>
  <c r="H9" i="3"/>
  <c r="H5" i="3"/>
  <c r="L2" i="3"/>
  <c r="I15" i="3"/>
  <c r="J9" i="3"/>
  <c r="J5" i="3"/>
  <c r="J2" i="3"/>
  <c r="B14" i="3"/>
  <c r="AI13" i="3"/>
  <c r="M15" i="3"/>
  <c r="F9" i="3"/>
  <c r="F5" i="3"/>
  <c r="N2" i="3"/>
  <c r="G15" i="3"/>
  <c r="O15" i="3"/>
  <c r="L9" i="3"/>
  <c r="D9" i="3"/>
  <c r="L5" i="3"/>
  <c r="D5" i="3"/>
  <c r="H2" i="3"/>
  <c r="P2" i="3"/>
  <c r="H15" i="3"/>
  <c r="P15" i="3"/>
  <c r="K9" i="3"/>
  <c r="C9" i="3"/>
  <c r="K5" i="3"/>
  <c r="C5" i="3"/>
  <c r="I2" i="3"/>
  <c r="Q2" i="3"/>
  <c r="J15" i="3"/>
  <c r="Q9" i="3"/>
  <c r="I9" i="3"/>
  <c r="Q5" i="3"/>
  <c r="I5" i="3"/>
  <c r="C2" i="3"/>
  <c r="K2" i="3"/>
  <c r="D15" i="3"/>
  <c r="L15" i="3"/>
  <c r="O9" i="3"/>
  <c r="G9" i="3"/>
  <c r="O5" i="3"/>
  <c r="G5" i="3"/>
  <c r="E2" i="3"/>
  <c r="M2" i="3"/>
  <c r="F3" i="3"/>
  <c r="K38" i="5"/>
  <c r="AK4" i="3"/>
  <c r="AK17" i="3"/>
  <c r="AJ4" i="3"/>
  <c r="AJ17" i="3"/>
  <c r="AI4" i="3"/>
  <c r="AI17" i="3"/>
  <c r="AH4" i="3"/>
  <c r="AH17" i="3"/>
  <c r="AG4" i="3"/>
  <c r="AG17" i="3"/>
  <c r="AF4" i="3"/>
  <c r="AF17" i="3"/>
  <c r="AE4" i="3"/>
  <c r="AE17" i="3"/>
  <c r="AD4" i="3"/>
  <c r="AD17" i="3"/>
  <c r="AC4" i="3"/>
  <c r="AC17" i="3"/>
  <c r="AB4" i="3"/>
  <c r="AB17" i="3"/>
  <c r="AA4" i="3"/>
  <c r="AA17" i="3"/>
  <c r="Z4" i="3"/>
  <c r="Z17" i="3"/>
  <c r="Y4" i="3"/>
  <c r="Y17" i="3"/>
  <c r="X4" i="3"/>
  <c r="X17" i="3"/>
  <c r="W4" i="3"/>
  <c r="W17" i="3"/>
  <c r="V4" i="3"/>
  <c r="V17" i="3"/>
  <c r="U4" i="3"/>
  <c r="U17" i="3"/>
  <c r="T4" i="3"/>
  <c r="T17" i="3"/>
  <c r="S4" i="3"/>
  <c r="S17" i="3"/>
  <c r="R4" i="3"/>
  <c r="R17" i="3"/>
  <c r="Q4" i="3"/>
  <c r="Q17" i="3"/>
  <c r="P4" i="3"/>
  <c r="P17" i="3"/>
  <c r="O17" i="3"/>
  <c r="N4" i="3"/>
  <c r="N17" i="3"/>
  <c r="M4" i="3"/>
  <c r="M17" i="3"/>
  <c r="L4" i="3"/>
  <c r="L17" i="3"/>
  <c r="K4" i="3"/>
  <c r="K17" i="3"/>
  <c r="J4" i="3"/>
  <c r="J17" i="3"/>
  <c r="I4" i="3"/>
  <c r="I17" i="3"/>
  <c r="H4" i="3"/>
  <c r="H17" i="3"/>
  <c r="G4" i="3"/>
  <c r="G17" i="3"/>
  <c r="F4" i="3"/>
  <c r="F17" i="3"/>
  <c r="E4" i="3"/>
  <c r="E17" i="3"/>
  <c r="D4" i="3"/>
  <c r="D17" i="3"/>
  <c r="C4" i="3"/>
  <c r="C17" i="3"/>
  <c r="B2" i="3"/>
  <c r="I23" i="5"/>
  <c r="P10" i="3"/>
  <c r="P12" i="3"/>
  <c r="AG10" i="3"/>
  <c r="L10" i="3"/>
  <c r="L12" i="3"/>
  <c r="AC10" i="3"/>
  <c r="J23" i="5"/>
  <c r="AA11" i="3"/>
  <c r="AA13" i="3"/>
  <c r="S11" i="3"/>
  <c r="S13" i="3"/>
  <c r="K11" i="3"/>
  <c r="K13" i="3"/>
  <c r="C11" i="3"/>
  <c r="C13" i="3"/>
  <c r="T10" i="3"/>
  <c r="T12" i="3"/>
  <c r="D10" i="3"/>
  <c r="D12" i="3"/>
  <c r="W11" i="3"/>
  <c r="W13" i="3"/>
  <c r="O11" i="3"/>
  <c r="O13" i="3"/>
  <c r="G11" i="3"/>
  <c r="G13" i="3"/>
  <c r="B10" i="3"/>
  <c r="B12" i="3"/>
  <c r="Z11" i="3"/>
  <c r="Z13" i="3"/>
  <c r="H11" i="3"/>
  <c r="H13" i="3"/>
  <c r="Z10" i="3"/>
  <c r="Z12" i="3"/>
  <c r="S10" i="3"/>
  <c r="S12" i="3"/>
  <c r="AK10" i="3"/>
  <c r="AI11" i="3"/>
  <c r="AE11" i="3"/>
  <c r="V11" i="3"/>
  <c r="V13" i="3"/>
  <c r="D11" i="3"/>
  <c r="D13" i="3"/>
  <c r="V10" i="3"/>
  <c r="V12" i="3"/>
  <c r="O10" i="3"/>
  <c r="O12" i="3"/>
  <c r="H10" i="3"/>
  <c r="H12" i="3"/>
  <c r="E10" i="3"/>
  <c r="E12" i="3"/>
  <c r="B11" i="3"/>
  <c r="B13" i="3"/>
  <c r="U11" i="3"/>
  <c r="U13" i="3"/>
  <c r="N11" i="3"/>
  <c r="N13" i="3"/>
  <c r="N10" i="3"/>
  <c r="N12" i="3"/>
  <c r="X11" i="3"/>
  <c r="X13" i="3"/>
  <c r="Q11" i="3"/>
  <c r="Q13" i="3"/>
  <c r="J11" i="3"/>
  <c r="J13" i="3"/>
  <c r="Q10" i="3"/>
  <c r="Q12" i="3"/>
  <c r="J10" i="3"/>
  <c r="J12" i="3"/>
  <c r="G10" i="3"/>
  <c r="G12" i="3"/>
  <c r="AI10" i="3"/>
  <c r="AE10" i="3"/>
  <c r="AK11" i="3"/>
  <c r="AG11" i="3"/>
  <c r="AC11" i="3"/>
  <c r="F11" i="3"/>
  <c r="F13" i="3"/>
  <c r="T11" i="3"/>
  <c r="T13" i="3"/>
  <c r="M11" i="3"/>
  <c r="M13" i="3"/>
  <c r="M10" i="3"/>
  <c r="M12" i="3"/>
  <c r="AH10" i="3"/>
  <c r="AH11" i="3"/>
  <c r="AF11" i="3"/>
  <c r="AJ11" i="3"/>
  <c r="I11" i="3"/>
  <c r="I13" i="3"/>
  <c r="Y10" i="3"/>
  <c r="Y12" i="3"/>
  <c r="F10" i="3"/>
  <c r="F12" i="3"/>
  <c r="AD11" i="3"/>
  <c r="R11" i="3"/>
  <c r="R13" i="3"/>
  <c r="AF10" i="3"/>
  <c r="P11" i="3"/>
  <c r="P13" i="3"/>
  <c r="AD10" i="3"/>
  <c r="I10" i="3"/>
  <c r="I12" i="3"/>
  <c r="L11" i="3"/>
  <c r="L13" i="3"/>
  <c r="Y11" i="3"/>
  <c r="Y13" i="3"/>
  <c r="C10" i="3"/>
  <c r="C12" i="3"/>
  <c r="AB11" i="3"/>
  <c r="E11" i="3"/>
  <c r="E13" i="3"/>
  <c r="K10" i="3"/>
  <c r="K12" i="3"/>
  <c r="AB10" i="3"/>
  <c r="R10" i="3"/>
  <c r="R12" i="3"/>
  <c r="AA10" i="3"/>
  <c r="AA12" i="3"/>
  <c r="X10" i="3"/>
  <c r="X12" i="3"/>
  <c r="AJ10" i="3"/>
  <c r="U10" i="3"/>
  <c r="U12" i="3"/>
  <c r="W10" i="3"/>
  <c r="W12" i="3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</calcChain>
</file>

<file path=xl/sharedStrings.xml><?xml version="1.0" encoding="utf-8"?>
<sst xmlns="http://schemas.openxmlformats.org/spreadsheetml/2006/main" count="368" uniqueCount="274">
  <si>
    <t>Source: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</si>
  <si>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</si>
  <si>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</si>
  <si>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</si>
  <si>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</si>
  <si>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</si>
  <si>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</si>
  <si>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</si>
  <si>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</si>
  <si>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</si>
  <si>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</si>
  <si>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</si>
  <si>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</si>
  <si>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</si>
  <si>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Notes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</si>
  <si>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</si>
  <si>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</si>
  <si>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</si>
  <si>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Avg Sales Tax Rate</t>
  </si>
  <si>
    <t>solar (does not use fuel)</t>
  </si>
  <si>
    <t>Currency Year Adjustment</t>
  </si>
  <si>
    <t>geothermal (does not use fuel)</t>
  </si>
  <si>
    <t>BSoFPtiT BAU Share of Fuel Price that is Tax</t>
  </si>
  <si>
    <t>hard coal</t>
  </si>
  <si>
    <t>Fuel tax</t>
  </si>
  <si>
    <t>Carbon tax</t>
  </si>
  <si>
    <t>https://www.canada.ca/en/revenue-agency/services/tax/businesses/topics/gst-hst-businesses/charge-gst/charge-gst-hst.html#previousrates</t>
  </si>
  <si>
    <t>BC</t>
  </si>
  <si>
    <t>Alberta</t>
  </si>
  <si>
    <t>Sask</t>
  </si>
  <si>
    <t>Manitoba</t>
  </si>
  <si>
    <t>Ontario</t>
  </si>
  <si>
    <t>Quebec</t>
  </si>
  <si>
    <t>Newfoundland</t>
  </si>
  <si>
    <t>Nova Scotia</t>
  </si>
  <si>
    <t>New Brunswick</t>
  </si>
  <si>
    <t>PEI</t>
  </si>
  <si>
    <t>Nunavut</t>
  </si>
  <si>
    <t>NWT</t>
  </si>
  <si>
    <t>Yukon</t>
  </si>
  <si>
    <t>Assume these stay the same to 2050</t>
  </si>
  <si>
    <t xml:space="preserve">Canada Revenue Agency: </t>
  </si>
  <si>
    <t>Sales tax (GST/HST)</t>
  </si>
  <si>
    <t>PST</t>
  </si>
  <si>
    <t>http://www.nrcan.gc.ca/energy/fuel-prices/18885</t>
  </si>
  <si>
    <t>NR Can</t>
  </si>
  <si>
    <t>* Only applies to fuels in Quebec</t>
  </si>
  <si>
    <t>Petrol</t>
  </si>
  <si>
    <t>Diesel</t>
  </si>
  <si>
    <t>Propane</t>
  </si>
  <si>
    <t>Natural Gas</t>
  </si>
  <si>
    <t>Same across all fuels</t>
  </si>
  <si>
    <t>UNIT: %</t>
  </si>
  <si>
    <t>UNIT: cents/L</t>
  </si>
  <si>
    <t>$1.011/GJ in 2017</t>
  </si>
  <si>
    <t>TOTAL</t>
  </si>
  <si>
    <t xml:space="preserve">Note: This does not include transporation taxes that exist in Montreal, Vancouver and Victoria </t>
  </si>
  <si>
    <t xml:space="preserve">Note: current federal legislation says $10 C tax in every province by end of 2018, up to $50 in 2022, this is not assumed here since this is BAU as of 2016 </t>
  </si>
  <si>
    <t xml:space="preserve">Jet Fuel </t>
  </si>
  <si>
    <t xml:space="preserve">Note: no fuel tax on biofuel, jet fuel or natural gas </t>
  </si>
  <si>
    <t>Figure 12.6 - Implied Tax Rates by Fuel of B.C.’s $30/tonne CO2 equivalent Carbon Tax</t>
  </si>
  <si>
    <t>Gasoline (cents per litre)</t>
  </si>
  <si>
    <t>Diesel/Light Fuel Oil (cents per litre)</t>
  </si>
  <si>
    <t>Jet Fuel (cents per litre)</t>
  </si>
  <si>
    <t>Propane (cents per litre)</t>
  </si>
  <si>
    <t>Natural Gas (cents per cubic metre)</t>
  </si>
  <si>
    <t>Unit: cents/L</t>
  </si>
  <si>
    <t>Current Fuel Tax Rates</t>
  </si>
  <si>
    <t>Federal and Provincial Consumption Taxes on Petroleum Products</t>
  </si>
  <si>
    <t>(In Cents/Litre or in %, as indicated)</t>
  </si>
  <si>
    <t>Gasoline</t>
  </si>
  <si>
    <t>(motor vehicle)</t>
  </si>
  <si>
    <t>Furnace Oil/ Natural Gas   (for heating)</t>
  </si>
  <si>
    <t>Federal Taxes</t>
  </si>
  <si>
    <t>Excise Tax</t>
  </si>
  <si>
    <t>-</t>
  </si>
  <si>
    <t>Goods and Services Tax</t>
  </si>
  <si>
    <t>OR:</t>
  </si>
  <si>
    <t>Harmonized Sales Taxes (1)</t>
  </si>
  <si>
    <t>Nova Scotia (2), Newfoundland and Labrador and New Brunswick</t>
  </si>
  <si>
    <t>Prince Edward Island</t>
  </si>
  <si>
    <t>Provincial Fuel Taxes</t>
  </si>
  <si>
    <t>Newfoundland and Labrador</t>
  </si>
  <si>
    <t>Quebec (3) </t>
  </si>
  <si>
    <t>Quebec Sales Tax (QST)</t>
  </si>
  <si>
    <t>Saskatchewan</t>
  </si>
  <si>
    <t>Alberta Carbon Tax (4)</t>
  </si>
  <si>
    <t>British Columbia plus Carbon Tax (5)</t>
  </si>
  <si>
    <t>7.67/5.70*</t>
  </si>
  <si>
    <t>Northwest Territories (6)</t>
  </si>
  <si>
    <t>10.7/6.4</t>
  </si>
  <si>
    <t>Nunavut (6)</t>
  </si>
  <si>
    <t>Transportation Taxes</t>
  </si>
  <si>
    <t>(in addition to federal and provincial taxes)</t>
  </si>
  <si>
    <t>Montréal (3)</t>
  </si>
  <si>
    <t>Vancouver (5)</t>
  </si>
  <si>
    <t>Victoria (5)</t>
  </si>
  <si>
    <t>From: NEB Energy Futures, January 2016</t>
  </si>
  <si>
    <t>From: NRCan</t>
  </si>
  <si>
    <t>Charge the GST/HST</t>
  </si>
  <si>
    <t>Natural Resources Canada</t>
  </si>
  <si>
    <t>Fuel Consumption Taxes in Canada</t>
  </si>
  <si>
    <t>National Energy Board</t>
  </si>
  <si>
    <t>Janauary 2016 projections</t>
  </si>
  <si>
    <t>Did not include transporation taxes in cities: Montreal, Vancouver and Victoria</t>
  </si>
  <si>
    <t>Current federal legislation says $10 C tax in every province by end of 2018, up to $50 in 2022, this is not assumed here since this is BAU</t>
  </si>
  <si>
    <t>Alberta 2016 BAU</t>
  </si>
  <si>
    <t>Have cap and trade, not tax</t>
  </si>
  <si>
    <t xml:space="preserve">Source: </t>
  </si>
  <si>
    <t>https://apps.neb-one.gc.ca/ftrppndc/dflt.aspx?GoCTemplateCulture=en-CA</t>
  </si>
  <si>
    <t>persons (thousands)</t>
  </si>
  <si>
    <t>Canada</t>
  </si>
  <si>
    <t>British Columbia</t>
  </si>
  <si>
    <t>Northwest Territories</t>
  </si>
  <si>
    <t xml:space="preserve">Population by province </t>
  </si>
  <si>
    <t>http://www.statcan.gc.ca/tables-tableaux/sum-som/l01/cst01/demo02a-eng.htm</t>
  </si>
  <si>
    <t>Statistics Canada</t>
  </si>
  <si>
    <t>Population by year, by province and territory </t>
  </si>
  <si>
    <t>Weight</t>
  </si>
  <si>
    <t>Weighted national average</t>
  </si>
  <si>
    <t xml:space="preserve">*Note: petrol tax is 6.4 c/L in Nunavut and NWT for communities not served by hightways, but ignored this </t>
  </si>
  <si>
    <t>Weighted national average (c/L)</t>
  </si>
  <si>
    <t>Note: Natural gas C tax is 5.70 cents per cubic meter, converted to c/L here</t>
  </si>
  <si>
    <t xml:space="preserve">This is as of 2017, so used 0 for 2016 reference case </t>
  </si>
  <si>
    <t xml:space="preserve">* This applies to all fuels </t>
  </si>
  <si>
    <t>NEB</t>
  </si>
  <si>
    <t xml:space="preserve">Note: there is a federal mandate for blending biofuel with gasoline so end use price for petro gasoline here would include some blending </t>
  </si>
  <si>
    <t xml:space="preserve">But for the purposes of this model, assume the % of biofuel that is taxes is the same % of gasoline that is taxed, so don't need price projection for biofuel gasoline or diesel </t>
  </si>
  <si>
    <t>natural gas (c/L)</t>
  </si>
  <si>
    <t>petroleum gasoline (c/L)</t>
  </si>
  <si>
    <t>petroleum diesel (c/L)</t>
  </si>
  <si>
    <t>1m3</t>
  </si>
  <si>
    <t>1000L</t>
  </si>
  <si>
    <t>Natural gas</t>
  </si>
  <si>
    <t>38.68 GJ</t>
  </si>
  <si>
    <t>34.7 GJ</t>
  </si>
  <si>
    <t xml:space="preserve">Equivalents </t>
  </si>
  <si>
    <t>34.66 GJ</t>
  </si>
  <si>
    <t>from: https://apps.neb-one.gc.ca/Conversion/conversion-tables.aspx?GoCTemplateCulture=en-CA#s1ss2</t>
  </si>
  <si>
    <t>0.0373 GJ</t>
  </si>
  <si>
    <t>GJ/L</t>
  </si>
  <si>
    <t>petroleum gasoline ($/GJ)</t>
  </si>
  <si>
    <t>petroleum diesel ($/GJ)</t>
  </si>
  <si>
    <t>Share of fuel price that is carbon or fuel tax</t>
  </si>
  <si>
    <t>Canada's Energy Future: 2017</t>
  </si>
  <si>
    <t xml:space="preserve">End use prices </t>
  </si>
  <si>
    <t xml:space="preserve">Industrial and transport sectors were used </t>
  </si>
  <si>
    <t xml:space="preserve">Since we are taking a ratio of dollar values, we do not need to convert to 2015 dollars </t>
  </si>
  <si>
    <t xml:space="preserve">Taxes considered in Canada: </t>
  </si>
  <si>
    <t>Coal</t>
  </si>
  <si>
    <t>Coal (high heat value)</t>
  </si>
  <si>
    <t xml:space="preserve">Coal unit: $/tonne </t>
  </si>
  <si>
    <t xml:space="preserve">Assumed the tax on lignite would be the same as on coal if lignite were used in Canada </t>
  </si>
  <si>
    <t>coal</t>
  </si>
  <si>
    <t xml:space="preserve">USA Coal price data </t>
  </si>
  <si>
    <t xml:space="preserve">SOURCE: </t>
  </si>
  <si>
    <t>Report</t>
  </si>
  <si>
    <t>Annual Energy Outlook 2016</t>
  </si>
  <si>
    <t>Scenario</t>
  </si>
  <si>
    <t>ref2016</t>
  </si>
  <si>
    <t>Datekey</t>
  </si>
  <si>
    <t>d032416a</t>
  </si>
  <si>
    <t>Release Date</t>
  </si>
  <si>
    <t xml:space="preserve"> May 2016</t>
  </si>
  <si>
    <t>(2015 US dollars per million Btu)</t>
  </si>
  <si>
    <t>jet fuel (c/L)</t>
  </si>
  <si>
    <t xml:space="preserve">Rate of change </t>
  </si>
  <si>
    <t>Royal Bank of Canada</t>
  </si>
  <si>
    <t xml:space="preserve">Commodity Price Monitor </t>
  </si>
  <si>
    <t>http://www.rbc.com/economics/economic-reports/pdf/other-reports/cpm.pdf</t>
  </si>
  <si>
    <t>coal (US$/tonne)</t>
  </si>
  <si>
    <t>natural gas (CAD$/GJ)</t>
  </si>
  <si>
    <t>Price conversion for coal</t>
  </si>
  <si>
    <t>To get 2015 CAD from 2015 USA</t>
  </si>
  <si>
    <t>To get 2015 CAD from 2016 US</t>
  </si>
  <si>
    <t>($/tonne)</t>
  </si>
  <si>
    <t xml:space="preserve">Convert this into USA dollars because coal price projections are in USA </t>
  </si>
  <si>
    <t>Canadian to American exchange rate in 2017 from:</t>
  </si>
  <si>
    <t>https://www.bankofcanada.ca/rates/exchange/annual-average-exchange-rates/</t>
  </si>
  <si>
    <t xml:space="preserve">(US$/tonne) </t>
  </si>
  <si>
    <t>US2014$/million BTU</t>
  </si>
  <si>
    <t>US2014$/BTU</t>
  </si>
  <si>
    <t>Energy Information Administraton</t>
  </si>
  <si>
    <t>State Energy Data System (SEDS): 1960-2014 (complete)</t>
  </si>
  <si>
    <t>http://www.eia.gov/state/seds/sep_prices/total/pdf/pr_US.pdf</t>
  </si>
  <si>
    <t xml:space="preserve">Assume jet fuel starting price is the same as USA model starting price in lack of a Canadian data source </t>
  </si>
  <si>
    <t>Table ET1, Row "2014"</t>
  </si>
  <si>
    <t xml:space="preserve">Use Canadian diesel price projection in the transport sector to scale jet fuel price over time </t>
  </si>
  <si>
    <t>Convert 2014US to 2015CAD</t>
  </si>
  <si>
    <t>CAD2015$/BTU</t>
  </si>
  <si>
    <t xml:space="preserve">For jet fuel projection scale: </t>
  </si>
  <si>
    <t>Select Report Version: Canada’s Energy Future 2017</t>
  </si>
  <si>
    <t>Select Appendices: End - Use Prices</t>
  </si>
  <si>
    <t>Select Case: Reference</t>
  </si>
  <si>
    <t>Select Sector: Transportation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</si>
  <si>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</si>
  <si>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</si>
  <si>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</si>
  <si>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</si>
  <si>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</si>
  <si>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</si>
  <si>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</si>
  <si>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</si>
  <si>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</si>
  <si>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</si>
  <si>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</si>
  <si>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</si>
  <si>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</si>
  <si>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</si>
  <si>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</si>
  <si>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</si>
  <si>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</si>
  <si>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</si>
  <si>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</si>
  <si>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</si>
  <si>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</si>
  <si>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</si>
  <si>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</si>
  <si>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</si>
  <si>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</si>
  <si>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</si>
  <si>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</si>
  <si>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</si>
  <si>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</si>
  <si>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</si>
  <si>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</si>
  <si>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</si>
  <si>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</si>
  <si>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</si>
  <si>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</si>
  <si>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</si>
  <si>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</si>
  <si>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jet fuel ($/GJ)</t>
  </si>
  <si>
    <t>BTU to GJ</t>
  </si>
  <si>
    <t>1 BTU=</t>
  </si>
  <si>
    <t>In CAD2016$</t>
  </si>
  <si>
    <t>Electric power sector, Steam Coal</t>
  </si>
  <si>
    <t>Tax rate projections have only been located for petroleum gasoline, petroleum diesel, natural gas, jet fuel and coal.</t>
  </si>
  <si>
    <t>Sources:</t>
  </si>
  <si>
    <t>natural gas, petroleum gasoline, petroleum diesel</t>
  </si>
  <si>
    <t>Canada Energy Future 2016</t>
  </si>
  <si>
    <t>Jet Fuel</t>
  </si>
  <si>
    <t>USA source</t>
  </si>
  <si>
    <t>RBC source</t>
  </si>
  <si>
    <t xml:space="preserve">Prices used were from transport sector for gas and diesel, industry sector for natural gas. </t>
  </si>
  <si>
    <t>Future year coal prices obtained by scaling Canadian coal price in start year by change in future USA coal prices (%).</t>
  </si>
  <si>
    <t>Future year jet fuel prices obtained by scaling U.S. jet fuel price in start year by change in future CAN petroleum gasoline prices (%).</t>
  </si>
  <si>
    <t>Used 2031-2040 trend to estimate 2041-2050 fuel price projections.</t>
  </si>
  <si>
    <t>Sales Tax Rate</t>
  </si>
  <si>
    <t>Canada Revenue Agency:</t>
  </si>
  <si>
    <t>Fuel Tax Rates</t>
  </si>
  <si>
    <t>Fuel Prices and Projections for natural gas, gasoline, diesel</t>
  </si>
  <si>
    <t>Population by Province/Territory (for weighting tax rates)</t>
  </si>
  <si>
    <t>Jet fuel start year price</t>
  </si>
  <si>
    <t>Start year coal price</t>
  </si>
  <si>
    <t>Coal price trend in future years</t>
  </si>
  <si>
    <t>Energy Information Administration</t>
  </si>
  <si>
    <t>PST/GST/HST, Fuel tax, Carbon tax</t>
  </si>
  <si>
    <t>Prices vary considerably by province/territory.  We used a population-weighted average to obtain a national value.</t>
  </si>
  <si>
    <t>coal to gas</t>
  </si>
  <si>
    <t xml:space="preserve">Since the EPS works in inflation adjusted units and Canada's fuel tax and carbon tax are not adjusted to inflation, we assumed a 2% annual inflation rate and adjusted the tax values accordingly </t>
  </si>
  <si>
    <t xml:space="preserve">Canada inflation rate </t>
  </si>
  <si>
    <t>Bank of Canada</t>
  </si>
  <si>
    <t>https://www.bankofcanada.ca/core-functions/monetary-policy/inflation/</t>
  </si>
  <si>
    <t>Fuel price data was not available for 2016 Energy Futures so used 2017</t>
  </si>
  <si>
    <t xml:space="preserve">Because fuel tax is not indexed to inflation, we have adjusted for inflation using as assumed 2% inflation rate here: </t>
  </si>
  <si>
    <t xml:space="preserve">Fuel tax, weighted national average </t>
  </si>
  <si>
    <t>Petrol (c/L)</t>
  </si>
  <si>
    <t>Diesel (c/L)</t>
  </si>
  <si>
    <t xml:space="preserve">Carbon tax, weighted national average </t>
  </si>
  <si>
    <t>Natural Gas (c/L)</t>
  </si>
  <si>
    <t>Jet Fuel (c/L)</t>
  </si>
  <si>
    <t xml:space="preserve">Coal ($/tonne) </t>
  </si>
  <si>
    <t xml:space="preserve">2% estimated inflation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</si>
</sst>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333333"/>
      <name val="Calibri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333333"/>
      <name val="Calibri"/>
      <scheme val="minor"/>
    </font>
    <font>
      <sz val="12"/>
      <color rgb="FF333333"/>
      <name val="Calibri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222222"/>
      <name val="Calibri"/>
      <scheme val="minor"/>
    </font>
    <font>
      <sz val="11"/>
      <color rgb="FF222222"/>
      <name val="Calibri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horizontal="right"/>
    </xf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164" fontId="0" fillId="0" borderId="0" xfId="0" applyNumberFormat="1" applyFont="1"/>
    <xf numFmtId="0" fontId="0" fillId="0" borderId="0" xfId="0" applyNumberFormat="1" applyFont="1"/>
    <xf numFmtId="9" fontId="11" fillId="0" borderId="0" xfId="0" applyNumberFormat="1" applyFont="1"/>
    <xf numFmtId="0" fontId="11" fillId="0" borderId="0" xfId="0" applyFont="1"/>
    <xf numFmtId="0" fontId="12" fillId="0" borderId="0" xfId="0" applyFont="1" applyAlignment="1">
      <alignment vertical="center"/>
    </xf>
    <xf numFmtId="2" fontId="0" fillId="0" borderId="0" xfId="0" applyNumberFormat="1"/>
    <xf numFmtId="0" fontId="2" fillId="4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14" fillId="0" borderId="0" xfId="0" applyFont="1"/>
    <xf numFmtId="0" fontId="1" fillId="0" borderId="0" xfId="0" applyFont="1"/>
    <xf numFmtId="0" fontId="15" fillId="0" borderId="0" xfId="0" applyFont="1"/>
    <xf numFmtId="9" fontId="15" fillId="0" borderId="0" xfId="0" applyNumberFormat="1" applyFont="1"/>
    <xf numFmtId="10" fontId="15" fillId="0" borderId="0" xfId="0" applyNumberFormat="1" applyFont="1"/>
    <xf numFmtId="8" fontId="15" fillId="0" borderId="0" xfId="0" applyNumberFormat="1" applyFont="1"/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left" vertical="center"/>
    </xf>
    <xf numFmtId="0" fontId="13" fillId="0" borderId="0" xfId="0" applyFont="1"/>
    <xf numFmtId="2" fontId="0" fillId="0" borderId="0" xfId="0" applyNumberFormat="1" applyFont="1"/>
    <xf numFmtId="0" fontId="17" fillId="0" borderId="0" xfId="0" applyFont="1"/>
    <xf numFmtId="0" fontId="18" fillId="0" borderId="0" xfId="0" applyFont="1"/>
    <xf numFmtId="4" fontId="17" fillId="0" borderId="0" xfId="0" applyNumberFormat="1" applyFont="1"/>
    <xf numFmtId="0" fontId="19" fillId="0" borderId="0" xfId="0" applyFont="1"/>
    <xf numFmtId="4" fontId="13" fillId="0" borderId="0" xfId="0" applyNumberFormat="1" applyFont="1"/>
    <xf numFmtId="0" fontId="2" fillId="6" borderId="0" xfId="0" applyFont="1" applyFill="1"/>
    <xf numFmtId="4" fontId="0" fillId="0" borderId="7" xfId="11" applyNumberFormat="1" applyFont="1" applyFill="1" applyAlignment="1">
      <alignment horizontal="right" wrapText="1"/>
    </xf>
    <xf numFmtId="0" fontId="20" fillId="0" borderId="0" xfId="8" applyFont="1"/>
    <xf numFmtId="0" fontId="2" fillId="0" borderId="7" xfId="11" applyFont="1" applyFill="1" applyBorder="1" applyAlignment="1">
      <alignment wrapText="1"/>
    </xf>
    <xf numFmtId="0" fontId="21" fillId="0" borderId="0" xfId="0" applyFont="1"/>
    <xf numFmtId="164" fontId="22" fillId="0" borderId="0" xfId="0" applyNumberFormat="1" applyFont="1"/>
    <xf numFmtId="164" fontId="0" fillId="0" borderId="0" xfId="0" applyNumberFormat="1" applyFont="1" applyAlignment="1"/>
    <xf numFmtId="0" fontId="13" fillId="0" borderId="0" xfId="0" applyFont="1" applyAlignment="1">
      <alignment horizontal="left"/>
    </xf>
    <xf numFmtId="0" fontId="2" fillId="0" borderId="0" xfId="0" applyNumberFormat="1" applyFont="1" applyFill="1" applyBorder="1" applyAlignment="1" applyProtection="1"/>
    <xf numFmtId="11" fontId="0" fillId="0" borderId="0" xfId="0" applyNumberFormat="1" applyFont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3" fillId="0" borderId="0" xfId="1" applyFont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 applyFont="1" applyFill="1" applyBorder="1" applyAlignment="1" applyProtection="1"/>
    <xf numFmtId="0" fontId="13" fillId="0" borderId="0" xfId="0" applyNumberFormat="1" applyFont="1" applyFill="1" applyAlignment="1" applyProtection="1"/>
    <xf numFmtId="0" fontId="24" fillId="0" borderId="0" xfId="8" applyFont="1"/>
    <xf numFmtId="0" fontId="24" fillId="0" borderId="0" xfId="8" applyFont="1" applyFill="1"/>
    <xf numFmtId="0" fontId="25" fillId="0" borderId="0" xfId="0" applyNumberFormat="1" applyFont="1" applyFill="1" applyAlignment="1" applyProtection="1"/>
    <xf numFmtId="0" fontId="2" fillId="5" borderId="0" xfId="0" applyFont="1" applyFill="1"/>
    <xf numFmtId="0" fontId="0" fillId="0" borderId="0" xfId="0" applyFont="1" applyAlignment="1">
      <alignment wrapText="1"/>
    </xf>
    <xf numFmtId="0" fontId="2" fillId="7" borderId="0" xfId="0" applyFont="1" applyFill="1"/>
    <xf numFmtId="0" fontId="26" fillId="7" borderId="0" xfId="1" applyFont="1" applyFill="1"/>
    <xf numFmtId="0" fontId="27" fillId="0" borderId="0" xfId="0" applyFont="1"/>
    <xf numFmtId="0" fontId="25" fillId="7" borderId="0" xfId="0" applyFont="1" applyFill="1" applyAlignment="1">
      <alignment vertical="center"/>
    </xf>
    <xf numFmtId="15" fontId="25" fillId="7" borderId="0" xfId="0" applyNumberFormat="1" applyFont="1" applyFill="1" applyAlignment="1">
      <alignment horizontal="left" vertical="center"/>
    </xf>
    <xf numFmtId="0" fontId="14" fillId="0" borderId="0" xfId="0" applyFont="1"/>
  </cellXfs>
  <cellStyles count="143">
    <cellStyle name="Body: normal cell" xfId="5"/>
    <cellStyle name="Body: normal cell 2" xfId="1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" displayName="Table14" ref="A23:AK26" totalsRowCount="1" headerRowDxfId="76" dataDxfId="75" totalsRowDxfId="74">
  <tableColumns count="37">
    <tableColumn id="1" name="_" dataDxfId="73" totalsRowDxfId="72"/>
    <tableColumn id="2" name="2005" dataDxfId="71" totalsRowDxfId="70"/>
    <tableColumn id="3" name="2006" dataDxfId="69" totalsRowDxfId="68"/>
    <tableColumn id="4" name="2007" dataDxfId="67" totalsRowDxfId="66"/>
    <tableColumn id="5" name="2008" dataDxfId="65" totalsRowDxfId="64"/>
    <tableColumn id="6" name="2009" dataDxfId="63" totalsRowDxfId="62"/>
    <tableColumn id="7" name="2010" dataDxfId="61" totalsRowDxfId="60"/>
    <tableColumn id="8" name="2011" dataDxfId="59" totalsRowDxfId="58"/>
    <tableColumn id="9" name="2012" dataDxfId="57" totalsRowDxfId="56"/>
    <tableColumn id="10" name="2013" dataDxfId="55" totalsRowDxfId="54"/>
    <tableColumn id="11" name="2014" dataDxfId="53" totalsRowDxfId="52"/>
    <tableColumn id="12" name="2015" totalsRowFunction="custom" dataDxfId="51" totalsRowDxfId="50">
      <totalsRowFormula>L25/K25</totalsRowFormula>
    </tableColumn>
    <tableColumn id="13" name="2016" totalsRowFunction="custom" dataDxfId="49" totalsRowDxfId="48">
      <totalsRowFormula>M25/L25</totalsRowFormula>
    </tableColumn>
    <tableColumn id="14" name="2017" totalsRowFunction="custom" dataDxfId="47" totalsRowDxfId="46">
      <totalsRowFormula>N25/M25</totalsRowFormula>
    </tableColumn>
    <tableColumn id="15" name="2018" totalsRowFunction="custom" dataDxfId="45" totalsRowDxfId="44">
      <totalsRowFormula>O25/N25</totalsRowFormula>
    </tableColumn>
    <tableColumn id="16" name="2019" totalsRowFunction="custom" dataDxfId="43" totalsRowDxfId="42">
      <totalsRowFormula>P25/O25</totalsRowFormula>
    </tableColumn>
    <tableColumn id="17" name="2020" totalsRowFunction="custom" dataDxfId="41" totalsRowDxfId="40">
      <totalsRowFormula>Q25/P25</totalsRowFormula>
    </tableColumn>
    <tableColumn id="18" name="2021" totalsRowFunction="custom" dataDxfId="39" totalsRowDxfId="38">
      <totalsRowFormula>R25/Q25</totalsRowFormula>
    </tableColumn>
    <tableColumn id="19" name="2022" totalsRowFunction="custom" dataDxfId="37" totalsRowDxfId="36">
      <totalsRowFormula>S25/R25</totalsRowFormula>
    </tableColumn>
    <tableColumn id="20" name="2023" totalsRowFunction="custom" dataDxfId="35" totalsRowDxfId="34">
      <totalsRowFormula>T25/S25</totalsRowFormula>
    </tableColumn>
    <tableColumn id="21" name="2024" totalsRowFunction="custom" dataDxfId="33" totalsRowDxfId="32">
      <totalsRowFormula>U25/T25</totalsRowFormula>
    </tableColumn>
    <tableColumn id="22" name="2025" totalsRowFunction="custom" dataDxfId="31" totalsRowDxfId="30">
      <totalsRowFormula>V25/U25</totalsRowFormula>
    </tableColumn>
    <tableColumn id="23" name="2026" totalsRowFunction="custom" dataDxfId="29" totalsRowDxfId="28">
      <totalsRowFormula>W25/V25</totalsRowFormula>
    </tableColumn>
    <tableColumn id="24" name="2027" totalsRowFunction="custom" dataDxfId="27" totalsRowDxfId="26">
      <totalsRowFormula>X25/W25</totalsRowFormula>
    </tableColumn>
    <tableColumn id="25" name="2028" totalsRowFunction="custom" dataDxfId="25" totalsRowDxfId="24">
      <totalsRowFormula>Y25/X25</totalsRowFormula>
    </tableColumn>
    <tableColumn id="26" name="2029" totalsRowFunction="custom" dataDxfId="23" totalsRowDxfId="22">
      <totalsRowFormula>Z25/Y25</totalsRowFormula>
    </tableColumn>
    <tableColumn id="27" name="2030" totalsRowFunction="custom" dataDxfId="21" totalsRowDxfId="20">
      <totalsRowFormula>AA25/Z25</totalsRowFormula>
    </tableColumn>
    <tableColumn id="28" name="2031" totalsRowFunction="custom" dataDxfId="19" totalsRowDxfId="18">
      <totalsRowFormula>AB25/AA25</totalsRowFormula>
    </tableColumn>
    <tableColumn id="29" name="2032" totalsRowFunction="custom" dataDxfId="17" totalsRowDxfId="16">
      <totalsRowFormula>AC25/AB25</totalsRowFormula>
    </tableColumn>
    <tableColumn id="30" name="2033" totalsRowFunction="custom" dataDxfId="15" totalsRowDxfId="14">
      <totalsRowFormula>AD25/AC25</totalsRowFormula>
    </tableColumn>
    <tableColumn id="31" name="2034" totalsRowFunction="custom" dataDxfId="13" totalsRowDxfId="12">
      <totalsRowFormula>AE25/AD25</totalsRowFormula>
    </tableColumn>
    <tableColumn id="32" name="2035" totalsRowFunction="custom" dataDxfId="11" totalsRowDxfId="10">
      <totalsRowFormula>AF25/AE25</totalsRowFormula>
    </tableColumn>
    <tableColumn id="33" name="2036" totalsRowFunction="custom" dataDxfId="9" totalsRowDxfId="8">
      <totalsRowFormula>AG25/AF25</totalsRowFormula>
    </tableColumn>
    <tableColumn id="34" name="2037" totalsRowFunction="custom" dataDxfId="7" totalsRowDxfId="6">
      <totalsRowFormula>AH25/AG25</totalsRowFormula>
    </tableColumn>
    <tableColumn id="35" name="2038" totalsRowFunction="custom" dataDxfId="5" totalsRowDxfId="4">
      <totalsRowFormula>AI25/AH25</totalsRowFormula>
    </tableColumn>
    <tableColumn id="36" name="2039" totalsRowFunction="custom" dataDxfId="3" totalsRowDxfId="2">
      <totalsRowFormula>AJ25/AI25</totalsRowFormula>
    </tableColumn>
    <tableColumn id="37" name="2040" totalsRowFunction="custom" dataDxfId="1" totalsRowDxfId="0">
      <totalsRowFormula>AK25/AJ25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p_prices/total/pdf/pr_US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p_prices/total/pdf/pr_US.pdf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20" sqref="D20"/>
    </sheetView>
  </sheetViews>
  <sheetFormatPr baseColWidth="10" defaultColWidth="8.83203125" defaultRowHeight="14" x14ac:dyDescent="0"/>
  <cols>
    <col min="1" max="1" width="27.33203125" customWidth="1"/>
    <col min="2" max="2" width="79.5" customWidth="1"/>
    <col min="3" max="3" width="28" customWidth="1"/>
    <col min="4" max="4" width="21.6640625" customWidth="1"/>
  </cols>
  <sheetData>
    <row r="1" spans="1:4">
      <c r="A1" s="1" t="s">
        <v>22</v>
      </c>
    </row>
    <row r="3" spans="1:4">
      <c r="A3" s="1" t="s">
        <v>0</v>
      </c>
      <c r="B3" s="57" t="s">
        <v>248</v>
      </c>
    </row>
    <row r="4" spans="1:4">
      <c r="B4" s="5" t="s">
        <v>249</v>
      </c>
      <c r="C4" s="4" t="s">
        <v>18</v>
      </c>
    </row>
    <row r="5" spans="1:4">
      <c r="B5" s="2">
        <v>2017</v>
      </c>
      <c r="C5" s="5">
        <f>'Canada tax data'!M5</f>
        <v>0.12861778878634045</v>
      </c>
    </row>
    <row r="6" spans="1:4">
      <c r="B6" t="s">
        <v>99</v>
      </c>
    </row>
    <row r="7" spans="1:4">
      <c r="B7" t="s">
        <v>26</v>
      </c>
    </row>
    <row r="8" spans="1:4">
      <c r="B8" s="3"/>
    </row>
    <row r="9" spans="1:4">
      <c r="B9" s="58" t="s">
        <v>250</v>
      </c>
    </row>
    <row r="10" spans="1:4">
      <c r="B10" s="5" t="s">
        <v>100</v>
      </c>
    </row>
    <row r="11" spans="1:4">
      <c r="B11" s="2">
        <v>2017</v>
      </c>
    </row>
    <row r="12" spans="1:4">
      <c r="B12" t="s">
        <v>101</v>
      </c>
    </row>
    <row r="13" spans="1:4">
      <c r="B13" t="s">
        <v>44</v>
      </c>
    </row>
    <row r="15" spans="1:4">
      <c r="B15" s="57" t="s">
        <v>251</v>
      </c>
      <c r="D15" s="57" t="s">
        <v>261</v>
      </c>
    </row>
    <row r="16" spans="1:4">
      <c r="B16" s="5" t="s">
        <v>102</v>
      </c>
      <c r="D16" t="s">
        <v>262</v>
      </c>
    </row>
    <row r="17" spans="1:4">
      <c r="B17" t="s">
        <v>144</v>
      </c>
      <c r="C17" s="59" t="s">
        <v>264</v>
      </c>
      <c r="D17">
        <v>2018</v>
      </c>
    </row>
    <row r="18" spans="1:4">
      <c r="B18" t="s">
        <v>103</v>
      </c>
      <c r="D18" t="s">
        <v>263</v>
      </c>
    </row>
    <row r="19" spans="1:4">
      <c r="B19" s="25" t="s">
        <v>145</v>
      </c>
      <c r="D19" t="s">
        <v>273</v>
      </c>
    </row>
    <row r="20" spans="1:4">
      <c r="B20" s="25" t="s">
        <v>146</v>
      </c>
    </row>
    <row r="21" spans="1:4">
      <c r="B21" s="25" t="s">
        <v>109</v>
      </c>
    </row>
    <row r="22" spans="1:4">
      <c r="A22" s="5"/>
      <c r="B22" s="24"/>
    </row>
    <row r="23" spans="1:4">
      <c r="A23" s="5"/>
      <c r="B23" s="60" t="s">
        <v>252</v>
      </c>
    </row>
    <row r="24" spans="1:4">
      <c r="A24" s="5"/>
      <c r="B24" s="25" t="s">
        <v>116</v>
      </c>
    </row>
    <row r="25" spans="1:4">
      <c r="A25" s="5"/>
      <c r="B25" s="2">
        <v>2016</v>
      </c>
    </row>
    <row r="26" spans="1:4">
      <c r="A26" s="5"/>
      <c r="B26" s="27" t="s">
        <v>117</v>
      </c>
    </row>
    <row r="27" spans="1:4">
      <c r="A27" s="5"/>
      <c r="B27" s="5" t="s">
        <v>115</v>
      </c>
    </row>
    <row r="28" spans="1:4">
      <c r="B28" s="25"/>
    </row>
    <row r="29" spans="1:4">
      <c r="B29" s="60" t="s">
        <v>253</v>
      </c>
    </row>
    <row r="30" spans="1:4">
      <c r="B30" s="27" t="s">
        <v>182</v>
      </c>
    </row>
    <row r="31" spans="1:4">
      <c r="B31" s="41">
        <v>2016</v>
      </c>
    </row>
    <row r="32" spans="1:4">
      <c r="B32" s="27" t="s">
        <v>183</v>
      </c>
    </row>
    <row r="33" spans="1:3">
      <c r="B33" s="3" t="s">
        <v>184</v>
      </c>
    </row>
    <row r="34" spans="1:3">
      <c r="B34" s="26"/>
    </row>
    <row r="35" spans="1:3">
      <c r="B35" s="60" t="s">
        <v>254</v>
      </c>
    </row>
    <row r="36" spans="1:3">
      <c r="B36" s="27" t="s">
        <v>167</v>
      </c>
    </row>
    <row r="37" spans="1:3">
      <c r="B37" s="27" t="s">
        <v>168</v>
      </c>
    </row>
    <row r="38" spans="1:3">
      <c r="B38" s="2">
        <v>2018</v>
      </c>
    </row>
    <row r="39" spans="1:3">
      <c r="B39" s="27" t="s">
        <v>169</v>
      </c>
    </row>
    <row r="40" spans="1:3">
      <c r="B40" s="26"/>
    </row>
    <row r="41" spans="1:3">
      <c r="B41" s="61" t="s">
        <v>255</v>
      </c>
    </row>
    <row r="42" spans="1:3">
      <c r="B42" s="26" t="s">
        <v>256</v>
      </c>
    </row>
    <row r="43" spans="1:3">
      <c r="B43" s="2">
        <v>2016</v>
      </c>
    </row>
    <row r="44" spans="1:3">
      <c r="B44" s="26" t="s">
        <v>157</v>
      </c>
    </row>
    <row r="45" spans="1:3">
      <c r="B45" s="38"/>
      <c r="C45" s="38"/>
    </row>
    <row r="46" spans="1:3">
      <c r="A46" s="16" t="s">
        <v>14</v>
      </c>
    </row>
    <row r="47" spans="1:3">
      <c r="A47" t="s">
        <v>237</v>
      </c>
    </row>
    <row r="48" spans="1:3">
      <c r="A48" t="s">
        <v>15</v>
      </c>
    </row>
    <row r="49" spans="1:2">
      <c r="A49" t="s">
        <v>16</v>
      </c>
    </row>
    <row r="50" spans="1:2">
      <c r="A50" t="s">
        <v>17</v>
      </c>
    </row>
    <row r="52" spans="1:2">
      <c r="A52" s="1" t="s">
        <v>20</v>
      </c>
    </row>
    <row r="53" spans="1:2">
      <c r="A53" t="s">
        <v>147</v>
      </c>
    </row>
    <row r="54" spans="1:2">
      <c r="A54" s="17"/>
    </row>
    <row r="56" spans="1:2">
      <c r="A56" t="s">
        <v>148</v>
      </c>
      <c r="B56" t="s">
        <v>257</v>
      </c>
    </row>
    <row r="57" spans="1:2">
      <c r="A57" t="s">
        <v>104</v>
      </c>
    </row>
    <row r="58" spans="1:2">
      <c r="A58" s="15" t="s">
        <v>105</v>
      </c>
    </row>
    <row r="59" spans="1:2">
      <c r="A59" s="17" t="s">
        <v>258</v>
      </c>
    </row>
    <row r="61" spans="1:2">
      <c r="A61" t="s">
        <v>152</v>
      </c>
    </row>
    <row r="62" spans="1:2">
      <c r="A62" s="15"/>
    </row>
    <row r="63" spans="1:2">
      <c r="A63" s="15" t="s">
        <v>260</v>
      </c>
    </row>
    <row r="64" spans="1:2">
      <c r="A64" s="15"/>
    </row>
    <row r="65" spans="1:1">
      <c r="A65" s="17"/>
    </row>
    <row r="66" spans="1:1">
      <c r="A66" s="17"/>
    </row>
    <row r="67" spans="1:1">
      <c r="A67" s="17"/>
    </row>
  </sheetData>
  <hyperlinks>
    <hyperlink ref="B33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K70"/>
  <sheetViews>
    <sheetView tabSelected="1" topLeftCell="A26" workbookViewId="0">
      <selection activeCell="AM60" sqref="AM60"/>
    </sheetView>
  </sheetViews>
  <sheetFormatPr baseColWidth="10" defaultColWidth="10.83203125" defaultRowHeight="14" x14ac:dyDescent="0"/>
  <cols>
    <col min="1" max="1" width="17.83203125" style="5" customWidth="1"/>
    <col min="2" max="2" width="22.5" style="5" customWidth="1"/>
    <col min="3" max="3" width="14.83203125" style="5" customWidth="1"/>
    <col min="4" max="7" width="10.83203125" style="5"/>
    <col min="8" max="8" width="14" style="5" customWidth="1"/>
    <col min="9" max="9" width="22" style="5" customWidth="1"/>
    <col min="10" max="10" width="12.6640625" style="5" bestFit="1" customWidth="1"/>
    <col min="11" max="11" width="10.83203125" style="5"/>
    <col min="12" max="12" width="9.33203125" style="5" customWidth="1"/>
    <col min="13" max="13" width="23.6640625" style="5" customWidth="1"/>
    <col min="14" max="14" width="34.1640625" style="5" bestFit="1" customWidth="1"/>
    <col min="15" max="15" width="37.1640625" style="5" bestFit="1" customWidth="1"/>
    <col min="16" max="16384" width="10.83203125" style="5"/>
  </cols>
  <sheetData>
    <row r="1" spans="1:15">
      <c r="A1" s="1" t="s">
        <v>41</v>
      </c>
    </row>
    <row r="2" spans="1:15">
      <c r="A2" s="5" t="s">
        <v>26</v>
      </c>
    </row>
    <row r="4" spans="1:15">
      <c r="A4" s="6" t="s">
        <v>42</v>
      </c>
      <c r="B4" s="1">
        <v>2015</v>
      </c>
      <c r="C4" s="1">
        <v>2016</v>
      </c>
      <c r="D4" s="1">
        <v>2017</v>
      </c>
      <c r="E4" s="5" t="s">
        <v>40</v>
      </c>
      <c r="H4" s="6" t="s">
        <v>43</v>
      </c>
      <c r="I4" s="5" t="s">
        <v>46</v>
      </c>
      <c r="J4" s="5" t="s">
        <v>52</v>
      </c>
      <c r="K4" s="6" t="s">
        <v>55</v>
      </c>
      <c r="L4" s="1" t="s">
        <v>118</v>
      </c>
      <c r="M4" s="14" t="s">
        <v>119</v>
      </c>
      <c r="N4" s="5" t="s">
        <v>124</v>
      </c>
      <c r="O4"/>
    </row>
    <row r="5" spans="1:15">
      <c r="A5" s="5" t="s">
        <v>27</v>
      </c>
      <c r="B5" s="5">
        <v>0.05</v>
      </c>
      <c r="C5" s="5">
        <v>0.05</v>
      </c>
      <c r="D5" s="5">
        <v>0.05</v>
      </c>
      <c r="E5" s="5" t="s">
        <v>51</v>
      </c>
      <c r="K5" s="5">
        <f>D5</f>
        <v>0.05</v>
      </c>
      <c r="L5" s="8">
        <f>Population!F14</f>
        <v>0.13119405701427839</v>
      </c>
      <c r="M5" s="5">
        <f>SUMPRODUCT(K5:K17,L5:L17)/SUM(L5:L17)</f>
        <v>0.12861778878634045</v>
      </c>
      <c r="O5"/>
    </row>
    <row r="6" spans="1:15">
      <c r="A6" s="5" t="s">
        <v>28</v>
      </c>
      <c r="B6" s="5">
        <v>0.05</v>
      </c>
      <c r="C6" s="5">
        <v>0.05</v>
      </c>
      <c r="D6" s="5">
        <v>0.05</v>
      </c>
      <c r="K6" s="5">
        <f t="shared" ref="K6:K17" si="0">D6</f>
        <v>0.05</v>
      </c>
      <c r="L6" s="5">
        <f>Population!F13</f>
        <v>0.11681915697401873</v>
      </c>
      <c r="O6"/>
    </row>
    <row r="7" spans="1:15">
      <c r="A7" s="5" t="s">
        <v>29</v>
      </c>
      <c r="B7" s="5">
        <v>0.05</v>
      </c>
      <c r="C7" s="5">
        <v>0.05</v>
      </c>
      <c r="D7" s="5">
        <v>0.05</v>
      </c>
      <c r="K7" s="5">
        <f t="shared" si="0"/>
        <v>0.05</v>
      </c>
      <c r="L7" s="5">
        <f>Population!F12</f>
        <v>3.1672760763940593E-2</v>
      </c>
      <c r="O7"/>
    </row>
    <row r="8" spans="1:15">
      <c r="A8" s="5" t="s">
        <v>30</v>
      </c>
      <c r="B8" s="5">
        <v>0.05</v>
      </c>
      <c r="C8" s="5">
        <v>0.05</v>
      </c>
      <c r="D8" s="5">
        <v>0.05</v>
      </c>
      <c r="K8" s="5">
        <f t="shared" si="0"/>
        <v>0.05</v>
      </c>
      <c r="L8" s="5">
        <f>Population!F11</f>
        <v>3.6346740347335968E-2</v>
      </c>
      <c r="O8"/>
    </row>
    <row r="9" spans="1:15">
      <c r="A9" s="5" t="s">
        <v>31</v>
      </c>
      <c r="B9" s="5">
        <v>0.13</v>
      </c>
      <c r="C9" s="5">
        <v>0.13</v>
      </c>
      <c r="D9" s="5">
        <v>0.13</v>
      </c>
      <c r="K9" s="5">
        <f t="shared" si="0"/>
        <v>0.13</v>
      </c>
      <c r="L9" s="5">
        <f>Population!F10</f>
        <v>0.38539788112925555</v>
      </c>
      <c r="O9"/>
    </row>
    <row r="10" spans="1:15">
      <c r="A10" s="5" t="s">
        <v>32</v>
      </c>
      <c r="B10" s="5">
        <v>0.13</v>
      </c>
      <c r="C10" s="5">
        <v>0.13</v>
      </c>
      <c r="D10" s="5">
        <v>0.13</v>
      </c>
      <c r="H10" s="9">
        <v>9.9750000000000005E-2</v>
      </c>
      <c r="K10" s="9">
        <f>D10+H10</f>
        <v>0.22975000000000001</v>
      </c>
      <c r="L10" s="5">
        <f>Population!F9</f>
        <v>0.22947723123928018</v>
      </c>
      <c r="O10"/>
    </row>
    <row r="11" spans="1:15">
      <c r="A11" s="5" t="s">
        <v>33</v>
      </c>
      <c r="B11" s="5">
        <v>0.15</v>
      </c>
      <c r="C11" s="5">
        <v>0.15</v>
      </c>
      <c r="D11" s="5">
        <v>0.15</v>
      </c>
      <c r="K11" s="5">
        <f t="shared" si="0"/>
        <v>0.15</v>
      </c>
      <c r="L11" s="5">
        <f>Population!F5</f>
        <v>1.4623075947342587E-2</v>
      </c>
      <c r="O11"/>
    </row>
    <row r="12" spans="1:15">
      <c r="A12" s="5" t="s">
        <v>34</v>
      </c>
      <c r="B12" s="5">
        <v>0.15</v>
      </c>
      <c r="C12" s="5">
        <v>0.15</v>
      </c>
      <c r="D12" s="5">
        <v>0.15</v>
      </c>
      <c r="K12" s="5">
        <f t="shared" si="0"/>
        <v>0.15</v>
      </c>
      <c r="L12" s="5">
        <f>Population!F7</f>
        <v>2.615774060654192E-2</v>
      </c>
      <c r="O12"/>
    </row>
    <row r="13" spans="1:15">
      <c r="A13" s="5" t="s">
        <v>35</v>
      </c>
      <c r="B13" s="5">
        <v>0.15</v>
      </c>
      <c r="C13" s="5">
        <v>0.15</v>
      </c>
      <c r="D13" s="5">
        <v>0.15</v>
      </c>
      <c r="K13" s="5">
        <f t="shared" si="0"/>
        <v>0.15</v>
      </c>
      <c r="L13" s="5">
        <f>Population!F8</f>
        <v>2.0885381336068782E-2</v>
      </c>
      <c r="O13"/>
    </row>
    <row r="14" spans="1:15">
      <c r="A14" s="5" t="s">
        <v>36</v>
      </c>
      <c r="B14" s="5">
        <v>0.14000000000000001</v>
      </c>
      <c r="C14" s="5">
        <v>0.14000000000000001</v>
      </c>
      <c r="D14" s="5">
        <v>0.14000000000000001</v>
      </c>
      <c r="K14" s="5">
        <f t="shared" si="0"/>
        <v>0.14000000000000001</v>
      </c>
      <c r="L14" s="5">
        <f>Population!F6</f>
        <v>4.1224775676555097E-3</v>
      </c>
      <c r="O14"/>
    </row>
    <row r="15" spans="1:15">
      <c r="A15" s="5" t="s">
        <v>37</v>
      </c>
      <c r="B15" s="5">
        <v>0.05</v>
      </c>
      <c r="C15" s="5">
        <v>0.05</v>
      </c>
      <c r="D15" s="5">
        <v>0.05</v>
      </c>
      <c r="K15" s="5">
        <f t="shared" si="0"/>
        <v>0.05</v>
      </c>
      <c r="L15" s="5">
        <f>Population!F17</f>
        <v>1.0257937492761538E-3</v>
      </c>
      <c r="O15"/>
    </row>
    <row r="16" spans="1:15">
      <c r="A16" s="5" t="s">
        <v>38</v>
      </c>
      <c r="B16" s="5">
        <v>0.05</v>
      </c>
      <c r="C16" s="5">
        <v>0.05</v>
      </c>
      <c r="D16" s="5">
        <v>0.05</v>
      </c>
      <c r="K16" s="5">
        <f t="shared" si="0"/>
        <v>0.05</v>
      </c>
      <c r="L16" s="5">
        <f>Population!F16</f>
        <v>1.2298494950999047E-3</v>
      </c>
      <c r="O16"/>
    </row>
    <row r="17" spans="1:15">
      <c r="A17" s="5" t="s">
        <v>39</v>
      </c>
      <c r="B17" s="5">
        <v>0.05</v>
      </c>
      <c r="C17" s="5">
        <v>0.05</v>
      </c>
      <c r="D17" s="5">
        <v>0.05</v>
      </c>
      <c r="K17" s="5">
        <f t="shared" si="0"/>
        <v>0.05</v>
      </c>
      <c r="L17" s="5">
        <f>Population!F15</f>
        <v>1.0506113399844476E-3</v>
      </c>
      <c r="O17"/>
    </row>
    <row r="18" spans="1:15">
      <c r="L18" s="8"/>
      <c r="O18" s="10"/>
    </row>
    <row r="19" spans="1:15">
      <c r="A19" s="1" t="s">
        <v>45</v>
      </c>
      <c r="O19" s="10"/>
    </row>
    <row r="20" spans="1:15">
      <c r="A20" s="5" t="s">
        <v>44</v>
      </c>
    </row>
    <row r="21" spans="1:15">
      <c r="I21" s="14" t="s">
        <v>121</v>
      </c>
      <c r="J21" s="15"/>
    </row>
    <row r="22" spans="1:15">
      <c r="A22" s="6" t="s">
        <v>24</v>
      </c>
      <c r="B22" s="1" t="s">
        <v>47</v>
      </c>
      <c r="C22" s="1" t="s">
        <v>48</v>
      </c>
      <c r="D22" s="1" t="s">
        <v>49</v>
      </c>
      <c r="E22" s="15" t="s">
        <v>59</v>
      </c>
      <c r="H22" s="5" t="s">
        <v>53</v>
      </c>
      <c r="I22" s="1" t="s">
        <v>47</v>
      </c>
      <c r="J22" s="1" t="s">
        <v>48</v>
      </c>
      <c r="K22" s="15"/>
      <c r="L22" s="1"/>
    </row>
    <row r="23" spans="1:15">
      <c r="A23" s="5" t="s">
        <v>27</v>
      </c>
      <c r="B23" s="5">
        <v>14.5</v>
      </c>
      <c r="C23" s="5">
        <v>15</v>
      </c>
      <c r="D23" s="5">
        <v>2.7</v>
      </c>
      <c r="I23" s="5">
        <f>SUMPRODUCT(B23:B35,L5:L17)</f>
        <v>15.772603861617114</v>
      </c>
      <c r="J23" s="5">
        <f>SUMPRODUCT(C23:C35,L5:L17)</f>
        <v>15.894761282352489</v>
      </c>
    </row>
    <row r="24" spans="1:15">
      <c r="A24" s="5" t="s">
        <v>28</v>
      </c>
      <c r="B24" s="5">
        <v>13</v>
      </c>
      <c r="C24" s="5">
        <v>13</v>
      </c>
      <c r="D24" s="5">
        <v>9.4</v>
      </c>
      <c r="I24" s="15"/>
    </row>
    <row r="25" spans="1:15">
      <c r="A25" s="5" t="s">
        <v>29</v>
      </c>
      <c r="B25" s="5">
        <v>15</v>
      </c>
      <c r="C25" s="5">
        <v>15</v>
      </c>
      <c r="D25" s="5">
        <v>9</v>
      </c>
    </row>
    <row r="26" spans="1:15">
      <c r="A26" s="5" t="s">
        <v>30</v>
      </c>
      <c r="B26" s="5">
        <v>14</v>
      </c>
      <c r="C26" s="5">
        <v>14</v>
      </c>
      <c r="D26" s="5">
        <v>3</v>
      </c>
    </row>
    <row r="27" spans="1:15">
      <c r="A27" s="5" t="s">
        <v>31</v>
      </c>
      <c r="B27" s="5">
        <v>14.7</v>
      </c>
      <c r="C27" s="5">
        <v>14.3</v>
      </c>
      <c r="D27" s="5">
        <v>4.3</v>
      </c>
    </row>
    <row r="28" spans="1:15">
      <c r="A28" s="5" t="s">
        <v>32</v>
      </c>
      <c r="B28" s="5">
        <v>19.2</v>
      </c>
      <c r="C28" s="5">
        <v>20.2</v>
      </c>
      <c r="D28" s="5">
        <v>0</v>
      </c>
    </row>
    <row r="29" spans="1:15">
      <c r="A29" s="5" t="s">
        <v>33</v>
      </c>
      <c r="B29" s="5">
        <v>33</v>
      </c>
      <c r="C29" s="5">
        <v>21.5</v>
      </c>
      <c r="D29" s="5">
        <v>7</v>
      </c>
    </row>
    <row r="30" spans="1:15">
      <c r="A30" s="5" t="s">
        <v>34</v>
      </c>
      <c r="B30" s="5">
        <v>15.5</v>
      </c>
      <c r="C30" s="5">
        <v>15.4</v>
      </c>
      <c r="D30" s="5">
        <v>7</v>
      </c>
    </row>
    <row r="31" spans="1:15">
      <c r="A31" s="5" t="s">
        <v>35</v>
      </c>
      <c r="B31" s="5">
        <v>15.5</v>
      </c>
      <c r="C31" s="5">
        <v>21.5</v>
      </c>
      <c r="D31" s="5">
        <v>6.7</v>
      </c>
    </row>
    <row r="32" spans="1:15">
      <c r="A32" s="5" t="s">
        <v>36</v>
      </c>
      <c r="B32" s="5">
        <v>13.1</v>
      </c>
      <c r="C32" s="5">
        <v>20.2</v>
      </c>
      <c r="D32" s="5">
        <v>0</v>
      </c>
    </row>
    <row r="33" spans="1:14">
      <c r="A33" s="5" t="s">
        <v>37</v>
      </c>
      <c r="B33" s="5">
        <v>10.7</v>
      </c>
      <c r="C33" s="5">
        <v>9.1</v>
      </c>
      <c r="D33" s="5">
        <v>0</v>
      </c>
    </row>
    <row r="34" spans="1:14">
      <c r="A34" s="5" t="s">
        <v>38</v>
      </c>
      <c r="B34" s="5">
        <v>10.7</v>
      </c>
      <c r="C34" s="5">
        <v>9.1</v>
      </c>
      <c r="D34" s="5">
        <v>0</v>
      </c>
    </row>
    <row r="35" spans="1:14">
      <c r="A35" s="5" t="s">
        <v>39</v>
      </c>
      <c r="B35" s="5">
        <v>6.2</v>
      </c>
      <c r="C35" s="5">
        <v>7.2</v>
      </c>
      <c r="D35" s="5">
        <v>0</v>
      </c>
    </row>
    <row r="36" spans="1:14">
      <c r="B36" s="5" t="s">
        <v>120</v>
      </c>
      <c r="I36" s="14" t="s">
        <v>121</v>
      </c>
      <c r="J36" s="1"/>
      <c r="K36" s="1"/>
      <c r="L36" s="1"/>
      <c r="M36" s="5" t="s">
        <v>175</v>
      </c>
    </row>
    <row r="37" spans="1:14">
      <c r="G37" s="5" t="s">
        <v>66</v>
      </c>
      <c r="H37" s="5" t="s">
        <v>151</v>
      </c>
      <c r="I37" s="1" t="s">
        <v>47</v>
      </c>
      <c r="J37" s="1" t="s">
        <v>48</v>
      </c>
      <c r="K37" s="1" t="s">
        <v>50</v>
      </c>
      <c r="L37" s="1" t="s">
        <v>58</v>
      </c>
      <c r="M37" s="1" t="s">
        <v>149</v>
      </c>
      <c r="N37" s="15"/>
    </row>
    <row r="38" spans="1:14">
      <c r="A38" s="6" t="s">
        <v>25</v>
      </c>
      <c r="B38" s="1" t="s">
        <v>47</v>
      </c>
      <c r="C38" s="1" t="s">
        <v>48</v>
      </c>
      <c r="D38" s="1" t="s">
        <v>49</v>
      </c>
      <c r="E38" s="1" t="s">
        <v>50</v>
      </c>
      <c r="F38" s="1" t="s">
        <v>58</v>
      </c>
      <c r="H38" s="16" t="s">
        <v>150</v>
      </c>
      <c r="I38" s="5">
        <f>SUMPRODUCT(B39:B51,L5:L17)</f>
        <v>0.87506436028523682</v>
      </c>
      <c r="J38" s="5">
        <f>SUMPRODUCT(C39:C51,L5:L17)</f>
        <v>1.0062584172995153</v>
      </c>
      <c r="K38" s="5">
        <f>SUMPRODUCT(E39:E51,L5:L17)</f>
        <v>7.4780612498138684E-4</v>
      </c>
      <c r="L38" s="28">
        <f>SUMPRODUCT(F39:F51,L5:L17)</f>
        <v>1.0272494664217997</v>
      </c>
      <c r="M38" s="5">
        <f>SUMPRODUCT(H39:H51,L5:L17)</f>
        <v>8.1747016925596867</v>
      </c>
    </row>
    <row r="39" spans="1:14">
      <c r="A39" s="5" t="s">
        <v>27</v>
      </c>
      <c r="B39" s="11">
        <v>6.67</v>
      </c>
      <c r="C39" s="11">
        <v>7.67</v>
      </c>
      <c r="D39" s="11">
        <v>4.62</v>
      </c>
      <c r="E39" s="11">
        <v>5.7000000000000002E-3</v>
      </c>
      <c r="F39" s="13">
        <v>7.83</v>
      </c>
      <c r="G39" s="5" t="s">
        <v>122</v>
      </c>
      <c r="H39" s="5">
        <v>62.31</v>
      </c>
      <c r="M39" s="7" t="s">
        <v>176</v>
      </c>
    </row>
    <row r="40" spans="1:14">
      <c r="A40" s="5" t="s">
        <v>106</v>
      </c>
      <c r="B40" s="11">
        <v>0</v>
      </c>
      <c r="C40" s="11">
        <v>0</v>
      </c>
      <c r="D40" s="11">
        <v>0</v>
      </c>
      <c r="E40" s="11">
        <v>0</v>
      </c>
      <c r="F40" s="13">
        <v>0</v>
      </c>
      <c r="H40" s="11">
        <v>0</v>
      </c>
      <c r="M40" s="40" t="s">
        <v>177</v>
      </c>
      <c r="N40" s="5" t="s">
        <v>178</v>
      </c>
    </row>
    <row r="41" spans="1:14">
      <c r="A41" s="5" t="s">
        <v>29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H41" s="5">
        <v>0</v>
      </c>
      <c r="M41" s="11">
        <v>1.2986</v>
      </c>
    </row>
    <row r="42" spans="1:14">
      <c r="A42" s="5" t="s">
        <v>30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H42" s="5">
        <v>0</v>
      </c>
      <c r="M42" s="5" t="s">
        <v>179</v>
      </c>
    </row>
    <row r="43" spans="1:14">
      <c r="A43" s="5" t="s">
        <v>31</v>
      </c>
      <c r="B43" s="5">
        <v>0</v>
      </c>
      <c r="C43" s="5">
        <v>0</v>
      </c>
      <c r="D43" s="5">
        <v>0</v>
      </c>
      <c r="E43" s="11">
        <v>0</v>
      </c>
      <c r="F43" s="5">
        <v>0</v>
      </c>
      <c r="H43" s="5">
        <v>0</v>
      </c>
      <c r="M43" s="5">
        <f>M38/M41</f>
        <v>6.2950113141534629</v>
      </c>
    </row>
    <row r="44" spans="1:14">
      <c r="A44" s="5" t="s">
        <v>32</v>
      </c>
      <c r="B44" s="5">
        <v>0</v>
      </c>
      <c r="C44" s="5">
        <v>0</v>
      </c>
      <c r="D44" s="5">
        <v>0</v>
      </c>
      <c r="E44" s="11">
        <v>0</v>
      </c>
      <c r="F44" s="5">
        <v>0</v>
      </c>
      <c r="G44" s="5" t="s">
        <v>107</v>
      </c>
      <c r="H44" s="5">
        <v>0</v>
      </c>
    </row>
    <row r="45" spans="1:14">
      <c r="A45" s="5" t="s">
        <v>33</v>
      </c>
      <c r="B45" s="5">
        <v>0</v>
      </c>
      <c r="C45" s="5">
        <v>0</v>
      </c>
      <c r="D45" s="5">
        <v>0</v>
      </c>
      <c r="E45" s="11">
        <v>0</v>
      </c>
      <c r="F45" s="5">
        <v>0</v>
      </c>
      <c r="H45" s="5">
        <v>0</v>
      </c>
    </row>
    <row r="46" spans="1:14">
      <c r="A46" s="5" t="s">
        <v>34</v>
      </c>
      <c r="B46" s="5">
        <v>0</v>
      </c>
      <c r="C46" s="5">
        <v>0</v>
      </c>
      <c r="D46" s="5">
        <v>0</v>
      </c>
      <c r="E46" s="11">
        <v>0</v>
      </c>
      <c r="F46" s="5">
        <v>0</v>
      </c>
      <c r="H46" s="5">
        <v>0</v>
      </c>
    </row>
    <row r="47" spans="1:14">
      <c r="A47" s="5" t="s">
        <v>35</v>
      </c>
      <c r="B47" s="5">
        <v>0</v>
      </c>
      <c r="C47" s="5">
        <v>0</v>
      </c>
      <c r="D47" s="5">
        <v>0</v>
      </c>
      <c r="E47" s="11">
        <v>0</v>
      </c>
      <c r="F47" s="5">
        <v>0</v>
      </c>
      <c r="H47" s="5">
        <v>0</v>
      </c>
    </row>
    <row r="48" spans="1:14">
      <c r="A48" s="5" t="s">
        <v>36</v>
      </c>
      <c r="B48" s="5">
        <v>0</v>
      </c>
      <c r="C48" s="5">
        <v>0</v>
      </c>
      <c r="D48" s="5">
        <v>0</v>
      </c>
      <c r="E48" s="11">
        <v>0</v>
      </c>
      <c r="F48" s="5">
        <v>0</v>
      </c>
      <c r="H48" s="5">
        <v>0</v>
      </c>
    </row>
    <row r="49" spans="1:37">
      <c r="A49" s="5" t="s">
        <v>37</v>
      </c>
      <c r="B49" s="5">
        <v>0</v>
      </c>
      <c r="C49" s="5">
        <v>0</v>
      </c>
      <c r="D49" s="5">
        <v>0</v>
      </c>
      <c r="E49" s="11">
        <v>0</v>
      </c>
      <c r="F49" s="5">
        <v>0</v>
      </c>
      <c r="H49" s="5">
        <v>0</v>
      </c>
    </row>
    <row r="50" spans="1:37">
      <c r="A50" s="5" t="s">
        <v>38</v>
      </c>
      <c r="B50" s="5">
        <v>0</v>
      </c>
      <c r="C50" s="5">
        <v>0</v>
      </c>
      <c r="D50" s="5">
        <v>0</v>
      </c>
      <c r="E50" s="11">
        <v>0</v>
      </c>
      <c r="F50" s="5">
        <v>0</v>
      </c>
      <c r="H50" s="5">
        <v>0</v>
      </c>
    </row>
    <row r="51" spans="1:37">
      <c r="A51" s="5" t="s">
        <v>39</v>
      </c>
      <c r="B51" s="5">
        <v>0</v>
      </c>
      <c r="C51" s="5">
        <v>0</v>
      </c>
      <c r="D51" s="5">
        <v>0</v>
      </c>
      <c r="E51" s="11">
        <v>0</v>
      </c>
      <c r="F51" s="5">
        <v>0</v>
      </c>
      <c r="H51" s="5">
        <v>0</v>
      </c>
    </row>
    <row r="53" spans="1:37">
      <c r="A53" s="5" t="s">
        <v>28</v>
      </c>
      <c r="B53" s="11">
        <v>4.49</v>
      </c>
      <c r="C53" s="11">
        <v>5.35</v>
      </c>
      <c r="D53" s="11">
        <v>3.08</v>
      </c>
      <c r="E53" s="11" t="s">
        <v>54</v>
      </c>
      <c r="F53" s="11">
        <v>0</v>
      </c>
      <c r="G53" s="15" t="s">
        <v>123</v>
      </c>
    </row>
    <row r="54" spans="1:37">
      <c r="B54" s="11"/>
      <c r="C54" s="11"/>
      <c r="D54" s="11"/>
      <c r="E54" s="11"/>
      <c r="F54" s="11"/>
      <c r="G54" s="15"/>
    </row>
    <row r="55" spans="1:37">
      <c r="A55" s="7" t="s">
        <v>56</v>
      </c>
    </row>
    <row r="56" spans="1:37">
      <c r="A56" s="7" t="s">
        <v>57</v>
      </c>
    </row>
    <row r="57" spans="1:37">
      <c r="A57" s="15"/>
    </row>
    <row r="58" spans="1:37">
      <c r="A58" s="15" t="s">
        <v>265</v>
      </c>
    </row>
    <row r="59" spans="1:37">
      <c r="A59" s="15" t="s">
        <v>266</v>
      </c>
    </row>
    <row r="60" spans="1:37">
      <c r="A60" s="15"/>
      <c r="B60" s="5">
        <v>2015</v>
      </c>
      <c r="C60" s="5">
        <v>2016</v>
      </c>
      <c r="D60" s="5">
        <v>2017</v>
      </c>
      <c r="E60" s="5">
        <v>2018</v>
      </c>
      <c r="F60" s="5">
        <v>2019</v>
      </c>
      <c r="G60" s="5">
        <v>2020</v>
      </c>
      <c r="H60" s="5">
        <v>2021</v>
      </c>
      <c r="I60" s="5">
        <v>2022</v>
      </c>
      <c r="J60" s="5">
        <v>2023</v>
      </c>
      <c r="K60" s="5">
        <v>2024</v>
      </c>
      <c r="L60" s="5">
        <v>2025</v>
      </c>
      <c r="M60" s="5">
        <v>2026</v>
      </c>
      <c r="N60" s="5">
        <v>2027</v>
      </c>
      <c r="O60" s="5">
        <v>2028</v>
      </c>
      <c r="P60" s="5">
        <v>2029</v>
      </c>
      <c r="Q60" s="5">
        <v>2030</v>
      </c>
      <c r="R60" s="5">
        <v>2031</v>
      </c>
      <c r="S60" s="5">
        <v>2032</v>
      </c>
      <c r="T60" s="5">
        <v>2033</v>
      </c>
      <c r="U60" s="5">
        <v>2034</v>
      </c>
      <c r="V60" s="5">
        <v>2035</v>
      </c>
      <c r="W60" s="5">
        <v>2036</v>
      </c>
      <c r="X60" s="5">
        <v>2037</v>
      </c>
      <c r="Y60" s="5">
        <v>2038</v>
      </c>
      <c r="Z60" s="5">
        <v>2039</v>
      </c>
      <c r="AA60" s="5">
        <v>2040</v>
      </c>
      <c r="AB60" s="5">
        <v>2041</v>
      </c>
      <c r="AC60" s="5">
        <v>2042</v>
      </c>
      <c r="AD60" s="5">
        <v>2043</v>
      </c>
      <c r="AE60" s="5">
        <v>2044</v>
      </c>
      <c r="AF60" s="5">
        <v>2045</v>
      </c>
      <c r="AG60" s="5">
        <v>2046</v>
      </c>
      <c r="AH60" s="5">
        <v>2047</v>
      </c>
      <c r="AI60" s="5">
        <v>2048</v>
      </c>
      <c r="AJ60" s="5">
        <v>2049</v>
      </c>
      <c r="AK60" s="5">
        <v>2050</v>
      </c>
    </row>
    <row r="61" spans="1:37">
      <c r="A61" s="15" t="s">
        <v>267</v>
      </c>
      <c r="B61" s="5">
        <f>I23</f>
        <v>15.772603861617114</v>
      </c>
      <c r="C61" s="5">
        <f>B61-(0.02*B61)</f>
        <v>15.457151784384772</v>
      </c>
      <c r="D61" s="5">
        <f t="shared" ref="D61:AK61" si="1">C61-(0.02*C61)</f>
        <v>15.148008748697077</v>
      </c>
      <c r="E61" s="5">
        <f t="shared" si="1"/>
        <v>14.845048573723135</v>
      </c>
      <c r="F61" s="5">
        <f t="shared" si="1"/>
        <v>14.548147602248672</v>
      </c>
      <c r="G61" s="5">
        <f t="shared" si="1"/>
        <v>14.257184650203699</v>
      </c>
      <c r="H61" s="5">
        <f t="shared" si="1"/>
        <v>13.972040957199626</v>
      </c>
      <c r="I61" s="5">
        <f t="shared" si="1"/>
        <v>13.692600138055633</v>
      </c>
      <c r="J61" s="5">
        <f t="shared" si="1"/>
        <v>13.418748135294521</v>
      </c>
      <c r="K61" s="5">
        <f t="shared" si="1"/>
        <v>13.150373172588631</v>
      </c>
      <c r="L61" s="5">
        <f t="shared" si="1"/>
        <v>12.887365709136859</v>
      </c>
      <c r="M61" s="5">
        <f t="shared" si="1"/>
        <v>12.629618394954122</v>
      </c>
      <c r="N61" s="5">
        <f t="shared" si="1"/>
        <v>12.37702602705504</v>
      </c>
      <c r="O61" s="5">
        <f t="shared" si="1"/>
        <v>12.129485506513939</v>
      </c>
      <c r="P61" s="5">
        <f t="shared" si="1"/>
        <v>11.88689579638366</v>
      </c>
      <c r="Q61" s="5">
        <f t="shared" si="1"/>
        <v>11.649157880455988</v>
      </c>
      <c r="R61" s="5">
        <f t="shared" si="1"/>
        <v>11.416174722846868</v>
      </c>
      <c r="S61" s="5">
        <f t="shared" si="1"/>
        <v>11.187851228389931</v>
      </c>
      <c r="T61" s="5">
        <f t="shared" si="1"/>
        <v>10.964094203822132</v>
      </c>
      <c r="U61" s="5">
        <f t="shared" si="1"/>
        <v>10.744812319745689</v>
      </c>
      <c r="V61" s="5">
        <f t="shared" si="1"/>
        <v>10.529916073350776</v>
      </c>
      <c r="W61" s="5">
        <f t="shared" si="1"/>
        <v>10.31931775188376</v>
      </c>
      <c r="X61" s="5">
        <f t="shared" si="1"/>
        <v>10.112931396846085</v>
      </c>
      <c r="Y61" s="5">
        <f t="shared" si="1"/>
        <v>9.910672768909162</v>
      </c>
      <c r="Z61" s="5">
        <f t="shared" si="1"/>
        <v>9.712459313530978</v>
      </c>
      <c r="AA61" s="5">
        <f t="shared" si="1"/>
        <v>9.5182101272603585</v>
      </c>
      <c r="AB61" s="5">
        <f t="shared" si="1"/>
        <v>9.3278459247151506</v>
      </c>
      <c r="AC61" s="5">
        <f t="shared" si="1"/>
        <v>9.1412890062208483</v>
      </c>
      <c r="AD61" s="5">
        <f t="shared" si="1"/>
        <v>8.9584632260964305</v>
      </c>
      <c r="AE61" s="5">
        <f t="shared" si="1"/>
        <v>8.7792939615745027</v>
      </c>
      <c r="AF61" s="5">
        <f t="shared" si="1"/>
        <v>8.6037080823430134</v>
      </c>
      <c r="AG61" s="5">
        <f t="shared" si="1"/>
        <v>8.4316339206961537</v>
      </c>
      <c r="AH61" s="5">
        <f t="shared" si="1"/>
        <v>8.2630012422822308</v>
      </c>
      <c r="AI61" s="5">
        <f t="shared" si="1"/>
        <v>8.0977412174365853</v>
      </c>
      <c r="AJ61" s="5">
        <f t="shared" si="1"/>
        <v>7.9357863930878532</v>
      </c>
      <c r="AK61" s="5">
        <f t="shared" si="1"/>
        <v>7.7770706652260957</v>
      </c>
    </row>
    <row r="62" spans="1:37">
      <c r="A62" s="15" t="s">
        <v>268</v>
      </c>
      <c r="B62" s="5">
        <f>J23</f>
        <v>15.894761282352489</v>
      </c>
      <c r="C62" s="5">
        <f>B62-(0.02*B62)</f>
        <v>15.576866056705439</v>
      </c>
      <c r="D62" s="5">
        <f t="shared" ref="D62:AK62" si="2">C62-(0.02*C62)</f>
        <v>15.26532873557133</v>
      </c>
      <c r="E62" s="5">
        <f t="shared" si="2"/>
        <v>14.960022160859904</v>
      </c>
      <c r="F62" s="5">
        <f t="shared" si="2"/>
        <v>14.660821717642705</v>
      </c>
      <c r="G62" s="5">
        <f t="shared" si="2"/>
        <v>14.367605283289851</v>
      </c>
      <c r="H62" s="5">
        <f t="shared" si="2"/>
        <v>14.080253177624055</v>
      </c>
      <c r="I62" s="5">
        <f t="shared" si="2"/>
        <v>13.798648114071574</v>
      </c>
      <c r="J62" s="5">
        <f t="shared" si="2"/>
        <v>13.522675151790143</v>
      </c>
      <c r="K62" s="5">
        <f t="shared" si="2"/>
        <v>13.25222164875434</v>
      </c>
      <c r="L62" s="5">
        <f t="shared" si="2"/>
        <v>12.987177215779253</v>
      </c>
      <c r="M62" s="5">
        <f t="shared" si="2"/>
        <v>12.727433671463668</v>
      </c>
      <c r="N62" s="5">
        <f t="shared" si="2"/>
        <v>12.472884998034395</v>
      </c>
      <c r="O62" s="5">
        <f t="shared" si="2"/>
        <v>12.223427298073707</v>
      </c>
      <c r="P62" s="5">
        <f t="shared" si="2"/>
        <v>11.978958752112232</v>
      </c>
      <c r="Q62" s="5">
        <f t="shared" si="2"/>
        <v>11.739379577069988</v>
      </c>
      <c r="R62" s="5">
        <f t="shared" si="2"/>
        <v>11.504591985528588</v>
      </c>
      <c r="S62" s="5">
        <f t="shared" si="2"/>
        <v>11.274500145818017</v>
      </c>
      <c r="T62" s="5">
        <f t="shared" si="2"/>
        <v>11.049010142901656</v>
      </c>
      <c r="U62" s="5">
        <f t="shared" si="2"/>
        <v>10.828029940043622</v>
      </c>
      <c r="V62" s="5">
        <f t="shared" si="2"/>
        <v>10.611469341242749</v>
      </c>
      <c r="W62" s="5">
        <f t="shared" si="2"/>
        <v>10.399239954417894</v>
      </c>
      <c r="X62" s="5">
        <f t="shared" si="2"/>
        <v>10.191255155329536</v>
      </c>
      <c r="Y62" s="5">
        <f t="shared" si="2"/>
        <v>9.9874300522229458</v>
      </c>
      <c r="Z62" s="5">
        <f t="shared" si="2"/>
        <v>9.7876814511784875</v>
      </c>
      <c r="AA62" s="5">
        <f t="shared" si="2"/>
        <v>9.5919278221549185</v>
      </c>
      <c r="AB62" s="5">
        <f t="shared" si="2"/>
        <v>9.40008926571182</v>
      </c>
      <c r="AC62" s="5">
        <f t="shared" si="2"/>
        <v>9.2120874803975834</v>
      </c>
      <c r="AD62" s="5">
        <f t="shared" si="2"/>
        <v>9.0278457307896325</v>
      </c>
      <c r="AE62" s="5">
        <f t="shared" si="2"/>
        <v>8.8472888161738403</v>
      </c>
      <c r="AF62" s="5">
        <f t="shared" si="2"/>
        <v>8.6703430398503638</v>
      </c>
      <c r="AG62" s="5">
        <f t="shared" si="2"/>
        <v>8.4969361790533569</v>
      </c>
      <c r="AH62" s="5">
        <f t="shared" si="2"/>
        <v>8.3269974554722896</v>
      </c>
      <c r="AI62" s="5">
        <f t="shared" si="2"/>
        <v>8.1604575063628442</v>
      </c>
      <c r="AJ62" s="5">
        <f t="shared" si="2"/>
        <v>7.9972483562355876</v>
      </c>
      <c r="AK62" s="5">
        <f t="shared" si="2"/>
        <v>7.8373033891108754</v>
      </c>
    </row>
    <row r="64" spans="1:37">
      <c r="A64" s="5" t="s">
        <v>269</v>
      </c>
    </row>
    <row r="65" spans="1:37">
      <c r="A65" s="15"/>
      <c r="B65" s="5">
        <v>2015</v>
      </c>
      <c r="C65" s="5">
        <v>2016</v>
      </c>
      <c r="D65" s="5">
        <v>2017</v>
      </c>
      <c r="E65" s="5">
        <v>2018</v>
      </c>
      <c r="F65" s="5">
        <v>2019</v>
      </c>
      <c r="G65" s="5">
        <v>2020</v>
      </c>
      <c r="H65" s="5">
        <v>2021</v>
      </c>
      <c r="I65" s="5">
        <v>2022</v>
      </c>
      <c r="J65" s="5">
        <v>2023</v>
      </c>
      <c r="K65" s="5">
        <v>2024</v>
      </c>
      <c r="L65" s="5">
        <v>2025</v>
      </c>
      <c r="M65" s="5">
        <v>2026</v>
      </c>
      <c r="N65" s="5">
        <v>2027</v>
      </c>
      <c r="O65" s="5">
        <v>2028</v>
      </c>
      <c r="P65" s="5">
        <v>2029</v>
      </c>
      <c r="Q65" s="5">
        <v>2030</v>
      </c>
      <c r="R65" s="5">
        <v>2031</v>
      </c>
      <c r="S65" s="5">
        <v>2032</v>
      </c>
      <c r="T65" s="5">
        <v>2033</v>
      </c>
      <c r="U65" s="5">
        <v>2034</v>
      </c>
      <c r="V65" s="5">
        <v>2035</v>
      </c>
      <c r="W65" s="5">
        <v>2036</v>
      </c>
      <c r="X65" s="5">
        <v>2037</v>
      </c>
      <c r="Y65" s="5">
        <v>2038</v>
      </c>
      <c r="Z65" s="5">
        <v>2039</v>
      </c>
      <c r="AA65" s="5">
        <v>2040</v>
      </c>
      <c r="AB65" s="5">
        <v>2041</v>
      </c>
      <c r="AC65" s="5">
        <v>2042</v>
      </c>
      <c r="AD65" s="5">
        <v>2043</v>
      </c>
      <c r="AE65" s="5">
        <v>2044</v>
      </c>
      <c r="AF65" s="5">
        <v>2045</v>
      </c>
      <c r="AG65" s="5">
        <v>2046</v>
      </c>
      <c r="AH65" s="5">
        <v>2047</v>
      </c>
      <c r="AI65" s="5">
        <v>2048</v>
      </c>
      <c r="AJ65" s="5">
        <v>2049</v>
      </c>
      <c r="AK65" s="5">
        <v>2050</v>
      </c>
    </row>
    <row r="66" spans="1:37">
      <c r="A66" s="5" t="s">
        <v>267</v>
      </c>
      <c r="B66" s="5">
        <f>I38</f>
        <v>0.87506436028523682</v>
      </c>
      <c r="C66" s="5">
        <f>B66-(0.02*B66)</f>
        <v>0.85756307307953206</v>
      </c>
      <c r="D66" s="5">
        <f t="shared" ref="D66:AK66" si="3">C66-(0.02*C66)</f>
        <v>0.84041181161794143</v>
      </c>
      <c r="E66" s="5">
        <f t="shared" si="3"/>
        <v>0.8236035753855826</v>
      </c>
      <c r="F66" s="5">
        <f t="shared" si="3"/>
        <v>0.80713150387787091</v>
      </c>
      <c r="G66" s="5">
        <f t="shared" si="3"/>
        <v>0.79098887380031346</v>
      </c>
      <c r="H66" s="5">
        <f t="shared" si="3"/>
        <v>0.77516909632430719</v>
      </c>
      <c r="I66" s="5">
        <f t="shared" si="3"/>
        <v>0.75966571439782105</v>
      </c>
      <c r="J66" s="5">
        <f t="shared" si="3"/>
        <v>0.7444724001098646</v>
      </c>
      <c r="K66" s="5">
        <f t="shared" si="3"/>
        <v>0.72958295210766733</v>
      </c>
      <c r="L66" s="5">
        <f t="shared" si="3"/>
        <v>0.71499129306551401</v>
      </c>
      <c r="M66" s="5">
        <f t="shared" si="3"/>
        <v>0.70069146720420372</v>
      </c>
      <c r="N66" s="5">
        <f t="shared" si="3"/>
        <v>0.68667763786011959</v>
      </c>
      <c r="O66" s="5">
        <f t="shared" si="3"/>
        <v>0.67294408510291726</v>
      </c>
      <c r="P66" s="5">
        <f t="shared" si="3"/>
        <v>0.65948520340085892</v>
      </c>
      <c r="Q66" s="5">
        <f t="shared" si="3"/>
        <v>0.64629549933284169</v>
      </c>
      <c r="R66" s="5">
        <f t="shared" si="3"/>
        <v>0.63336958934618481</v>
      </c>
      <c r="S66" s="5">
        <f t="shared" si="3"/>
        <v>0.62070219755926115</v>
      </c>
      <c r="T66" s="5">
        <f t="shared" si="3"/>
        <v>0.60828815360807598</v>
      </c>
      <c r="U66" s="5">
        <f t="shared" si="3"/>
        <v>0.59612239053591443</v>
      </c>
      <c r="V66" s="5">
        <f t="shared" si="3"/>
        <v>0.58419994272519615</v>
      </c>
      <c r="W66" s="5">
        <f t="shared" si="3"/>
        <v>0.57251594387069227</v>
      </c>
      <c r="X66" s="5">
        <f t="shared" si="3"/>
        <v>0.56106562499327839</v>
      </c>
      <c r="Y66" s="5">
        <f t="shared" si="3"/>
        <v>0.54984431249341281</v>
      </c>
      <c r="Z66" s="5">
        <f t="shared" si="3"/>
        <v>0.53884742624354454</v>
      </c>
      <c r="AA66" s="5">
        <f t="shared" si="3"/>
        <v>0.52807047771867366</v>
      </c>
      <c r="AB66" s="5">
        <f t="shared" si="3"/>
        <v>0.5175090681643002</v>
      </c>
      <c r="AC66" s="5">
        <f t="shared" si="3"/>
        <v>0.50715888680101417</v>
      </c>
      <c r="AD66" s="5">
        <f t="shared" si="3"/>
        <v>0.49701570906499387</v>
      </c>
      <c r="AE66" s="5">
        <f t="shared" si="3"/>
        <v>0.487075394883694</v>
      </c>
      <c r="AF66" s="5">
        <f t="shared" si="3"/>
        <v>0.47733388698602014</v>
      </c>
      <c r="AG66" s="5">
        <f t="shared" si="3"/>
        <v>0.46778720924629974</v>
      </c>
      <c r="AH66" s="5">
        <f t="shared" si="3"/>
        <v>0.45843146506137372</v>
      </c>
      <c r="AI66" s="5">
        <f t="shared" si="3"/>
        <v>0.44926283576014625</v>
      </c>
      <c r="AJ66" s="5">
        <f t="shared" si="3"/>
        <v>0.4402775790449433</v>
      </c>
      <c r="AK66" s="5">
        <f t="shared" si="3"/>
        <v>0.43147202746404445</v>
      </c>
    </row>
    <row r="67" spans="1:37">
      <c r="A67" s="5" t="s">
        <v>268</v>
      </c>
      <c r="B67" s="5">
        <f>J38</f>
        <v>1.0062584172995153</v>
      </c>
      <c r="C67" s="5">
        <f>B67-(0.02*B67)</f>
        <v>0.98613324895352494</v>
      </c>
      <c r="D67" s="5">
        <f t="shared" ref="D67:AK67" si="4">C67-(0.02*C67)</f>
        <v>0.96641058397445445</v>
      </c>
      <c r="E67" s="5">
        <f t="shared" si="4"/>
        <v>0.94708237229496539</v>
      </c>
      <c r="F67" s="5">
        <f t="shared" si="4"/>
        <v>0.92814072484906607</v>
      </c>
      <c r="G67" s="5">
        <f t="shared" si="4"/>
        <v>0.9095779103520848</v>
      </c>
      <c r="H67" s="5">
        <f t="shared" si="4"/>
        <v>0.89138635214504314</v>
      </c>
      <c r="I67" s="5">
        <f t="shared" si="4"/>
        <v>0.87355862510214233</v>
      </c>
      <c r="J67" s="5">
        <f t="shared" si="4"/>
        <v>0.85608745260009944</v>
      </c>
      <c r="K67" s="5">
        <f t="shared" si="4"/>
        <v>0.83896570354809741</v>
      </c>
      <c r="L67" s="5">
        <f t="shared" si="4"/>
        <v>0.82218638947713552</v>
      </c>
      <c r="M67" s="5">
        <f t="shared" si="4"/>
        <v>0.80574266168759279</v>
      </c>
      <c r="N67" s="5">
        <f t="shared" si="4"/>
        <v>0.78962780845384095</v>
      </c>
      <c r="O67" s="5">
        <f t="shared" si="4"/>
        <v>0.77383525228476413</v>
      </c>
      <c r="P67" s="5">
        <f t="shared" si="4"/>
        <v>0.75835854723906881</v>
      </c>
      <c r="Q67" s="5">
        <f t="shared" si="4"/>
        <v>0.74319137629428744</v>
      </c>
      <c r="R67" s="5">
        <f t="shared" si="4"/>
        <v>0.72832754876840167</v>
      </c>
      <c r="S67" s="5">
        <f t="shared" si="4"/>
        <v>0.71376099779303359</v>
      </c>
      <c r="T67" s="5">
        <f t="shared" si="4"/>
        <v>0.69948577783717292</v>
      </c>
      <c r="U67" s="5">
        <f t="shared" si="4"/>
        <v>0.68549606228042947</v>
      </c>
      <c r="V67" s="5">
        <f t="shared" si="4"/>
        <v>0.67178614103482093</v>
      </c>
      <c r="W67" s="5">
        <f t="shared" si="4"/>
        <v>0.65835041821412454</v>
      </c>
      <c r="X67" s="5">
        <f t="shared" si="4"/>
        <v>0.64518340984984202</v>
      </c>
      <c r="Y67" s="5">
        <f t="shared" si="4"/>
        <v>0.63227974165284517</v>
      </c>
      <c r="Z67" s="5">
        <f t="shared" si="4"/>
        <v>0.61963414681978823</v>
      </c>
      <c r="AA67" s="5">
        <f t="shared" si="4"/>
        <v>0.60724146388339251</v>
      </c>
      <c r="AB67" s="5">
        <f t="shared" si="4"/>
        <v>0.59509663460572471</v>
      </c>
      <c r="AC67" s="5">
        <f t="shared" si="4"/>
        <v>0.58319470191361023</v>
      </c>
      <c r="AD67" s="5">
        <f t="shared" si="4"/>
        <v>0.57153080787533805</v>
      </c>
      <c r="AE67" s="5">
        <f t="shared" si="4"/>
        <v>0.56010019171783132</v>
      </c>
      <c r="AF67" s="5">
        <f t="shared" si="4"/>
        <v>0.54889818788347466</v>
      </c>
      <c r="AG67" s="5">
        <f t="shared" si="4"/>
        <v>0.5379202241258052</v>
      </c>
      <c r="AH67" s="5">
        <f t="shared" si="4"/>
        <v>0.52716181964328912</v>
      </c>
      <c r="AI67" s="5">
        <f t="shared" si="4"/>
        <v>0.51661858325042331</v>
      </c>
      <c r="AJ67" s="5">
        <f t="shared" si="4"/>
        <v>0.50628621158541487</v>
      </c>
      <c r="AK67" s="5">
        <f t="shared" si="4"/>
        <v>0.49616048735370655</v>
      </c>
    </row>
    <row r="68" spans="1:37">
      <c r="A68" s="5" t="s">
        <v>270</v>
      </c>
      <c r="B68" s="5">
        <f>K38</f>
        <v>7.4780612498138684E-4</v>
      </c>
      <c r="C68" s="5">
        <f>B68-(0.02*B68)</f>
        <v>7.3285000248175911E-4</v>
      </c>
      <c r="D68" s="5">
        <f t="shared" ref="D68:AK68" si="5">C68-(0.02*C68)</f>
        <v>7.1819300243212395E-4</v>
      </c>
      <c r="E68" s="5">
        <f t="shared" si="5"/>
        <v>7.0382914238348142E-4</v>
      </c>
      <c r="F68" s="5">
        <f t="shared" si="5"/>
        <v>6.8975255953581175E-4</v>
      </c>
      <c r="G68" s="5">
        <f t="shared" si="5"/>
        <v>6.7595750834509554E-4</v>
      </c>
      <c r="H68" s="5">
        <f t="shared" si="5"/>
        <v>6.624383581781936E-4</v>
      </c>
      <c r="I68" s="5">
        <f t="shared" si="5"/>
        <v>6.491895910146297E-4</v>
      </c>
      <c r="J68" s="5">
        <f t="shared" si="5"/>
        <v>6.3620579919433716E-4</v>
      </c>
      <c r="K68" s="5">
        <f t="shared" si="5"/>
        <v>6.234816832104504E-4</v>
      </c>
      <c r="L68" s="5">
        <f t="shared" si="5"/>
        <v>6.1101204954624143E-4</v>
      </c>
      <c r="M68" s="5">
        <f t="shared" si="5"/>
        <v>5.9879180855531655E-4</v>
      </c>
      <c r="N68" s="5">
        <f t="shared" si="5"/>
        <v>5.8681597238421023E-4</v>
      </c>
      <c r="O68" s="5">
        <f t="shared" si="5"/>
        <v>5.7507965293652607E-4</v>
      </c>
      <c r="P68" s="5">
        <f t="shared" si="5"/>
        <v>5.6357805987779556E-4</v>
      </c>
      <c r="Q68" s="5">
        <f t="shared" si="5"/>
        <v>5.5230649868023959E-4</v>
      </c>
      <c r="R68" s="5">
        <f t="shared" si="5"/>
        <v>5.4126036870663478E-4</v>
      </c>
      <c r="S68" s="5">
        <f t="shared" si="5"/>
        <v>5.3043516133250204E-4</v>
      </c>
      <c r="T68" s="5">
        <f t="shared" si="5"/>
        <v>5.1982645810585201E-4</v>
      </c>
      <c r="U68" s="5">
        <f t="shared" si="5"/>
        <v>5.0942992894373491E-4</v>
      </c>
      <c r="V68" s="5">
        <f t="shared" si="5"/>
        <v>4.9924133036486024E-4</v>
      </c>
      <c r="W68" s="5">
        <f t="shared" si="5"/>
        <v>4.8925650375756299E-4</v>
      </c>
      <c r="X68" s="5">
        <f t="shared" si="5"/>
        <v>4.7947137368241171E-4</v>
      </c>
      <c r="Y68" s="5">
        <f t="shared" si="5"/>
        <v>4.6988194620876348E-4</v>
      </c>
      <c r="Z68" s="5">
        <f t="shared" si="5"/>
        <v>4.6048430728458823E-4</v>
      </c>
      <c r="AA68" s="5">
        <f t="shared" si="5"/>
        <v>4.5127462113889644E-4</v>
      </c>
      <c r="AB68" s="5">
        <f t="shared" si="5"/>
        <v>4.4224912871611852E-4</v>
      </c>
      <c r="AC68" s="5">
        <f t="shared" si="5"/>
        <v>4.3340414614179617E-4</v>
      </c>
      <c r="AD68" s="5">
        <f t="shared" si="5"/>
        <v>4.2473606321896023E-4</v>
      </c>
      <c r="AE68" s="5">
        <f t="shared" si="5"/>
        <v>4.16241341954581E-4</v>
      </c>
      <c r="AF68" s="5">
        <f t="shared" si="5"/>
        <v>4.0791651511548936E-4</v>
      </c>
      <c r="AG68" s="5">
        <f t="shared" si="5"/>
        <v>3.9975818481317957E-4</v>
      </c>
      <c r="AH68" s="5">
        <f t="shared" si="5"/>
        <v>3.9176302111691599E-4</v>
      </c>
      <c r="AI68" s="5">
        <f t="shared" si="5"/>
        <v>3.8392776069457769E-4</v>
      </c>
      <c r="AJ68" s="5">
        <f t="shared" si="5"/>
        <v>3.7624920548068612E-4</v>
      </c>
      <c r="AK68" s="5">
        <f t="shared" si="5"/>
        <v>3.6872422137107242E-4</v>
      </c>
    </row>
    <row r="69" spans="1:37">
      <c r="A69" s="5" t="s">
        <v>271</v>
      </c>
      <c r="B69" s="28">
        <f>L38</f>
        <v>1.0272494664217997</v>
      </c>
      <c r="C69" s="5">
        <f>B69-(0.02*B69)</f>
        <v>1.0067044770933637</v>
      </c>
      <c r="D69" s="5">
        <f t="shared" ref="D69:AK69" si="6">C69-(0.02*C69)</f>
        <v>0.98657038755149651</v>
      </c>
      <c r="E69" s="5">
        <f t="shared" si="6"/>
        <v>0.96683897980046662</v>
      </c>
      <c r="F69" s="5">
        <f t="shared" si="6"/>
        <v>0.9475022002044573</v>
      </c>
      <c r="G69" s="5">
        <f t="shared" si="6"/>
        <v>0.92855215620036813</v>
      </c>
      <c r="H69" s="5">
        <f t="shared" si="6"/>
        <v>0.90998111307636076</v>
      </c>
      <c r="I69" s="5">
        <f t="shared" si="6"/>
        <v>0.8917814908148336</v>
      </c>
      <c r="J69" s="5">
        <f t="shared" si="6"/>
        <v>0.87394586099853688</v>
      </c>
      <c r="K69" s="5">
        <f t="shared" si="6"/>
        <v>0.85646694377856614</v>
      </c>
      <c r="L69" s="5">
        <f t="shared" si="6"/>
        <v>0.8393376049029948</v>
      </c>
      <c r="M69" s="5">
        <f t="shared" si="6"/>
        <v>0.8225508528049349</v>
      </c>
      <c r="N69" s="5">
        <f t="shared" si="6"/>
        <v>0.80609983574883615</v>
      </c>
      <c r="O69" s="5">
        <f t="shared" si="6"/>
        <v>0.78997783903385943</v>
      </c>
      <c r="P69" s="5">
        <f t="shared" si="6"/>
        <v>0.77417828225318219</v>
      </c>
      <c r="Q69" s="5">
        <f t="shared" si="6"/>
        <v>0.7586947166081186</v>
      </c>
      <c r="R69" s="5">
        <f t="shared" si="6"/>
        <v>0.74352082227595628</v>
      </c>
      <c r="S69" s="5">
        <f t="shared" si="6"/>
        <v>0.72865040583043716</v>
      </c>
      <c r="T69" s="5">
        <f t="shared" si="6"/>
        <v>0.71407739771382839</v>
      </c>
      <c r="U69" s="5">
        <f t="shared" si="6"/>
        <v>0.69979584975955178</v>
      </c>
      <c r="V69" s="5">
        <f t="shared" si="6"/>
        <v>0.6857999327643608</v>
      </c>
      <c r="W69" s="5">
        <f t="shared" si="6"/>
        <v>0.67208393410907363</v>
      </c>
      <c r="X69" s="5">
        <f t="shared" si="6"/>
        <v>0.65864225542689214</v>
      </c>
      <c r="Y69" s="5">
        <f t="shared" si="6"/>
        <v>0.64546941031835425</v>
      </c>
      <c r="Z69" s="5">
        <f t="shared" si="6"/>
        <v>0.63256002211198714</v>
      </c>
      <c r="AA69" s="5">
        <f t="shared" si="6"/>
        <v>0.61990882166974737</v>
      </c>
      <c r="AB69" s="5">
        <f t="shared" si="6"/>
        <v>0.60751064523635245</v>
      </c>
      <c r="AC69" s="5">
        <f t="shared" si="6"/>
        <v>0.59536043233162539</v>
      </c>
      <c r="AD69" s="5">
        <f t="shared" si="6"/>
        <v>0.58345322368499286</v>
      </c>
      <c r="AE69" s="5">
        <f t="shared" si="6"/>
        <v>0.571784159211293</v>
      </c>
      <c r="AF69" s="5">
        <f t="shared" si="6"/>
        <v>0.56034847602706717</v>
      </c>
      <c r="AG69" s="5">
        <f t="shared" si="6"/>
        <v>0.54914150650652582</v>
      </c>
      <c r="AH69" s="5">
        <f t="shared" si="6"/>
        <v>0.53815867637639525</v>
      </c>
      <c r="AI69" s="5">
        <f t="shared" si="6"/>
        <v>0.52739550284886738</v>
      </c>
      <c r="AJ69" s="5">
        <f t="shared" si="6"/>
        <v>0.51684759279189008</v>
      </c>
      <c r="AK69" s="5">
        <f t="shared" si="6"/>
        <v>0.50651064093605225</v>
      </c>
    </row>
    <row r="70" spans="1:37">
      <c r="A70" s="5" t="s">
        <v>272</v>
      </c>
      <c r="B70" s="5">
        <f>M43</f>
        <v>6.2950113141534629</v>
      </c>
      <c r="C70" s="5">
        <f>B70-(0.02*B70)</f>
        <v>6.1691110878703936</v>
      </c>
      <c r="D70" s="5">
        <f t="shared" ref="D70:AK70" si="7">C70-(0.02*C70)</f>
        <v>6.0457288661129862</v>
      </c>
      <c r="E70" s="5">
        <f t="shared" si="7"/>
        <v>5.9248142887907269</v>
      </c>
      <c r="F70" s="5">
        <f t="shared" si="7"/>
        <v>5.806318003014912</v>
      </c>
      <c r="G70" s="5">
        <f t="shared" si="7"/>
        <v>5.6901916429546135</v>
      </c>
      <c r="H70" s="5">
        <f t="shared" si="7"/>
        <v>5.5763878100955209</v>
      </c>
      <c r="I70" s="5">
        <f t="shared" si="7"/>
        <v>5.4648600538936103</v>
      </c>
      <c r="J70" s="5">
        <f t="shared" si="7"/>
        <v>5.355562852815738</v>
      </c>
      <c r="K70" s="5">
        <f t="shared" si="7"/>
        <v>5.2484515957594233</v>
      </c>
      <c r="L70" s="5">
        <f t="shared" si="7"/>
        <v>5.143482563844235</v>
      </c>
      <c r="M70" s="5">
        <f t="shared" si="7"/>
        <v>5.04061291256735</v>
      </c>
      <c r="N70" s="5">
        <f t="shared" si="7"/>
        <v>4.9398006543160031</v>
      </c>
      <c r="O70" s="5">
        <f t="shared" si="7"/>
        <v>4.8410046412296834</v>
      </c>
      <c r="P70" s="5">
        <f t="shared" si="7"/>
        <v>4.74418454840509</v>
      </c>
      <c r="Q70" s="5">
        <f t="shared" si="7"/>
        <v>4.6493008574369883</v>
      </c>
      <c r="R70" s="5">
        <f t="shared" si="7"/>
        <v>4.5563148402882483</v>
      </c>
      <c r="S70" s="5">
        <f t="shared" si="7"/>
        <v>4.4651885434824834</v>
      </c>
      <c r="T70" s="5">
        <f t="shared" si="7"/>
        <v>4.3758847726128334</v>
      </c>
      <c r="U70" s="5">
        <f t="shared" si="7"/>
        <v>4.2883670771605766</v>
      </c>
      <c r="V70" s="5">
        <f t="shared" si="7"/>
        <v>4.2025997356173654</v>
      </c>
      <c r="W70" s="5">
        <f t="shared" si="7"/>
        <v>4.1185477409050177</v>
      </c>
      <c r="X70" s="5">
        <f t="shared" si="7"/>
        <v>4.0361767860869175</v>
      </c>
      <c r="Y70" s="5">
        <f t="shared" si="7"/>
        <v>3.9554532503651791</v>
      </c>
      <c r="Z70" s="5">
        <f t="shared" si="7"/>
        <v>3.8763441853578757</v>
      </c>
      <c r="AA70" s="5">
        <f t="shared" si="7"/>
        <v>3.7988173016507183</v>
      </c>
      <c r="AB70" s="5">
        <f t="shared" si="7"/>
        <v>3.7228409556177038</v>
      </c>
      <c r="AC70" s="5">
        <f t="shared" si="7"/>
        <v>3.6483841365053498</v>
      </c>
      <c r="AD70" s="5">
        <f t="shared" si="7"/>
        <v>3.5754164537752429</v>
      </c>
      <c r="AE70" s="5">
        <f t="shared" si="7"/>
        <v>3.5039081246997381</v>
      </c>
      <c r="AF70" s="5">
        <f t="shared" si="7"/>
        <v>3.4338299622057433</v>
      </c>
      <c r="AG70" s="5">
        <f t="shared" si="7"/>
        <v>3.3651533629616286</v>
      </c>
      <c r="AH70" s="5">
        <f t="shared" si="7"/>
        <v>3.2978502957023959</v>
      </c>
      <c r="AI70" s="5">
        <f t="shared" si="7"/>
        <v>3.2318932897883479</v>
      </c>
      <c r="AJ70" s="5">
        <f t="shared" si="7"/>
        <v>3.167255423992581</v>
      </c>
      <c r="AK70" s="5">
        <f t="shared" si="7"/>
        <v>3.1039103155127292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K43"/>
  <sheetViews>
    <sheetView workbookViewId="0">
      <selection activeCell="B35" sqref="B35"/>
    </sheetView>
  </sheetViews>
  <sheetFormatPr baseColWidth="10" defaultColWidth="10.83203125" defaultRowHeight="14" x14ac:dyDescent="0"/>
  <cols>
    <col min="1" max="1" width="38.83203125" style="5" customWidth="1"/>
    <col min="2" max="2" width="30" style="5" customWidth="1"/>
    <col min="3" max="3" width="17" style="5" customWidth="1"/>
    <col min="4" max="4" width="15" style="5" customWidth="1"/>
    <col min="5" max="5" width="12.83203125" style="5" customWidth="1"/>
    <col min="6" max="26" width="10.83203125" style="5"/>
    <col min="27" max="27" width="11.1640625" style="5" bestFit="1" customWidth="1"/>
    <col min="28" max="28" width="12.1640625" style="5" bestFit="1" customWidth="1"/>
    <col min="29" max="16384" width="10.83203125" style="5"/>
  </cols>
  <sheetData>
    <row r="1" spans="1:37">
      <c r="A1" s="1" t="s">
        <v>13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170</v>
      </c>
      <c r="B2">
        <v>57.5</v>
      </c>
      <c r="C2">
        <v>65.900000000000006</v>
      </c>
      <c r="D2">
        <v>88.4</v>
      </c>
      <c r="E2" s="5">
        <f>D2*'USA coal price'!F5</f>
        <v>93.305214164750524</v>
      </c>
      <c r="F2" s="5">
        <f>E2*'USA coal price'!G5</f>
        <v>94.518318433186138</v>
      </c>
      <c r="G2" s="5">
        <f>F2*'USA coal price'!H5</f>
        <v>95.964306178492137</v>
      </c>
      <c r="H2" s="5">
        <f>G2*'USA coal price'!I5</f>
        <v>96.015026979404396</v>
      </c>
      <c r="I2" s="5">
        <f>H2*'USA coal price'!J5</f>
        <v>95.983119909156315</v>
      </c>
      <c r="J2" s="5">
        <f>I2*'USA coal price'!K5</f>
        <v>96.263376698825283</v>
      </c>
      <c r="K2" s="5">
        <f>J2*'USA coal price'!L5</f>
        <v>95.944687355749934</v>
      </c>
      <c r="L2" s="5">
        <f>K2*'USA coal price'!M5</f>
        <v>95.962018022059965</v>
      </c>
      <c r="M2" s="5">
        <f>L2*'USA coal price'!N5</f>
        <v>96.122400838645561</v>
      </c>
      <c r="N2" s="5">
        <f>M2*'USA coal price'!O5</f>
        <v>95.883288491487704</v>
      </c>
      <c r="O2" s="5">
        <f>N2*'USA coal price'!P5</f>
        <v>95.673837431413062</v>
      </c>
      <c r="P2" s="5">
        <f>O2*'USA coal price'!Q5</f>
        <v>95.578116220668846</v>
      </c>
      <c r="Q2" s="5">
        <f>P2*'USA coal price'!R5</f>
        <v>95.619981008723414</v>
      </c>
      <c r="R2" s="5">
        <f>Q2*'USA coal price'!S5</f>
        <v>96.174308091041169</v>
      </c>
      <c r="S2" s="5">
        <f>R2*'USA coal price'!T5</f>
        <v>96.762576160435543</v>
      </c>
      <c r="T2" s="5">
        <f>S2*'USA coal price'!U5</f>
        <v>97.321437182350294</v>
      </c>
      <c r="U2" s="5">
        <f>T2*'USA coal price'!V5</f>
        <v>97.903603501258971</v>
      </c>
      <c r="V2" s="5">
        <f>U2*'USA coal price'!W5</f>
        <v>98.228818327492633</v>
      </c>
      <c r="W2" s="5">
        <f>V2*'USA coal price'!X5</f>
        <v>98.791111584055557</v>
      </c>
      <c r="X2" s="5">
        <f>W2*'USA coal price'!Y5</f>
        <v>99.24628522098088</v>
      </c>
      <c r="Y2" s="5">
        <f>X2*'USA coal price'!Z5</f>
        <v>99.887011395245253</v>
      </c>
      <c r="Z2" s="5">
        <f>Y2*'USA coal price'!AA5</f>
        <v>100.39964318257746</v>
      </c>
      <c r="AA2" s="5">
        <f>Z2*'USA coal price'!AB5</f>
        <v>100.96981786685109</v>
      </c>
      <c r="AB2" s="5">
        <f t="shared" ref="AB2:AK2" si="0">TREND($R$2:$AA$2,$R$1:$AA$1,AB1)</f>
        <v>101.43637013847842</v>
      </c>
      <c r="AC2" s="5">
        <f t="shared" si="0"/>
        <v>101.9578081179784</v>
      </c>
      <c r="AD2" s="5">
        <f t="shared" si="0"/>
        <v>102.47924609747815</v>
      </c>
      <c r="AE2" s="5">
        <f t="shared" si="0"/>
        <v>103.00068407697813</v>
      </c>
      <c r="AF2" s="5">
        <f t="shared" si="0"/>
        <v>103.52212205647811</v>
      </c>
      <c r="AG2" s="5">
        <f t="shared" si="0"/>
        <v>104.04356003597809</v>
      </c>
      <c r="AH2" s="5">
        <f t="shared" si="0"/>
        <v>104.56499801547784</v>
      </c>
      <c r="AI2" s="5">
        <f t="shared" si="0"/>
        <v>105.08643599497782</v>
      </c>
      <c r="AJ2" s="5">
        <f t="shared" si="0"/>
        <v>105.6078739744778</v>
      </c>
      <c r="AK2" s="5">
        <f t="shared" si="0"/>
        <v>106.12931195397755</v>
      </c>
    </row>
    <row r="3" spans="1:37">
      <c r="A3" s="1" t="s">
        <v>171</v>
      </c>
      <c r="B3" s="44">
        <v>3.27</v>
      </c>
      <c r="C3" s="44">
        <v>3.56</v>
      </c>
      <c r="D3" s="44">
        <v>3.91</v>
      </c>
      <c r="E3" s="44">
        <v>4.03</v>
      </c>
      <c r="F3" s="44">
        <v>4.16</v>
      </c>
      <c r="G3" s="44">
        <v>4.2699999999999996</v>
      </c>
      <c r="H3" s="44">
        <v>4.3600000000000003</v>
      </c>
      <c r="I3" s="44">
        <v>4.42</v>
      </c>
      <c r="J3" s="44">
        <v>4.47</v>
      </c>
      <c r="K3" s="44">
        <v>4.49</v>
      </c>
      <c r="L3" s="44">
        <v>4.5199999999999996</v>
      </c>
      <c r="M3" s="44">
        <v>4.54</v>
      </c>
      <c r="N3" s="44">
        <v>4.57</v>
      </c>
      <c r="O3" s="44">
        <v>4.59</v>
      </c>
      <c r="P3" s="44">
        <v>4.62</v>
      </c>
      <c r="Q3" s="44">
        <v>4.6399999999999997</v>
      </c>
      <c r="R3" s="44">
        <v>4.67</v>
      </c>
      <c r="S3" s="44">
        <v>4.7</v>
      </c>
      <c r="T3" s="44">
        <v>4.7300000000000004</v>
      </c>
      <c r="U3" s="44">
        <v>4.76</v>
      </c>
      <c r="V3" s="44">
        <v>4.79</v>
      </c>
      <c r="W3" s="44">
        <v>4.8099999999999996</v>
      </c>
      <c r="X3" s="44">
        <v>4.84</v>
      </c>
      <c r="Y3" s="44">
        <v>4.87</v>
      </c>
      <c r="Z3" s="44">
        <v>4.9000000000000004</v>
      </c>
      <c r="AA3" s="45">
        <v>4.93</v>
      </c>
      <c r="AB3" s="5">
        <f>TREND($R$3:$AA$3,$R$1:$AA$1,AB1)</f>
        <v>4.9566666666666634</v>
      </c>
      <c r="AC3" s="5">
        <f t="shared" ref="AC3:AK3" si="1">TREND($R$3:$AA$3,$R$1:$AA$1,AC1)</f>
        <v>4.9851515151515144</v>
      </c>
      <c r="AD3" s="5">
        <f t="shared" si="1"/>
        <v>5.0136363636363654</v>
      </c>
      <c r="AE3" s="5">
        <f t="shared" si="1"/>
        <v>5.0421212121212093</v>
      </c>
      <c r="AF3" s="5">
        <f t="shared" si="1"/>
        <v>5.0706060606060603</v>
      </c>
      <c r="AG3" s="5">
        <f t="shared" si="1"/>
        <v>5.0990909090909113</v>
      </c>
      <c r="AH3" s="5">
        <f t="shared" si="1"/>
        <v>5.1275757575757552</v>
      </c>
      <c r="AI3" s="5">
        <f t="shared" si="1"/>
        <v>5.1560606060606062</v>
      </c>
      <c r="AJ3" s="5">
        <f t="shared" si="1"/>
        <v>5.1845454545454572</v>
      </c>
      <c r="AK3" s="5">
        <f t="shared" si="1"/>
        <v>5.2130303030303011</v>
      </c>
    </row>
    <row r="4" spans="1:37">
      <c r="A4" s="1" t="s">
        <v>141</v>
      </c>
      <c r="B4" s="44">
        <v>32.58</v>
      </c>
      <c r="C4" s="44">
        <v>35.21</v>
      </c>
      <c r="D4" s="44">
        <v>36.56</v>
      </c>
      <c r="E4" s="44">
        <v>37.630000000000003</v>
      </c>
      <c r="F4" s="44">
        <v>38.15</v>
      </c>
      <c r="G4" s="44">
        <v>39.03</v>
      </c>
      <c r="H4" s="44">
        <v>39.79</v>
      </c>
      <c r="I4" s="44">
        <v>40.36</v>
      </c>
      <c r="J4" s="44">
        <v>40.86</v>
      </c>
      <c r="K4" s="44">
        <v>41.31</v>
      </c>
      <c r="L4" s="44">
        <v>41.77</v>
      </c>
      <c r="M4" s="44">
        <v>42.26</v>
      </c>
      <c r="N4" s="44">
        <v>42.76</v>
      </c>
      <c r="O4" s="44">
        <v>43.27</v>
      </c>
      <c r="P4" s="44">
        <v>43.81</v>
      </c>
      <c r="Q4" s="44">
        <v>44.35</v>
      </c>
      <c r="R4" s="44">
        <v>44.6</v>
      </c>
      <c r="S4" s="44">
        <v>44.86</v>
      </c>
      <c r="T4" s="44">
        <v>45.12</v>
      </c>
      <c r="U4" s="44">
        <v>45.38</v>
      </c>
      <c r="V4" s="44">
        <v>45.65</v>
      </c>
      <c r="W4" s="44">
        <v>45.93</v>
      </c>
      <c r="X4" s="44">
        <v>46.21</v>
      </c>
      <c r="Y4" s="44">
        <v>46.49</v>
      </c>
      <c r="Z4" s="44">
        <v>46.77</v>
      </c>
      <c r="AA4" s="45">
        <v>47.06</v>
      </c>
      <c r="AB4" s="5">
        <f>TREND($R$4:$AA$4,$R$1:$AA$1,AB1)</f>
        <v>47.311333333333323</v>
      </c>
      <c r="AC4" s="5">
        <f t="shared" ref="AC4:AK4" si="2">TREND($R$4:$AA$4,$R$1:$AA$1,AC1)</f>
        <v>47.584848484848408</v>
      </c>
      <c r="AD4" s="5">
        <f t="shared" si="2"/>
        <v>47.858363636363606</v>
      </c>
      <c r="AE4" s="5">
        <f t="shared" si="2"/>
        <v>48.131878787878804</v>
      </c>
      <c r="AF4" s="5">
        <f t="shared" si="2"/>
        <v>48.405393939393889</v>
      </c>
      <c r="AG4" s="5">
        <f t="shared" si="2"/>
        <v>48.678909090909087</v>
      </c>
      <c r="AH4" s="5">
        <f t="shared" si="2"/>
        <v>48.952424242424172</v>
      </c>
      <c r="AI4" s="5">
        <f t="shared" si="2"/>
        <v>49.22593939393937</v>
      </c>
      <c r="AJ4" s="5">
        <f t="shared" si="2"/>
        <v>49.499454545454569</v>
      </c>
      <c r="AK4" s="5">
        <f t="shared" si="2"/>
        <v>49.772969696969653</v>
      </c>
    </row>
    <row r="5" spans="1:37">
      <c r="A5" s="1" t="s">
        <v>142</v>
      </c>
      <c r="B5" s="46">
        <v>31.58</v>
      </c>
      <c r="C5" s="46">
        <v>34.090000000000003</v>
      </c>
      <c r="D5" s="46">
        <v>35.29</v>
      </c>
      <c r="E5" s="46">
        <v>36.22</v>
      </c>
      <c r="F5" s="46">
        <v>36.64</v>
      </c>
      <c r="G5" s="46">
        <v>37.4</v>
      </c>
      <c r="H5" s="46">
        <v>38.049999999999997</v>
      </c>
      <c r="I5" s="46">
        <v>38.54</v>
      </c>
      <c r="J5" s="46">
        <v>38.96</v>
      </c>
      <c r="K5" s="46">
        <v>39.33</v>
      </c>
      <c r="L5" s="46">
        <v>39.729999999999997</v>
      </c>
      <c r="M5" s="46">
        <v>40.15</v>
      </c>
      <c r="N5" s="46">
        <v>40.58</v>
      </c>
      <c r="O5" s="46">
        <v>41.03</v>
      </c>
      <c r="P5" s="46">
        <v>41.5</v>
      </c>
      <c r="Q5" s="46">
        <v>41.98</v>
      </c>
      <c r="R5" s="46">
        <v>42.19</v>
      </c>
      <c r="S5" s="46">
        <v>42.41</v>
      </c>
      <c r="T5" s="46">
        <v>42.63</v>
      </c>
      <c r="U5" s="46">
        <v>42.84</v>
      </c>
      <c r="V5" s="46">
        <v>43.07</v>
      </c>
      <c r="W5" s="46">
        <v>43.31</v>
      </c>
      <c r="X5" s="46">
        <v>43.54</v>
      </c>
      <c r="Y5" s="46">
        <v>43.78</v>
      </c>
      <c r="Z5" s="46">
        <v>44.02</v>
      </c>
      <c r="AA5" s="47">
        <v>44.27</v>
      </c>
      <c r="AB5" s="5">
        <f>TREND($R$5:$AA$5,$R$1:$AA$1,AB1)</f>
        <v>44.47533333333331</v>
      </c>
      <c r="AC5" s="5">
        <f t="shared" ref="AC5:AK5" si="3">TREND($R$5:$AA$5,$R$1:$AA$1,AC1)</f>
        <v>44.706121212121218</v>
      </c>
      <c r="AD5" s="5">
        <f t="shared" si="3"/>
        <v>44.936909090909069</v>
      </c>
      <c r="AE5" s="5">
        <f t="shared" si="3"/>
        <v>45.167696969696976</v>
      </c>
      <c r="AF5" s="5">
        <f t="shared" si="3"/>
        <v>45.398484848484827</v>
      </c>
      <c r="AG5" s="5">
        <f t="shared" si="3"/>
        <v>45.629272727272735</v>
      </c>
      <c r="AH5" s="5">
        <f t="shared" si="3"/>
        <v>45.860060606060586</v>
      </c>
      <c r="AI5" s="5">
        <f t="shared" si="3"/>
        <v>46.090848484848493</v>
      </c>
      <c r="AJ5" s="5">
        <f t="shared" si="3"/>
        <v>46.321636363636401</v>
      </c>
      <c r="AK5" s="5">
        <f t="shared" si="3"/>
        <v>46.552424242424252</v>
      </c>
    </row>
    <row r="6" spans="1:37">
      <c r="A6" s="1" t="s">
        <v>232</v>
      </c>
      <c r="B6" s="9">
        <f>'USA jet fuel'!C4/$L$20</f>
        <v>17.410083976266751</v>
      </c>
      <c r="C6" s="9">
        <f>'USA jet fuel'!D4/$L$20</f>
        <v>16.435293537808274</v>
      </c>
      <c r="D6" s="9">
        <f>'USA jet fuel'!E4/$L$20</f>
        <v>18.254176255378841</v>
      </c>
      <c r="E6" s="9">
        <f>'USA jet fuel'!F4/$L$20</f>
        <v>19.185400640721852</v>
      </c>
      <c r="F6" s="9">
        <f>'USA jet fuel'!G4/$L$20</f>
        <v>19.691856008189102</v>
      </c>
      <c r="G6" s="9">
        <f>'USA jet fuel'!H4/$L$20</f>
        <v>20.258214698690118</v>
      </c>
      <c r="H6" s="9">
        <f>'USA jet fuel'!I4/$L$20</f>
        <v>20.70476674312361</v>
      </c>
      <c r="I6" s="9">
        <f>'USA jet fuel'!J4/$L$20</f>
        <v>21.140427274278235</v>
      </c>
      <c r="J6" s="9">
        <f>'USA jet fuel'!K4/$L$20</f>
        <v>21.118644247720503</v>
      </c>
      <c r="K6" s="9">
        <f>'USA jet fuel'!L4/$L$20</f>
        <v>21.102306977802204</v>
      </c>
      <c r="L6" s="9">
        <f>'USA jet fuel'!M4/$L$20</f>
        <v>21.151318787557098</v>
      </c>
      <c r="M6" s="9">
        <f>'USA jet fuel'!N4/$L$20</f>
        <v>21.162210300835962</v>
      </c>
      <c r="N6" s="9">
        <f>'USA jet fuel'!O4/$L$20</f>
        <v>21.134981517638799</v>
      </c>
      <c r="O6" s="9">
        <f>'USA jet fuel'!P4/$L$20</f>
        <v>21.080523951244473</v>
      </c>
      <c r="P6" s="9">
        <f>'USA jet fuel'!Q4/$L$20</f>
        <v>21.004283358292412</v>
      </c>
      <c r="Q6" s="9">
        <f>'USA jet fuel'!R4/$L$20</f>
        <v>20.928042765340351</v>
      </c>
      <c r="R6" s="9">
        <f>'USA jet fuel'!S4/$L$20</f>
        <v>20.85180217238829</v>
      </c>
      <c r="S6" s="9">
        <f>'USA jet fuel'!T4/$L$20</f>
        <v>20.775561579436232</v>
      </c>
      <c r="T6" s="9">
        <f>'USA jet fuel'!U4/$L$20</f>
        <v>20.693875229844739</v>
      </c>
      <c r="U6" s="9">
        <f>'USA jet fuel'!V4/$L$20</f>
        <v>20.601297366974379</v>
      </c>
      <c r="V6" s="9">
        <f>'USA jet fuel'!W4/$L$20</f>
        <v>20.525056774022321</v>
      </c>
      <c r="W6" s="9">
        <f>'USA jet fuel'!X4/$L$20</f>
        <v>20.437924667791393</v>
      </c>
      <c r="X6" s="9">
        <f>'USA jet fuel'!Y4/$L$20</f>
        <v>20.361684074839335</v>
      </c>
      <c r="Y6" s="9">
        <f>'USA jet fuel'!Z4/$L$20</f>
        <v>20.285443481887274</v>
      </c>
      <c r="Z6" s="9">
        <f>'USA jet fuel'!AA4/$L$20</f>
        <v>20.225540158853512</v>
      </c>
      <c r="AA6" s="9">
        <f>'USA jet fuel'!AB4/$L$20</f>
        <v>20.165636835819754</v>
      </c>
      <c r="AB6" s="5">
        <f>TREND($R6:$AA6,$R$1:$AA$1,AB1)</f>
        <v>20.063256610998423</v>
      </c>
      <c r="AC6" s="5">
        <f t="shared" ref="AC6:AK6" si="4">TREND($R6:$AA6,$R$1:$AA$1,AC1)</f>
        <v>19.985233770418915</v>
      </c>
      <c r="AD6" s="5">
        <f t="shared" si="4"/>
        <v>19.907210929839408</v>
      </c>
      <c r="AE6" s="5">
        <f t="shared" si="4"/>
        <v>19.829188089259873</v>
      </c>
      <c r="AF6" s="5">
        <f t="shared" si="4"/>
        <v>19.751165248680365</v>
      </c>
      <c r="AG6" s="5">
        <f t="shared" si="4"/>
        <v>19.673142408100858</v>
      </c>
      <c r="AH6" s="5">
        <f t="shared" si="4"/>
        <v>19.595119567521351</v>
      </c>
      <c r="AI6" s="5">
        <f t="shared" si="4"/>
        <v>19.517096726941844</v>
      </c>
      <c r="AJ6" s="5">
        <f t="shared" si="4"/>
        <v>19.439073886362337</v>
      </c>
      <c r="AK6" s="5">
        <f t="shared" si="4"/>
        <v>19.36105104578283</v>
      </c>
    </row>
    <row r="8" spans="1:37" ht="28">
      <c r="A8" s="1" t="s">
        <v>238</v>
      </c>
      <c r="B8" s="56" t="s">
        <v>239</v>
      </c>
      <c r="C8" s="5" t="s">
        <v>125</v>
      </c>
      <c r="D8" s="56" t="s">
        <v>240</v>
      </c>
      <c r="E8" s="5" t="s">
        <v>235</v>
      </c>
    </row>
    <row r="9" spans="1:37">
      <c r="B9" s="5" t="s">
        <v>241</v>
      </c>
      <c r="C9" s="5" t="s">
        <v>242</v>
      </c>
    </row>
    <row r="10" spans="1:37">
      <c r="B10" s="5" t="s">
        <v>149</v>
      </c>
      <c r="C10" s="5" t="s">
        <v>243</v>
      </c>
    </row>
    <row r="12" spans="1:37">
      <c r="A12" s="5" t="s">
        <v>244</v>
      </c>
    </row>
    <row r="13" spans="1:37">
      <c r="A13" s="5" t="s">
        <v>245</v>
      </c>
    </row>
    <row r="14" spans="1:37">
      <c r="A14" s="5" t="s">
        <v>246</v>
      </c>
    </row>
    <row r="15" spans="1:37">
      <c r="A15" s="5" t="s">
        <v>247</v>
      </c>
    </row>
    <row r="17" spans="1:37">
      <c r="A17" s="5" t="s">
        <v>126</v>
      </c>
    </row>
    <row r="18" spans="1:37">
      <c r="A18" s="5" t="s">
        <v>127</v>
      </c>
    </row>
    <row r="20" spans="1:37">
      <c r="A20" s="1" t="s">
        <v>136</v>
      </c>
      <c r="B20" s="5" t="s">
        <v>138</v>
      </c>
      <c r="K20" s="5" t="s">
        <v>233</v>
      </c>
      <c r="L20" s="43">
        <v>1.05506E-6</v>
      </c>
    </row>
    <row r="21" spans="1:37">
      <c r="A21" s="5" t="s">
        <v>133</v>
      </c>
      <c r="B21" s="5" t="s">
        <v>131</v>
      </c>
      <c r="C21" s="5" t="s">
        <v>132</v>
      </c>
      <c r="D21" s="5" t="s">
        <v>139</v>
      </c>
      <c r="H21" s="5">
        <f>0.0373/1000</f>
        <v>3.7299999999999999E-5</v>
      </c>
      <c r="I21" s="5" t="s">
        <v>140</v>
      </c>
      <c r="K21" s="5" t="s">
        <v>234</v>
      </c>
    </row>
    <row r="22" spans="1:37">
      <c r="A22" s="5" t="s">
        <v>70</v>
      </c>
      <c r="B22" s="5" t="s">
        <v>131</v>
      </c>
      <c r="C22" s="5" t="s">
        <v>132</v>
      </c>
      <c r="D22" s="5" t="s">
        <v>137</v>
      </c>
      <c r="H22" s="5">
        <f>34.66/1000</f>
        <v>3.4659999999999996E-2</v>
      </c>
      <c r="I22" s="5" t="s">
        <v>140</v>
      </c>
    </row>
    <row r="23" spans="1:37">
      <c r="A23" s="5" t="s">
        <v>48</v>
      </c>
      <c r="B23" s="5" t="s">
        <v>131</v>
      </c>
      <c r="C23" s="5" t="s">
        <v>132</v>
      </c>
      <c r="D23" s="5" t="s">
        <v>134</v>
      </c>
      <c r="H23" s="5">
        <f>38.68/1000</f>
        <v>3.8679999999999999E-2</v>
      </c>
      <c r="I23" s="5" t="s">
        <v>140</v>
      </c>
    </row>
    <row r="24" spans="1:37">
      <c r="A24" s="5" t="s">
        <v>58</v>
      </c>
      <c r="B24" s="5" t="s">
        <v>131</v>
      </c>
      <c r="C24" s="5" t="s">
        <v>132</v>
      </c>
      <c r="D24" s="5" t="s">
        <v>135</v>
      </c>
      <c r="H24" s="5">
        <f>34.7/1000</f>
        <v>3.4700000000000002E-2</v>
      </c>
      <c r="I24" s="5" t="s">
        <v>140</v>
      </c>
    </row>
    <row r="26" spans="1:37">
      <c r="A26" s="1" t="s">
        <v>13</v>
      </c>
      <c r="B26" s="1">
        <v>2015</v>
      </c>
      <c r="C26" s="1">
        <v>2016</v>
      </c>
      <c r="D26" s="1">
        <v>2017</v>
      </c>
      <c r="E26" s="1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K26" s="1">
        <v>2024</v>
      </c>
      <c r="L26" s="1">
        <v>2025</v>
      </c>
      <c r="M26" s="1">
        <v>2026</v>
      </c>
      <c r="N26" s="1">
        <v>2027</v>
      </c>
      <c r="O26" s="1">
        <v>2028</v>
      </c>
      <c r="P26" s="1">
        <v>2029</v>
      </c>
      <c r="Q26" s="1">
        <v>2030</v>
      </c>
      <c r="R26" s="1">
        <v>2031</v>
      </c>
      <c r="S26" s="1">
        <v>2032</v>
      </c>
      <c r="T26" s="1">
        <v>2033</v>
      </c>
      <c r="U26" s="1">
        <v>2034</v>
      </c>
      <c r="V26" s="1">
        <v>2035</v>
      </c>
      <c r="W26" s="1">
        <v>2036</v>
      </c>
      <c r="X26" s="1">
        <v>2037</v>
      </c>
      <c r="Y26" s="1">
        <v>2038</v>
      </c>
      <c r="Z26" s="1">
        <v>2039</v>
      </c>
      <c r="AA26" s="1">
        <v>2040</v>
      </c>
      <c r="AB26" s="1">
        <v>2041</v>
      </c>
      <c r="AC26" s="1">
        <v>2042</v>
      </c>
      <c r="AD26" s="1">
        <v>2043</v>
      </c>
      <c r="AE26" s="1">
        <v>2044</v>
      </c>
      <c r="AF26" s="1">
        <v>2045</v>
      </c>
      <c r="AG26" s="1">
        <v>2046</v>
      </c>
      <c r="AH26" s="1">
        <v>2047</v>
      </c>
      <c r="AI26" s="1">
        <v>2048</v>
      </c>
      <c r="AJ26" s="1">
        <v>2049</v>
      </c>
      <c r="AK26" s="1">
        <v>2050</v>
      </c>
    </row>
    <row r="27" spans="1:37">
      <c r="A27" s="1" t="s">
        <v>170</v>
      </c>
      <c r="B27" s="5">
        <f>B2</f>
        <v>57.5</v>
      </c>
      <c r="C27" s="5">
        <f>C2</f>
        <v>65.900000000000006</v>
      </c>
      <c r="D27" s="5">
        <f t="shared" ref="D27:AK27" si="5">D2</f>
        <v>88.4</v>
      </c>
      <c r="E27" s="5">
        <f t="shared" si="5"/>
        <v>93.305214164750524</v>
      </c>
      <c r="F27" s="5">
        <f t="shared" si="5"/>
        <v>94.518318433186138</v>
      </c>
      <c r="G27" s="5">
        <f t="shared" si="5"/>
        <v>95.964306178492137</v>
      </c>
      <c r="H27" s="5">
        <f t="shared" si="5"/>
        <v>96.015026979404396</v>
      </c>
      <c r="I27" s="5">
        <f t="shared" si="5"/>
        <v>95.983119909156315</v>
      </c>
      <c r="J27" s="5">
        <f t="shared" si="5"/>
        <v>96.263376698825283</v>
      </c>
      <c r="K27" s="5">
        <f t="shared" si="5"/>
        <v>95.944687355749934</v>
      </c>
      <c r="L27" s="5">
        <f t="shared" si="5"/>
        <v>95.962018022059965</v>
      </c>
      <c r="M27" s="5">
        <f t="shared" si="5"/>
        <v>96.122400838645561</v>
      </c>
      <c r="N27" s="5">
        <f t="shared" si="5"/>
        <v>95.883288491487704</v>
      </c>
      <c r="O27" s="5">
        <f t="shared" si="5"/>
        <v>95.673837431413062</v>
      </c>
      <c r="P27" s="5">
        <f t="shared" si="5"/>
        <v>95.578116220668846</v>
      </c>
      <c r="Q27" s="5">
        <f t="shared" si="5"/>
        <v>95.619981008723414</v>
      </c>
      <c r="R27" s="5">
        <f t="shared" si="5"/>
        <v>96.174308091041169</v>
      </c>
      <c r="S27" s="5">
        <f t="shared" si="5"/>
        <v>96.762576160435543</v>
      </c>
      <c r="T27" s="5">
        <f t="shared" si="5"/>
        <v>97.321437182350294</v>
      </c>
      <c r="U27" s="5">
        <f t="shared" si="5"/>
        <v>97.903603501258971</v>
      </c>
      <c r="V27" s="5">
        <f t="shared" si="5"/>
        <v>98.228818327492633</v>
      </c>
      <c r="W27" s="5">
        <f t="shared" si="5"/>
        <v>98.791111584055557</v>
      </c>
      <c r="X27" s="5">
        <f t="shared" si="5"/>
        <v>99.24628522098088</v>
      </c>
      <c r="Y27" s="5">
        <f t="shared" si="5"/>
        <v>99.887011395245253</v>
      </c>
      <c r="Z27" s="5">
        <f t="shared" si="5"/>
        <v>100.39964318257746</v>
      </c>
      <c r="AA27" s="5">
        <f t="shared" si="5"/>
        <v>100.96981786685109</v>
      </c>
      <c r="AB27" s="5">
        <f t="shared" si="5"/>
        <v>101.43637013847842</v>
      </c>
      <c r="AC27" s="5">
        <f t="shared" si="5"/>
        <v>101.9578081179784</v>
      </c>
      <c r="AD27" s="5">
        <f t="shared" si="5"/>
        <v>102.47924609747815</v>
      </c>
      <c r="AE27" s="5">
        <f t="shared" si="5"/>
        <v>103.00068407697813</v>
      </c>
      <c r="AF27" s="5">
        <f t="shared" si="5"/>
        <v>103.52212205647811</v>
      </c>
      <c r="AG27" s="5">
        <f t="shared" si="5"/>
        <v>104.04356003597809</v>
      </c>
      <c r="AH27" s="5">
        <f t="shared" si="5"/>
        <v>104.56499801547784</v>
      </c>
      <c r="AI27" s="5">
        <f t="shared" si="5"/>
        <v>105.08643599497782</v>
      </c>
      <c r="AJ27" s="5">
        <f t="shared" si="5"/>
        <v>105.6078739744778</v>
      </c>
      <c r="AK27" s="5">
        <f t="shared" si="5"/>
        <v>106.12931195397755</v>
      </c>
    </row>
    <row r="28" spans="1:37">
      <c r="A28" s="1" t="s">
        <v>128</v>
      </c>
      <c r="B28" s="5">
        <f>B3*$H$21*100</f>
        <v>1.2197100000000001E-2</v>
      </c>
      <c r="C28" s="5">
        <f t="shared" ref="C28:AA28" si="6">C3*$H$21*100</f>
        <v>1.32788E-2</v>
      </c>
      <c r="D28" s="5">
        <f t="shared" si="6"/>
        <v>1.45843E-2</v>
      </c>
      <c r="E28" s="5">
        <f t="shared" si="6"/>
        <v>1.5031899999999999E-2</v>
      </c>
      <c r="F28" s="5">
        <f t="shared" si="6"/>
        <v>1.5516799999999999E-2</v>
      </c>
      <c r="G28" s="5">
        <f t="shared" si="6"/>
        <v>1.5927099999999996E-2</v>
      </c>
      <c r="H28" s="5">
        <f t="shared" si="6"/>
        <v>1.6262800000000001E-2</v>
      </c>
      <c r="I28" s="5">
        <f t="shared" si="6"/>
        <v>1.6486600000000001E-2</v>
      </c>
      <c r="J28" s="5">
        <f t="shared" si="6"/>
        <v>1.66731E-2</v>
      </c>
      <c r="K28" s="5">
        <f t="shared" si="6"/>
        <v>1.6747700000000001E-2</v>
      </c>
      <c r="L28" s="5">
        <f t="shared" si="6"/>
        <v>1.6859599999999995E-2</v>
      </c>
      <c r="M28" s="5">
        <f t="shared" si="6"/>
        <v>1.69342E-2</v>
      </c>
      <c r="N28" s="5">
        <f t="shared" si="6"/>
        <v>1.7046100000000002E-2</v>
      </c>
      <c r="O28" s="5">
        <f t="shared" si="6"/>
        <v>1.7120699999999999E-2</v>
      </c>
      <c r="P28" s="5">
        <f t="shared" si="6"/>
        <v>1.7232600000000001E-2</v>
      </c>
      <c r="Q28" s="5">
        <f t="shared" si="6"/>
        <v>1.7307199999999998E-2</v>
      </c>
      <c r="R28" s="5">
        <f t="shared" si="6"/>
        <v>1.74191E-2</v>
      </c>
      <c r="S28" s="5">
        <f t="shared" si="6"/>
        <v>1.7531000000000001E-2</v>
      </c>
      <c r="T28" s="5">
        <f t="shared" si="6"/>
        <v>1.76429E-2</v>
      </c>
      <c r="U28" s="5">
        <f t="shared" si="6"/>
        <v>1.7754799999999998E-2</v>
      </c>
      <c r="V28" s="5">
        <f t="shared" si="6"/>
        <v>1.7866699999999999E-2</v>
      </c>
      <c r="W28" s="5">
        <f t="shared" si="6"/>
        <v>1.7941299999999997E-2</v>
      </c>
      <c r="X28" s="5">
        <f t="shared" si="6"/>
        <v>1.8053199999999998E-2</v>
      </c>
      <c r="Y28" s="5">
        <f t="shared" si="6"/>
        <v>1.81651E-2</v>
      </c>
      <c r="Z28" s="5">
        <f t="shared" si="6"/>
        <v>1.8277000000000002E-2</v>
      </c>
      <c r="AA28" s="5">
        <f t="shared" si="6"/>
        <v>1.83889E-2</v>
      </c>
      <c r="AB28" s="5">
        <f t="shared" ref="AB28:AK28" si="7">AB3*$H$21*100</f>
        <v>1.8488366666666652E-2</v>
      </c>
      <c r="AC28" s="5">
        <f t="shared" si="7"/>
        <v>1.8594615151515149E-2</v>
      </c>
      <c r="AD28" s="5">
        <f t="shared" si="7"/>
        <v>1.8700863636363644E-2</v>
      </c>
      <c r="AE28" s="5">
        <f t="shared" si="7"/>
        <v>1.8807112121212111E-2</v>
      </c>
      <c r="AF28" s="5">
        <f t="shared" si="7"/>
        <v>1.8913360606060605E-2</v>
      </c>
      <c r="AG28" s="5">
        <f t="shared" si="7"/>
        <v>1.90196090909091E-2</v>
      </c>
      <c r="AH28" s="5">
        <f t="shared" si="7"/>
        <v>1.9125857575757566E-2</v>
      </c>
      <c r="AI28" s="5">
        <f t="shared" si="7"/>
        <v>1.9232106060606061E-2</v>
      </c>
      <c r="AJ28" s="5">
        <f t="shared" si="7"/>
        <v>1.9338354545454555E-2</v>
      </c>
      <c r="AK28" s="5">
        <f t="shared" si="7"/>
        <v>1.9444603030303022E-2</v>
      </c>
    </row>
    <row r="29" spans="1:37">
      <c r="A29" s="1" t="s">
        <v>129</v>
      </c>
      <c r="B29" s="5">
        <f t="shared" ref="B29:AA29" si="8">B4*$H$22*100</f>
        <v>112.92227999999997</v>
      </c>
      <c r="C29" s="5">
        <f t="shared" si="8"/>
        <v>122.03785999999998</v>
      </c>
      <c r="D29" s="5">
        <f t="shared" si="8"/>
        <v>126.71695999999999</v>
      </c>
      <c r="E29" s="5">
        <f t="shared" si="8"/>
        <v>130.42558</v>
      </c>
      <c r="F29" s="5">
        <f t="shared" si="8"/>
        <v>132.22789999999998</v>
      </c>
      <c r="G29" s="5">
        <f t="shared" si="8"/>
        <v>135.27797999999999</v>
      </c>
      <c r="H29" s="5">
        <f t="shared" si="8"/>
        <v>137.91213999999999</v>
      </c>
      <c r="I29" s="5">
        <f t="shared" si="8"/>
        <v>139.88775999999999</v>
      </c>
      <c r="J29" s="5">
        <f t="shared" si="8"/>
        <v>141.62075999999999</v>
      </c>
      <c r="K29" s="5">
        <f t="shared" si="8"/>
        <v>143.18046000000001</v>
      </c>
      <c r="L29" s="5">
        <f t="shared" si="8"/>
        <v>144.77482000000001</v>
      </c>
      <c r="M29" s="5">
        <f t="shared" si="8"/>
        <v>146.47315999999998</v>
      </c>
      <c r="N29" s="5">
        <f t="shared" si="8"/>
        <v>148.20615999999998</v>
      </c>
      <c r="O29" s="5">
        <f t="shared" si="8"/>
        <v>149.97381999999999</v>
      </c>
      <c r="P29" s="5">
        <f t="shared" si="8"/>
        <v>151.84545999999997</v>
      </c>
      <c r="Q29" s="5">
        <f t="shared" si="8"/>
        <v>153.71709999999999</v>
      </c>
      <c r="R29" s="5">
        <f t="shared" si="8"/>
        <v>154.58359999999999</v>
      </c>
      <c r="S29" s="5">
        <f t="shared" si="8"/>
        <v>155.48475999999997</v>
      </c>
      <c r="T29" s="5">
        <f t="shared" si="8"/>
        <v>156.38591999999997</v>
      </c>
      <c r="U29" s="5">
        <f t="shared" si="8"/>
        <v>157.28708</v>
      </c>
      <c r="V29" s="5">
        <f t="shared" si="8"/>
        <v>158.22289999999998</v>
      </c>
      <c r="W29" s="5">
        <f t="shared" si="8"/>
        <v>159.19337999999999</v>
      </c>
      <c r="X29" s="5">
        <f t="shared" si="8"/>
        <v>160.16385999999997</v>
      </c>
      <c r="Y29" s="5">
        <f t="shared" si="8"/>
        <v>161.13434000000001</v>
      </c>
      <c r="Z29" s="5">
        <f t="shared" si="8"/>
        <v>162.10481999999999</v>
      </c>
      <c r="AA29" s="5">
        <f t="shared" si="8"/>
        <v>163.10996</v>
      </c>
      <c r="AB29" s="5">
        <f t="shared" ref="AB29:AK29" si="9">AB4*$H$22*100</f>
        <v>163.98108133333329</v>
      </c>
      <c r="AC29" s="5">
        <f t="shared" si="9"/>
        <v>164.92908484848456</v>
      </c>
      <c r="AD29" s="5">
        <f t="shared" si="9"/>
        <v>165.87708836363623</v>
      </c>
      <c r="AE29" s="5">
        <f t="shared" si="9"/>
        <v>166.8250918787879</v>
      </c>
      <c r="AF29" s="5">
        <f t="shared" si="9"/>
        <v>167.7730953939392</v>
      </c>
      <c r="AG29" s="5">
        <f t="shared" si="9"/>
        <v>168.72109890909087</v>
      </c>
      <c r="AH29" s="5">
        <f t="shared" si="9"/>
        <v>169.66910242424217</v>
      </c>
      <c r="AI29" s="5">
        <f t="shared" si="9"/>
        <v>170.61710593939384</v>
      </c>
      <c r="AJ29" s="5">
        <f t="shared" si="9"/>
        <v>171.56510945454554</v>
      </c>
      <c r="AK29" s="5">
        <f t="shared" si="9"/>
        <v>172.51311296969681</v>
      </c>
    </row>
    <row r="30" spans="1:37">
      <c r="A30" s="1" t="s">
        <v>130</v>
      </c>
      <c r="B30" s="5">
        <f>B5*$H$23*100</f>
        <v>122.15143999999999</v>
      </c>
      <c r="C30" s="5">
        <f t="shared" ref="C30:AA30" si="10">C5*$H$23*100</f>
        <v>131.86011999999999</v>
      </c>
      <c r="D30" s="5">
        <f t="shared" si="10"/>
        <v>136.50172000000001</v>
      </c>
      <c r="E30" s="5">
        <f t="shared" si="10"/>
        <v>140.09896000000001</v>
      </c>
      <c r="F30" s="5">
        <f t="shared" si="10"/>
        <v>141.72351999999998</v>
      </c>
      <c r="G30" s="5">
        <f t="shared" si="10"/>
        <v>144.66319999999999</v>
      </c>
      <c r="H30" s="5">
        <f t="shared" si="10"/>
        <v>147.17739999999998</v>
      </c>
      <c r="I30" s="5">
        <f t="shared" si="10"/>
        <v>149.07272</v>
      </c>
      <c r="J30" s="5">
        <f t="shared" si="10"/>
        <v>150.69728000000001</v>
      </c>
      <c r="K30" s="5">
        <f t="shared" si="10"/>
        <v>152.12843999999998</v>
      </c>
      <c r="L30" s="5">
        <f t="shared" si="10"/>
        <v>153.67563999999999</v>
      </c>
      <c r="M30" s="5">
        <f t="shared" si="10"/>
        <v>155.30019999999999</v>
      </c>
      <c r="N30" s="5">
        <f t="shared" si="10"/>
        <v>156.96343999999999</v>
      </c>
      <c r="O30" s="5">
        <f t="shared" si="10"/>
        <v>158.70403999999999</v>
      </c>
      <c r="P30" s="5">
        <f t="shared" si="10"/>
        <v>160.52199999999999</v>
      </c>
      <c r="Q30" s="5">
        <f t="shared" si="10"/>
        <v>162.37863999999996</v>
      </c>
      <c r="R30" s="5">
        <f t="shared" si="10"/>
        <v>163.19092000000001</v>
      </c>
      <c r="S30" s="5">
        <f t="shared" si="10"/>
        <v>164.04187999999996</v>
      </c>
      <c r="T30" s="5">
        <f t="shared" si="10"/>
        <v>164.89284000000001</v>
      </c>
      <c r="U30" s="5">
        <f t="shared" si="10"/>
        <v>165.70512000000002</v>
      </c>
      <c r="V30" s="5">
        <f t="shared" si="10"/>
        <v>166.59476000000001</v>
      </c>
      <c r="W30" s="5">
        <f t="shared" si="10"/>
        <v>167.52307999999999</v>
      </c>
      <c r="X30" s="5">
        <f t="shared" si="10"/>
        <v>168.41271999999998</v>
      </c>
      <c r="Y30" s="5">
        <f t="shared" si="10"/>
        <v>169.34104000000002</v>
      </c>
      <c r="Z30" s="5">
        <f t="shared" si="10"/>
        <v>170.26936000000001</v>
      </c>
      <c r="AA30" s="5">
        <f t="shared" si="10"/>
        <v>171.23635999999999</v>
      </c>
      <c r="AB30" s="5">
        <f>AB5*$H$23*100</f>
        <v>172.03058933333324</v>
      </c>
      <c r="AC30" s="5">
        <f t="shared" ref="AC30:AJ30" si="11">AC5*$H$23*100</f>
        <v>172.92327684848487</v>
      </c>
      <c r="AD30" s="5">
        <f t="shared" si="11"/>
        <v>173.81596436363625</v>
      </c>
      <c r="AE30" s="5">
        <f t="shared" si="11"/>
        <v>174.70865187878789</v>
      </c>
      <c r="AF30" s="5">
        <f t="shared" si="11"/>
        <v>175.60133939393933</v>
      </c>
      <c r="AG30" s="5">
        <f t="shared" si="11"/>
        <v>176.49402690909093</v>
      </c>
      <c r="AH30" s="5">
        <f t="shared" si="11"/>
        <v>177.38671442424234</v>
      </c>
      <c r="AI30" s="5">
        <f t="shared" si="11"/>
        <v>178.27940193939398</v>
      </c>
      <c r="AJ30" s="5">
        <f t="shared" si="11"/>
        <v>179.17208945454558</v>
      </c>
      <c r="AK30" s="5">
        <f>AK5*$H$23*100</f>
        <v>180.06477696969699</v>
      </c>
    </row>
    <row r="31" spans="1:37">
      <c r="A31" s="1" t="s">
        <v>165</v>
      </c>
      <c r="B31" s="5">
        <f>B6*$H$24*100</f>
        <v>60.412991397645634</v>
      </c>
      <c r="C31" s="5">
        <f t="shared" ref="C31:AA31" si="12">C6*$H$24*100</f>
        <v>57.030468576194714</v>
      </c>
      <c r="D31" s="5">
        <f t="shared" si="12"/>
        <v>63.341991606164584</v>
      </c>
      <c r="E31" s="5">
        <f t="shared" si="12"/>
        <v>66.573340223304839</v>
      </c>
      <c r="F31" s="5">
        <f t="shared" si="12"/>
        <v>68.330740348416185</v>
      </c>
      <c r="G31" s="5">
        <f t="shared" si="12"/>
        <v>70.296005004454713</v>
      </c>
      <c r="H31" s="5">
        <f t="shared" si="12"/>
        <v>71.845540598638934</v>
      </c>
      <c r="I31" s="5">
        <f t="shared" si="12"/>
        <v>73.357282641745485</v>
      </c>
      <c r="J31" s="5">
        <f t="shared" si="12"/>
        <v>73.281695539590146</v>
      </c>
      <c r="K31" s="5">
        <f t="shared" si="12"/>
        <v>73.225005212973642</v>
      </c>
      <c r="L31" s="5">
        <f t="shared" si="12"/>
        <v>73.39507619282314</v>
      </c>
      <c r="M31" s="5">
        <f t="shared" si="12"/>
        <v>73.432869743900795</v>
      </c>
      <c r="N31" s="5">
        <f t="shared" si="12"/>
        <v>73.338385866206636</v>
      </c>
      <c r="O31" s="5">
        <f t="shared" si="12"/>
        <v>73.149418110818317</v>
      </c>
      <c r="P31" s="5">
        <f t="shared" si="12"/>
        <v>72.884863253274673</v>
      </c>
      <c r="Q31" s="5">
        <f t="shared" si="12"/>
        <v>72.62030839573103</v>
      </c>
      <c r="R31" s="5">
        <f t="shared" si="12"/>
        <v>72.355753538187372</v>
      </c>
      <c r="S31" s="5">
        <f t="shared" si="12"/>
        <v>72.091198680643728</v>
      </c>
      <c r="T31" s="5">
        <f t="shared" si="12"/>
        <v>71.80774704756125</v>
      </c>
      <c r="U31" s="5">
        <f t="shared" si="12"/>
        <v>71.486501863401102</v>
      </c>
      <c r="V31" s="5">
        <f t="shared" si="12"/>
        <v>71.221947005857459</v>
      </c>
      <c r="W31" s="5">
        <f t="shared" si="12"/>
        <v>70.919598597236131</v>
      </c>
      <c r="X31" s="5">
        <f t="shared" si="12"/>
        <v>70.655043739692488</v>
      </c>
      <c r="Y31" s="5">
        <f t="shared" si="12"/>
        <v>70.390488882148844</v>
      </c>
      <c r="Z31" s="5">
        <f t="shared" si="12"/>
        <v>70.182624351221691</v>
      </c>
      <c r="AA31" s="5">
        <f t="shared" si="12"/>
        <v>69.974759820294551</v>
      </c>
      <c r="AB31" s="5">
        <f t="shared" ref="AB31:AK31" si="13">AB6*100</f>
        <v>2006.3256610998424</v>
      </c>
      <c r="AC31" s="5">
        <f t="shared" si="13"/>
        <v>1998.5233770418915</v>
      </c>
      <c r="AD31" s="5">
        <f t="shared" si="13"/>
        <v>1990.7210929839407</v>
      </c>
      <c r="AE31" s="5">
        <f t="shared" si="13"/>
        <v>1982.9188089259874</v>
      </c>
      <c r="AF31" s="5">
        <f t="shared" si="13"/>
        <v>1975.1165248680365</v>
      </c>
      <c r="AG31" s="5">
        <f t="shared" si="13"/>
        <v>1967.3142408100857</v>
      </c>
      <c r="AH31" s="5">
        <f t="shared" si="13"/>
        <v>1959.5119567521351</v>
      </c>
      <c r="AI31" s="5">
        <f t="shared" si="13"/>
        <v>1951.7096726941845</v>
      </c>
      <c r="AJ31" s="5">
        <f t="shared" si="13"/>
        <v>1943.9073886362337</v>
      </c>
      <c r="AK31" s="5">
        <f t="shared" si="13"/>
        <v>1936.1051045782829</v>
      </c>
    </row>
    <row r="33" spans="1:37">
      <c r="A33" s="34" t="s">
        <v>143</v>
      </c>
      <c r="B33" s="1">
        <v>2015</v>
      </c>
      <c r="C33" s="1">
        <v>2016</v>
      </c>
      <c r="D33" s="1">
        <v>2017</v>
      </c>
      <c r="E33" s="1">
        <v>2018</v>
      </c>
      <c r="F33" s="1">
        <v>2019</v>
      </c>
      <c r="G33" s="1">
        <v>2020</v>
      </c>
      <c r="H33" s="1">
        <v>2021</v>
      </c>
      <c r="I33" s="1">
        <v>2022</v>
      </c>
      <c r="J33" s="1">
        <v>2023</v>
      </c>
      <c r="K33" s="1">
        <v>2024</v>
      </c>
      <c r="L33" s="1">
        <v>2025</v>
      </c>
      <c r="M33" s="1">
        <v>2026</v>
      </c>
      <c r="N33" s="1">
        <v>2027</v>
      </c>
      <c r="O33" s="1">
        <v>2028</v>
      </c>
      <c r="P33" s="1">
        <v>2029</v>
      </c>
      <c r="Q33" s="1">
        <v>2030</v>
      </c>
      <c r="R33" s="1">
        <v>2031</v>
      </c>
      <c r="S33" s="1">
        <v>2032</v>
      </c>
      <c r="T33" s="1">
        <v>2033</v>
      </c>
      <c r="U33" s="1">
        <v>2034</v>
      </c>
      <c r="V33" s="1">
        <v>2035</v>
      </c>
      <c r="W33" s="1">
        <v>2036</v>
      </c>
      <c r="X33" s="1">
        <v>2037</v>
      </c>
      <c r="Y33" s="1">
        <v>2038</v>
      </c>
      <c r="Z33" s="1">
        <v>2039</v>
      </c>
      <c r="AA33" s="1">
        <v>2040</v>
      </c>
      <c r="AB33" s="1">
        <v>2041</v>
      </c>
      <c r="AC33" s="1">
        <v>2042</v>
      </c>
      <c r="AD33" s="1">
        <v>2043</v>
      </c>
      <c r="AE33" s="1">
        <v>2044</v>
      </c>
      <c r="AF33" s="1">
        <v>2045</v>
      </c>
      <c r="AG33" s="1">
        <v>2046</v>
      </c>
      <c r="AH33" s="1">
        <v>2047</v>
      </c>
      <c r="AI33" s="1">
        <v>2048</v>
      </c>
      <c r="AJ33" s="1">
        <v>2049</v>
      </c>
      <c r="AK33" s="1">
        <v>2050</v>
      </c>
    </row>
    <row r="34" spans="1:37">
      <c r="A34" s="16" t="s">
        <v>153</v>
      </c>
      <c r="B34" s="5">
        <f>'Canada tax data'!B70/('Canada fuel price projections'!B27-'Canada tax data'!B70)</f>
        <v>0.12293746128477231</v>
      </c>
      <c r="C34" s="5">
        <f>'Canada tax data'!C70/('Canada fuel price projections'!C27-'Canada tax data'!C70)</f>
        <v>0.1032817558925969</v>
      </c>
      <c r="D34" s="5">
        <f>'Canada tax data'!D70/('Canada fuel price projections'!D27-'Canada tax data'!D70)</f>
        <v>7.3411236392149887E-2</v>
      </c>
      <c r="E34" s="5">
        <f>'Canada tax data'!E70/('Canada fuel price projections'!E27-'Canada tax data'!E70)</f>
        <v>6.780484293046557E-2</v>
      </c>
      <c r="F34" s="5">
        <f>'Canada tax data'!F70/('Canada fuel price projections'!F27-'Canada tax data'!F70)</f>
        <v>6.5451325354626597E-2</v>
      </c>
      <c r="G34" s="5">
        <f>'Canada tax data'!G70/('Canada fuel price projections'!G27-'Canada tax data'!G70)</f>
        <v>6.3032372815073137E-2</v>
      </c>
      <c r="H34" s="5">
        <f>'Canada tax data'!H70/('Canada fuel price projections'!H27-'Canada tax data'!H70)</f>
        <v>6.1659351150298115E-2</v>
      </c>
      <c r="I34" s="5">
        <f>'Canada tax data'!I70/('Canada fuel price projections'!I27-'Canada tax data'!I70)</f>
        <v>6.0373012722867596E-2</v>
      </c>
      <c r="J34" s="5">
        <f>'Canada tax data'!J70/('Canada fuel price projections'!J27-'Canada tax data'!J70)</f>
        <v>5.8912018958982189E-2</v>
      </c>
      <c r="K34" s="5">
        <f>'Canada tax data'!K70/('Canada fuel price projections'!K27-'Canada tax data'!K70)</f>
        <v>5.7868461152548852E-2</v>
      </c>
      <c r="L34" s="5">
        <f>'Canada tax data'!L70/('Canada fuel price projections'!L27-'Canada tax data'!L70)</f>
        <v>5.6634722613542646E-2</v>
      </c>
      <c r="M34" s="5">
        <f>'Canada tax data'!M70/('Canada fuel price projections'!M27-'Canada tax data'!M70)</f>
        <v>5.5341611395005784E-2</v>
      </c>
      <c r="N34" s="5">
        <f>'Canada tax data'!N70/('Canada fuel price projections'!N27-'Canada tax data'!N70)</f>
        <v>5.4317255383479347E-2</v>
      </c>
      <c r="O34" s="5">
        <f>'Canada tax data'!O70/('Canada fuel price projections'!O27-'Canada tax data'!O70)</f>
        <v>5.3295757629975272E-2</v>
      </c>
      <c r="P34" s="5">
        <f>'Canada tax data'!P70/('Canada fuel price projections'!P27-'Canada tax data'!P70)</f>
        <v>5.2229210616165943E-2</v>
      </c>
      <c r="Q34" s="5">
        <f>'Canada tax data'!Q70/('Canada fuel price projections'!Q27-'Canada tax data'!Q70)</f>
        <v>5.1107684912381539E-2</v>
      </c>
      <c r="R34" s="5">
        <f>'Canada tax data'!R70/('Canada fuel price projections'!R27-'Canada tax data'!R70)</f>
        <v>4.9731659454905215E-2</v>
      </c>
      <c r="S34" s="5">
        <f>'Canada tax data'!S70/('Canada fuel price projections'!S27-'Canada tax data'!S70)</f>
        <v>4.8378276555492927E-2</v>
      </c>
      <c r="T34" s="5">
        <f>'Canada tax data'!T70/('Canada fuel price projections'!T27-'Canada tax data'!T70)</f>
        <v>4.708008784887692E-2</v>
      </c>
      <c r="U34" s="5">
        <f>'Canada tax data'!U70/('Canada fuel price projections'!U27-'Canada tax data'!U70)</f>
        <v>4.5808430774380515E-2</v>
      </c>
      <c r="V34" s="5">
        <f>'Canada tax data'!V70/('Canada fuel price projections'!V27-'Canada tax data'!V70)</f>
        <v>4.4696041152722792E-2</v>
      </c>
      <c r="W34" s="5">
        <f>'Canada tax data'!W70/('Canada fuel price projections'!W27-'Canada tax data'!W70)</f>
        <v>4.3503076009734472E-2</v>
      </c>
      <c r="X34" s="5">
        <f>'Canada tax data'!X70/('Canada fuel price projections'!X27-'Canada tax data'!X70)</f>
        <v>4.2392313719996577E-2</v>
      </c>
      <c r="Y34" s="5">
        <f>'Canada tax data'!Y70/('Canada fuel price projections'!Y27-'Canada tax data'!Y70)</f>
        <v>4.1232033825526725E-2</v>
      </c>
      <c r="Z34" s="5">
        <f>'Canada tax data'!Z70/('Canada fuel price projections'!Z27-'Canada tax data'!Z70)</f>
        <v>4.0159673629364206E-2</v>
      </c>
      <c r="AA34" s="5">
        <f>'Canada tax data'!AA70/('Canada fuel price projections'!AA27-'Canada tax data'!AA70)</f>
        <v>3.9094146191298765E-2</v>
      </c>
      <c r="AB34" s="5">
        <f>'Canada tax data'!AB70/('Canada fuel price projections'!AB27-'Canada tax data'!AB70)</f>
        <v>3.8099544523162124E-2</v>
      </c>
      <c r="AC34" s="5">
        <f>'Canada tax data'!AC70/('Canada fuel price projections'!AC27-'Canada tax data'!AC70)</f>
        <v>3.711123500421392E-2</v>
      </c>
      <c r="AD34" s="5">
        <f>'Canada tax data'!AD70/('Canada fuel price projections'!AD27-'Canada tax data'!AD70)</f>
        <v>3.615043488867456E-2</v>
      </c>
      <c r="AE34" s="5">
        <f>'Canada tax data'!AE70/('Canada fuel price projections'!AE27-'Canada tax data'!AE70)</f>
        <v>3.5216298127894279E-2</v>
      </c>
      <c r="AF34" s="5">
        <f>'Canada tax data'!AF70/('Canada fuel price projections'!AF27-'Canada tax data'!AF70)</f>
        <v>3.4308008362970627E-2</v>
      </c>
      <c r="AG34" s="5">
        <f>'Canada tax data'!AG70/('Canada fuel price projections'!AG27-'Canada tax data'!AG70)</f>
        <v>3.3424777707209662E-2</v>
      </c>
      <c r="AH34" s="5">
        <f>'Canada tax data'!AH70/('Canada fuel price projections'!AH27-'Canada tax data'!AH70)</f>
        <v>3.2565845587239656E-2</v>
      </c>
      <c r="AI34" s="5">
        <f>'Canada tax data'!AI70/('Canada fuel price projections'!AI27-'Canada tax data'!AI70)</f>
        <v>3.1730477639498385E-2</v>
      </c>
      <c r="AJ34" s="5">
        <f>'Canada tax data'!AJ70/('Canada fuel price projections'!AJ27-'Canada tax data'!AJ70)</f>
        <v>3.0917964659025181E-2</v>
      </c>
      <c r="AK34" s="5">
        <f>'Canada tax data'!AK70/('Canada fuel price projections'!AK27-'Canada tax data'!AK70)</f>
        <v>3.0127621597680586E-2</v>
      </c>
    </row>
    <row r="35" spans="1:37">
      <c r="A35" s="1" t="s">
        <v>2</v>
      </c>
      <c r="B35" s="5">
        <f>'Canada tax data'!B68/('Canada fuel price projections'!B28-'Canada tax data'!B68)</f>
        <v>6.5314606572640807E-2</v>
      </c>
      <c r="C35" s="5">
        <f>'Canada tax data'!C68/('Canada fuel price projections'!C28-'Canada tax data'!C68)</f>
        <v>5.8413273018522054E-2</v>
      </c>
      <c r="D35" s="5">
        <f>'Canada tax data'!D68/('Canada fuel price projections'!D28-'Canada tax data'!D68)</f>
        <v>5.1794855077787548E-2</v>
      </c>
      <c r="E35" s="5">
        <f>'Canada tax data'!E68/('Canada fuel price projections'!E28-'Canada tax data'!E68)</f>
        <v>4.9122394031806439E-2</v>
      </c>
      <c r="F35" s="5">
        <f>'Canada tax data'!F68/('Canada fuel price projections'!F28-'Canada tax data'!F68)</f>
        <v>4.6519886194834881E-2</v>
      </c>
      <c r="G35" s="5">
        <f>'Canada tax data'!G68/('Canada fuel price projections'!G28-'Canada tax data'!G68)</f>
        <v>4.4321762039464585E-2</v>
      </c>
      <c r="H35" s="5">
        <f>'Canada tax data'!H68/('Canada fuel price projections'!H28-'Canada tax data'!H68)</f>
        <v>4.2463012934412597E-2</v>
      </c>
      <c r="I35" s="5">
        <f>'Canada tax data'!I68/('Canada fuel price projections'!I28-'Canada tax data'!I68)</f>
        <v>4.0990892718566631E-2</v>
      </c>
      <c r="J35" s="5">
        <f>'Canada tax data'!J68/('Canada fuel price projections'!J28-'Canada tax data'!J68)</f>
        <v>3.9671384697566654E-2</v>
      </c>
      <c r="K35" s="5">
        <f>'Canada tax data'!K68/('Canada fuel price projections'!K28-'Canada tax data'!K68)</f>
        <v>3.8667405201357398E-2</v>
      </c>
      <c r="L35" s="5">
        <f>'Canada tax data'!L68/('Canada fuel price projections'!L28-'Canada tax data'!L68)</f>
        <v>3.7604009124323851E-2</v>
      </c>
      <c r="M35" s="5">
        <f>'Canada tax data'!M68/('Canada fuel price projections'!M28-'Canada tax data'!M68)</f>
        <v>3.6656066474599687E-2</v>
      </c>
      <c r="N35" s="5">
        <f>'Canada tax data'!N68/('Canada fuel price projections'!N28-'Canada tax data'!N68)</f>
        <v>3.5652581934890723E-2</v>
      </c>
      <c r="O35" s="5">
        <f>'Canada tax data'!O68/('Canada fuel price projections'!O28-'Canada tax data'!O68)</f>
        <v>3.4757213140007265E-2</v>
      </c>
      <c r="P35" s="5">
        <f>'Canada tax data'!P68/('Canada fuel price projections'!P28-'Canada tax data'!P68)</f>
        <v>3.3809905698262213E-2</v>
      </c>
      <c r="Q35" s="5">
        <f>'Canada tax data'!Q68/('Canada fuel price projections'!Q28-'Canada tax data'!Q68)</f>
        <v>3.2963891930243253E-2</v>
      </c>
      <c r="R35" s="5">
        <f>'Canada tax data'!R68/('Canada fuel price projections'!R28-'Canada tax data'!R68)</f>
        <v>3.2069292073558915E-2</v>
      </c>
      <c r="S35" s="5">
        <f>'Canada tax data'!S68/('Canada fuel price projections'!S28-'Canada tax data'!S68)</f>
        <v>3.120103163431583E-2</v>
      </c>
      <c r="T35" s="5">
        <f>'Canada tax data'!T68/('Canada fuel price projections'!T28-'Canada tax data'!T68)</f>
        <v>3.0358244787889233E-2</v>
      </c>
      <c r="U35" s="5">
        <f>'Canada tax data'!U68/('Canada fuel price projections'!U28-'Canada tax data'!U68)</f>
        <v>2.9540098405817096E-2</v>
      </c>
      <c r="V35" s="5">
        <f>'Canada tax data'!V68/('Canada fuel price projections'!V28-'Canada tax data'!V68)</f>
        <v>2.8745790611134272E-2</v>
      </c>
      <c r="W35" s="5">
        <f>'Canada tax data'!W68/('Canada fuel price projections'!W28-'Canada tax data'!W68)</f>
        <v>2.8034339008088303E-2</v>
      </c>
      <c r="X35" s="5">
        <f>'Canada tax data'!X68/('Canada fuel price projections'!X28-'Canada tax data'!X68)</f>
        <v>2.7283417416858136E-2</v>
      </c>
      <c r="Y35" s="5">
        <f>'Canada tax data'!Y68/('Canada fuel price projections'!Y28-'Canada tax data'!Y68)</f>
        <v>2.6554176658370721E-2</v>
      </c>
      <c r="Z35" s="5">
        <f>'Canada tax data'!Z68/('Canada fuel price projections'!Z28-'Canada tax data'!Z68)</f>
        <v>2.5845923817352519E-2</v>
      </c>
      <c r="AA35" s="5">
        <f>'Canada tax data'!AA68/('Canada fuel price projections'!AA28-'Canada tax data'!AA68)</f>
        <v>2.5157991183755491E-2</v>
      </c>
      <c r="AB35" s="5">
        <f>'Canada tax data'!AB68/('Canada fuel price projections'!AB28-'Canada tax data'!AB68)</f>
        <v>2.4506608016160801E-2</v>
      </c>
      <c r="AC35" s="5">
        <f>'Canada tax data'!AC68/('Canada fuel price projections'!AC28-'Canada tax data'!AC68)</f>
        <v>2.3864275681482087E-2</v>
      </c>
      <c r="AD35" s="5">
        <f>'Canada tax data'!AD68/('Canada fuel price projections'!AD28-'Canada tax data'!AD68)</f>
        <v>2.3239937537045653E-2</v>
      </c>
      <c r="AE35" s="5">
        <f>'Canada tax data'!AE68/('Canada fuel price projections'!AE28-'Canada tax data'!AE68)</f>
        <v>2.2633041521016296E-2</v>
      </c>
      <c r="AF35" s="5">
        <f>'Canada tax data'!AF68/('Canada fuel price projections'!AF28-'Canada tax data'!AF68)</f>
        <v>2.2043054633586807E-2</v>
      </c>
      <c r="AG35" s="5">
        <f>'Canada tax data'!AG68/('Canada fuel price projections'!AG28-'Canada tax data'!AG68)</f>
        <v>2.1469462179329452E-2</v>
      </c>
      <c r="AH35" s="5">
        <f>'Canada tax data'!AH68/('Canada fuel price projections'!AH28-'Canada tax data'!AH68)</f>
        <v>2.0911767044533881E-2</v>
      </c>
      <c r="AI35" s="5">
        <f>'Canada tax data'!AI68/('Canada fuel price projections'!AI28-'Canada tax data'!AI68)</f>
        <v>2.0369489007666098E-2</v>
      </c>
      <c r="AJ35" s="5">
        <f>'Canada tax data'!AJ68/('Canada fuel price projections'!AJ28-'Canada tax data'!AJ68)</f>
        <v>1.9842164081196094E-2</v>
      </c>
      <c r="AK35" s="5">
        <f>'Canada tax data'!AK68/('Canada fuel price projections'!AK28-'Canada tax data'!AK68)</f>
        <v>1.9329343883146485E-2</v>
      </c>
    </row>
    <row r="36" spans="1:37">
      <c r="A36" s="1" t="s">
        <v>7</v>
      </c>
      <c r="B36" s="5">
        <f>('Canada tax data'!B61+'Canada tax data'!B66)/('Canada fuel price projections'!B29-('Canada tax data'!B61+'Canada tax data'!B66))</f>
        <v>0.1729185702693187</v>
      </c>
      <c r="C36" s="5">
        <f>('Canada tax data'!C61+'Canada tax data'!C66)/('Canada fuel price projections'!C29-('Canada tax data'!C61+'Canada tax data'!C66))</f>
        <v>0.15431545131833568</v>
      </c>
      <c r="D36" s="5">
        <f>('Canada tax data'!D61+'Canada tax data'!D66)/('Canada fuel price projections'!D29-('Canada tax data'!D61+'Canada tax data'!D66))</f>
        <v>0.14439295091600196</v>
      </c>
      <c r="E36" s="5">
        <f>('Canada tax data'!E61+'Canada tax data'!E66)/('Canada fuel price projections'!E29-('Canada tax data'!E61+'Canada tax data'!E66))</f>
        <v>0.13653774497577773</v>
      </c>
      <c r="F36" s="5">
        <f>('Canada tax data'!F61+'Canada tax data'!F66)/('Canada fuel price projections'!F29-('Canada tax data'!F61+'Canada tax data'!F66))</f>
        <v>0.1313847416844528</v>
      </c>
      <c r="G36" s="5">
        <f>('Canada tax data'!G61+'Canada tax data'!G66)/('Canada fuel price projections'!G29-('Canada tax data'!G61+'Canada tax data'!G66))</f>
        <v>0.1251617545189046</v>
      </c>
      <c r="H36" s="5">
        <f>('Canada tax data'!H61+'Canada tax data'!H66)/('Canada fuel price projections'!H29-('Canada tax data'!H61+'Canada tax data'!H66))</f>
        <v>0.11973546414496924</v>
      </c>
      <c r="I36" s="5">
        <f>('Canada tax data'!I61+'Canada tax data'!I66)/('Canada fuel price projections'!I29-('Canada tax data'!I61+'Canada tax data'!I66))</f>
        <v>0.11521671717140626</v>
      </c>
      <c r="J36" s="5">
        <f>('Canada tax data'!J61+'Canada tax data'!J66)/('Canada fuel price projections'!J29-('Canada tax data'!J61+'Canada tax data'!J66))</f>
        <v>0.1111210885985961</v>
      </c>
      <c r="K36" s="5">
        <f>('Canada tax data'!K61+'Canada tax data'!K66)/('Canada fuel price projections'!K29-('Canada tax data'!K61+'Canada tax data'!K66))</f>
        <v>0.1073464967938718</v>
      </c>
      <c r="L36" s="5">
        <f>('Canada tax data'!L61+'Canada tax data'!L66)/('Canada fuel price projections'!L29-('Canada tax data'!L61+'Canada tax data'!L66))</f>
        <v>0.10369826632309828</v>
      </c>
      <c r="M36" s="5">
        <f>('Canada tax data'!M61+'Canada tax data'!M66)/('Canada fuel price projections'!M29-('Canada tax data'!M61+'Canada tax data'!M66))</f>
        <v>0.10012035830957178</v>
      </c>
      <c r="N36" s="5">
        <f>('Canada tax data'!N61+'Canada tax data'!N66)/('Canada fuel price projections'!N29-('Canada tax data'!N61+'Canada tax data'!N66))</f>
        <v>9.6666170048913369E-2</v>
      </c>
      <c r="O36" s="5">
        <f>('Canada tax data'!O61+'Canada tax data'!O66)/('Canada fuel price projections'!O29-('Canada tax data'!O61+'Canada tax data'!O66))</f>
        <v>9.3331630987349423E-2</v>
      </c>
      <c r="P36" s="5">
        <f>('Canada tax data'!P61+'Canada tax data'!P66)/('Canada fuel price projections'!P29-('Canada tax data'!P61+'Canada tax data'!P66))</f>
        <v>9.0067939356333546E-2</v>
      </c>
      <c r="Q36" s="5">
        <f>('Canada tax data'!Q61+'Canada tax data'!Q66)/('Canada fuel price projections'!Q29-('Canada tax data'!Q61+'Canada tax data'!Q66))</f>
        <v>8.6941806107012437E-2</v>
      </c>
      <c r="R36" s="5">
        <f>('Canada tax data'!R61+'Canada tax data'!R66)/('Canada fuel price projections'!R29-('Canada tax data'!R61+'Canada tax data'!R66))</f>
        <v>8.4538002192158429E-2</v>
      </c>
      <c r="S36" s="5">
        <f>('Canada tax data'!S61+'Canada tax data'!S66)/('Canada fuel price projections'!S29-('Canada tax data'!S61+'Canada tax data'!S66))</f>
        <v>8.2188649794724775E-2</v>
      </c>
      <c r="T36" s="5">
        <f>('Canada tax data'!T61+'Canada tax data'!T66)/('Canada fuel price projections'!T29-('Canada tax data'!T61+'Canada tax data'!T66))</f>
        <v>7.9912296500851174E-2</v>
      </c>
      <c r="U36" s="5">
        <f>('Canada tax data'!U61+'Canada tax data'!U66)/('Canada fuel price projections'!U29-('Canada tax data'!U61+'Canada tax data'!U66))</f>
        <v>7.7706298359361659E-2</v>
      </c>
      <c r="V36" s="5">
        <f>('Canada tax data'!V61+'Canada tax data'!V66)/('Canada fuel price projections'!V29-('Canada tax data'!V61+'Canada tax data'!V66))</f>
        <v>7.5550322115982671E-2</v>
      </c>
      <c r="W36" s="5">
        <f>('Canada tax data'!W61+'Canada tax data'!W66)/('Canada fuel price projections'!W29-('Canada tax data'!W61+'Canada tax data'!W66))</f>
        <v>7.3443830945696925E-2</v>
      </c>
      <c r="X36" s="5">
        <f>('Canada tax data'!X61+'Canada tax data'!X66)/('Canada fuel price projections'!X29-('Canada tax data'!X61+'Canada tax data'!X66))</f>
        <v>7.140281494136333E-2</v>
      </c>
      <c r="Y36" s="5">
        <f>('Canada tax data'!Y61+'Canada tax data'!Y66)/('Canada fuel price projections'!Y29-('Canada tax data'!Y61+'Canada tax data'!Y66))</f>
        <v>6.9424913224999552E-2</v>
      </c>
      <c r="Z36" s="5">
        <f>('Canada tax data'!Z61+'Canada tax data'!Z66)/('Canada fuel price projections'!Z29-('Canada tax data'!Z61+'Canada tax data'!Z66))</f>
        <v>6.7507866757137561E-2</v>
      </c>
      <c r="AA36" s="5">
        <f>('Canada tax data'!AA61+'Canada tax data'!AA66)/('Canada fuel price projections'!AA29-('Canada tax data'!AA61+'Canada tax data'!AA66))</f>
        <v>6.5634647257184833E-2</v>
      </c>
      <c r="AB36" s="5">
        <f>('Canada tax data'!AB61+'Canada tax data'!AB66)/('Canada fuel price projections'!AB29-('Canada tax data'!AB61+'Canada tax data'!AB66))</f>
        <v>6.3874581361709107E-2</v>
      </c>
      <c r="AC36" s="5">
        <f>('Canada tax data'!AC61+'Canada tax data'!AC66)/('Canada fuel price projections'!AC29-('Canada tax data'!AC61+'Canada tax data'!AC66))</f>
        <v>6.2135550717693222E-2</v>
      </c>
      <c r="AD36" s="5">
        <f>('Canada tax data'!AD61+'Canada tax data'!AD66)/('Canada fuel price projections'!AD29-('Canada tax data'!AD61+'Canada tax data'!AD66))</f>
        <v>6.0448674385267902E-2</v>
      </c>
      <c r="AE36" s="5">
        <f>('Canada tax data'!AE61+'Canada tax data'!AE66)/('Canada fuel price projections'!AE29-('Canada tax data'!AE61+'Canada tax data'!AE66))</f>
        <v>5.8812163542040267E-2</v>
      </c>
      <c r="AF36" s="5">
        <f>('Canada tax data'!AF61+'Canada tax data'!AF66)/('Canada fuel price projections'!AF29-('Canada tax data'!AF61+'Canada tax data'!AF66))</f>
        <v>5.7224301868670217E-2</v>
      </c>
      <c r="AG36" s="5">
        <f>('Canada tax data'!AG61+'Canada tax data'!AG66)/('Canada fuel price projections'!AG29-('Canada tax data'!AG61+'Canada tax data'!AG66))</f>
        <v>5.5683442031188218E-2</v>
      </c>
      <c r="AH36" s="5">
        <f>('Canada tax data'!AH61+'Canada tax data'!AH66)/('Canada fuel price projections'!AH29-('Canada tax data'!AH61+'Canada tax data'!AH66))</f>
        <v>5.4188002365516109E-2</v>
      </c>
      <c r="AI36" s="5">
        <f>('Canada tax data'!AI61+'Canada tax data'!AI66)/('Canada fuel price projections'!AI29-('Canada tax data'!AI61+'Canada tax data'!AI66))</f>
        <v>5.2736463750718769E-2</v>
      </c>
      <c r="AJ36" s="5">
        <f>('Canada tax data'!AJ61+'Canada tax data'!AJ66)/('Canada fuel price projections'!AJ29-('Canada tax data'!AJ61+'Canada tax data'!AJ66))</f>
        <v>5.1327366658538993E-2</v>
      </c>
      <c r="AK36" s="5">
        <f>('Canada tax data'!AK61+'Canada tax data'!AK66)/('Canada fuel price projections'!AK29-('Canada tax data'!AK61+'Canada tax data'!AK66))</f>
        <v>4.9959308367692259E-2</v>
      </c>
    </row>
    <row r="37" spans="1:37">
      <c r="A37" s="1" t="s">
        <v>8</v>
      </c>
      <c r="B37" s="5">
        <f>('Canada tax data'!B62+'Canada tax data'!B67)/('Canada fuel price projections'!B30-('Canada tax data'!B62+'Canada tax data'!B67))</f>
        <v>0.16057911836762634</v>
      </c>
      <c r="C37" s="5">
        <f>('Canada tax data'!C62+'Canada tax data'!C67)/('Canada fuel price projections'!C30-('Canada tax data'!C62+'Canada tax data'!C67))</f>
        <v>0.14365492569036808</v>
      </c>
      <c r="D37" s="5">
        <f>('Canada tax data'!D62+'Canada tax data'!D67)/('Canada fuel price projections'!D30-('Canada tax data'!D62+'Canada tax data'!D67))</f>
        <v>0.13496085413592904</v>
      </c>
      <c r="E37" s="5">
        <f>('Canada tax data'!E62+'Canada tax data'!E67)/('Canada fuel price projections'!E30-('Canada tax data'!E62+'Canada tax data'!E67))</f>
        <v>0.12808492532267146</v>
      </c>
      <c r="F37" s="5">
        <f>('Canada tax data'!F62+'Canada tax data'!F67)/('Canada fuel price projections'!F30-('Canada tax data'!F62+'Canada tax data'!F67))</f>
        <v>0.12358994033323766</v>
      </c>
      <c r="G37" s="5">
        <f>('Canada tax data'!G62+'Canada tax data'!G67)/('Canada fuel price projections'!G30-('Canada tax data'!G62+'Canada tax data'!G67))</f>
        <v>0.11807445325800627</v>
      </c>
      <c r="H37" s="5">
        <f>('Canada tax data'!H62+'Canada tax data'!H67)/('Canada fuel price projections'!H30-('Canada tax data'!H62+'Canada tax data'!H67))</f>
        <v>0.11324498627380387</v>
      </c>
      <c r="I37" s="5">
        <f>('Canada tax data'!I62+'Canada tax data'!I67)/('Canada fuel price projections'!I30-('Canada tax data'!I62+'Canada tax data'!I67))</f>
        <v>0.10916778800315952</v>
      </c>
      <c r="J37" s="5">
        <f>('Canada tax data'!J62+'Canada tax data'!J67)/('Canada fuel price projections'!J30-('Canada tax data'!J62+'Canada tax data'!J67))</f>
        <v>0.10547915924482699</v>
      </c>
      <c r="K37" s="5">
        <f>('Canada tax data'!K62+'Canada tax data'!K67)/('Canada fuel price projections'!K30-('Canada tax data'!K62+'Canada tax data'!K67))</f>
        <v>0.1020824964422202</v>
      </c>
      <c r="L37" s="5">
        <f>('Canada tax data'!L62+'Canada tax data'!L67)/('Canada fuel price projections'!L30-('Canada tax data'!L62+'Canada tax data'!L67))</f>
        <v>9.8732617763286401E-2</v>
      </c>
      <c r="M37" s="5">
        <f>('Canada tax data'!M62+'Canada tax data'!M67)/('Canada fuel price projections'!M30-('Canada tax data'!M62+'Canada tax data'!M67))</f>
        <v>9.5460678958416353E-2</v>
      </c>
      <c r="N37" s="5">
        <f>('Canada tax data'!N62+'Canada tax data'!N67)/('Canada fuel price projections'!N30-('Canada tax data'!N62+'Canada tax data'!N67))</f>
        <v>9.2292465090559647E-2</v>
      </c>
      <c r="O37" s="5">
        <f>('Canada tax data'!O62+'Canada tax data'!O67)/('Canada fuel price projections'!O30-('Canada tax data'!O62+'Canada tax data'!O67))</f>
        <v>8.9201496168224037E-2</v>
      </c>
      <c r="P37" s="5">
        <f>('Canada tax data'!P62+'Canada tax data'!P67)/('Canada fuel price projections'!P30-('Canada tax data'!P62+'Canada tax data'!P67))</f>
        <v>8.6188345548312992E-2</v>
      </c>
      <c r="Q37" s="5">
        <f>('Canada tax data'!Q62+'Canada tax data'!Q67)/('Canada fuel price projections'!Q30-('Canada tax data'!Q62+'Canada tax data'!Q67))</f>
        <v>8.3274838578193108E-2</v>
      </c>
      <c r="R37" s="5">
        <f>('Canada tax data'!R62+'Canada tax data'!R67)/('Canada fuel price projections'!R30-('Canada tax data'!R62+'Canada tax data'!R67))</f>
        <v>8.1035251504117889E-2</v>
      </c>
      <c r="S37" s="5">
        <f>('Canada tax data'!S62+'Canada tax data'!S67)/('Canada fuel price projections'!S30-('Canada tax data'!S62+'Canada tax data'!S67))</f>
        <v>7.8842327027636758E-2</v>
      </c>
      <c r="T37" s="5">
        <f>('Canada tax data'!T62+'Canada tax data'!T67)/('Canada fuel price projections'!T30-('Canada tax data'!T62+'Canada tax data'!T67))</f>
        <v>7.6715179991618199E-2</v>
      </c>
      <c r="U37" s="5">
        <f>('Canada tax data'!U62+'Canada tax data'!U67)/('Canada fuel price projections'!U30-('Canada tax data'!U62+'Canada tax data'!U67))</f>
        <v>7.4670257332559831E-2</v>
      </c>
      <c r="V37" s="5">
        <f>('Canada tax data'!V62+'Canada tax data'!V67)/('Canada fuel price projections'!V30-('Canada tax data'!V62+'Canada tax data'!V67))</f>
        <v>7.2649193099472223E-2</v>
      </c>
      <c r="W37" s="5">
        <f>('Canada tax data'!W62+'Canada tax data'!W67)/('Canada fuel price projections'!W30-('Canada tax data'!W62+'Canada tax data'!W67))</f>
        <v>7.0671113476628855E-2</v>
      </c>
      <c r="X37" s="5">
        <f>('Canada tax data'!X62+'Canada tax data'!X67)/('Canada fuel price projections'!X30-('Canada tax data'!X62+'Canada tax data'!X67))</f>
        <v>6.8769477655567929E-2</v>
      </c>
      <c r="Y37" s="5">
        <f>('Canada tax data'!Y62+'Canada tax data'!Y67)/('Canada fuel price projections'!Y30-('Canada tax data'!Y62+'Canada tax data'!Y67))</f>
        <v>6.6907893098454074E-2</v>
      </c>
      <c r="Z37" s="5">
        <f>('Canada tax data'!Z62+'Canada tax data'!Z67)/('Canada fuel price projections'!Z30-('Canada tax data'!Z62+'Canada tax data'!Z67))</f>
        <v>6.5101854770649725E-2</v>
      </c>
      <c r="AA37" s="5">
        <f>('Canada tax data'!AA62+'Canada tax data'!AA67)/('Canada fuel price projections'!AA30-('Canada tax data'!AA62+'Canada tax data'!AA67))</f>
        <v>6.3334247454392895E-2</v>
      </c>
      <c r="AB37" s="5">
        <f>('Canada tax data'!AB62+'Canada tax data'!AB67)/('Canada fuel price projections'!AB30-('Canada tax data'!AB62+'Canada tax data'!AB67))</f>
        <v>6.1685197731799923E-2</v>
      </c>
      <c r="AC37" s="5">
        <f>('Canada tax data'!AC62+'Canada tax data'!AC67)/('Canada fuel price projections'!AC30-('Canada tax data'!AC62+'Canada tax data'!AC67))</f>
        <v>6.0046604522763433E-2</v>
      </c>
      <c r="AD37" s="5">
        <f>('Canada tax data'!AD62+'Canada tax data'!AD67)/('Canada fuel price projections'!AD30-('Canada tax data'!AD62+'Canada tax data'!AD67))</f>
        <v>5.8455583968754582E-2</v>
      </c>
      <c r="AE37" s="5">
        <f>('Canada tax data'!AE62+'Canada tax data'!AE67)/('Canada fuel price projections'!AE30-('Canada tax data'!AE62+'Canada tax data'!AE67))</f>
        <v>5.6910569492981081E-2</v>
      </c>
      <c r="AF37" s="5">
        <f>('Canada tax data'!AF62+'Canada tax data'!AF67)/('Canada fuel price projections'!AF30-('Canada tax data'!AF62+'Canada tax data'!AF67))</f>
        <v>5.5410055104151798E-2</v>
      </c>
      <c r="AG37" s="5">
        <f>('Canada tax data'!AG62+'Canada tax data'!AG67)/('Canada fuel price projections'!AG30-('Canada tax data'!AG62+'Canada tax data'!AG67))</f>
        <v>5.3952592598446002E-2</v>
      </c>
      <c r="AH37" s="5">
        <f>('Canada tax data'!AH62+'Canada tax data'!AH67)/('Canada fuel price projections'!AH30-('Canada tax data'!AH62+'Canada tax data'!AH67))</f>
        <v>5.2536788914645832E-2</v>
      </c>
      <c r="AI37" s="5">
        <f>('Canada tax data'!AI62+'Canada tax data'!AI67)/('Canada fuel price projections'!AI30-('Canada tax data'!AI62+'Canada tax data'!AI67))</f>
        <v>5.1161303632703027E-2</v>
      </c>
      <c r="AJ37" s="5">
        <f>('Canada tax data'!AJ62+'Canada tax data'!AJ67)/('Canada fuel price projections'!AJ30-('Canada tax data'!AJ62+'Canada tax data'!AJ67))</f>
        <v>4.982484660671635E-2</v>
      </c>
      <c r="AK37" s="5">
        <f>('Canada tax data'!AK62+'Canada tax data'!AK67)/('Canada fuel price projections'!AK30-('Canada tax data'!AK62+'Canada tax data'!AK67))</f>
        <v>4.8526175723936672E-2</v>
      </c>
    </row>
    <row r="38" spans="1:37">
      <c r="A38" s="1" t="s">
        <v>11</v>
      </c>
      <c r="B38" s="5">
        <f>'Canada tax data'!B69/('Canada fuel price projections'!B31-'Canada tax data'!B69)</f>
        <v>1.7297914162821844E-2</v>
      </c>
      <c r="C38" s="5">
        <f>'Canada tax data'!C69/('Canada fuel price projections'!C31-'Canada tax data'!C69)</f>
        <v>1.7969240255127944E-2</v>
      </c>
      <c r="D38" s="5">
        <f>'Canada tax data'!D69/('Canada fuel price projections'!D31-'Canada tax data'!D69)</f>
        <v>1.5821725974597464E-2</v>
      </c>
      <c r="E38" s="5">
        <f>'Canada tax data'!E69/('Canada fuel price projections'!E31-'Canada tax data'!E69)</f>
        <v>1.4736938588021295E-2</v>
      </c>
      <c r="F38" s="5">
        <f>'Canada tax data'!F69/('Canada fuel price projections'!F31-'Canada tax data'!F69)</f>
        <v>1.4061393103732918E-2</v>
      </c>
      <c r="G38" s="5">
        <f>'Canada tax data'!G69/('Canada fuel price projections'!G31-'Canada tax data'!G69)</f>
        <v>1.338599181710815E-2</v>
      </c>
      <c r="H38" s="5">
        <f>'Canada tax data'!H69/('Canada fuel price projections'!H31-'Canada tax data'!H69)</f>
        <v>1.2828278506234494E-2</v>
      </c>
      <c r="I38" s="5">
        <f>'Canada tax data'!I69/('Canada fuel price projections'!I31-'Canada tax data'!I69)</f>
        <v>1.2306290257448674E-2</v>
      </c>
      <c r="J38" s="5">
        <f>'Canada tax data'!J69/('Canada fuel price projections'!J31-'Canada tax data'!J69)</f>
        <v>1.206978348143488E-2</v>
      </c>
      <c r="K38" s="5">
        <f>'Canada tax data'!K69/('Canada fuel price projections'!K31-'Canada tax data'!K69)</f>
        <v>1.1834796781340216E-2</v>
      </c>
      <c r="L38" s="5">
        <f>'Canada tax data'!L69/('Canada fuel price projections'!L31-'Canada tax data'!L69)</f>
        <v>1.15681767043956E-2</v>
      </c>
      <c r="M38" s="5">
        <f>'Canada tax data'!M69/('Canada fuel price projections'!M31-'Canada tax data'!M69)</f>
        <v>1.132829142423452E-2</v>
      </c>
      <c r="N38" s="5">
        <f>'Canada tax data'!N69/('Canada fuel price projections'!N31-'Canada tax data'!N69)</f>
        <v>1.1113669234281934E-2</v>
      </c>
      <c r="O38" s="5">
        <f>'Canada tax data'!O69/('Canada fuel price projections'!O31-'Canada tax data'!O69)</f>
        <v>1.0917412241812214E-2</v>
      </c>
      <c r="P38" s="5">
        <f>'Canada tax data'!P69/('Canada fuel price projections'!P31-'Canada tax data'!P69)</f>
        <v>1.0735971826703557E-2</v>
      </c>
      <c r="Q38" s="5">
        <f>'Canada tax data'!Q69/('Canada fuel price projections'!Q31-'Canada tax data'!Q69)</f>
        <v>1.0557718895596315E-2</v>
      </c>
      <c r="R38" s="5">
        <f>'Canada tax data'!R69/('Canada fuel price projections'!R31-'Canada tax data'!R69)</f>
        <v>1.0382595180707926E-2</v>
      </c>
      <c r="S38" s="5">
        <f>'Canada tax data'!S69/('Canada fuel price projections'!S31-'Canada tax data'!S69)</f>
        <v>1.0210543533625566E-2</v>
      </c>
      <c r="T38" s="5">
        <f>'Canada tax data'!T69/('Canada fuel price projections'!T31-'Canada tax data'!T69)</f>
        <v>1.0044176946144753E-2</v>
      </c>
      <c r="U38" s="5">
        <f>'Canada tax data'!U69/('Canada fuel price projections'!U31-'Canada tax data'!U69)</f>
        <v>9.8859784438153075E-3</v>
      </c>
      <c r="V38" s="5">
        <f>'Canada tax data'!V69/('Canada fuel price projections'!V31-'Canada tax data'!V69)</f>
        <v>9.7226735684003331E-3</v>
      </c>
      <c r="W38" s="5">
        <f>'Canada tax data'!W69/('Canada fuel price projections'!W31-'Canada tax data'!W69)</f>
        <v>9.5673695693301256E-3</v>
      </c>
      <c r="X38" s="5">
        <f>'Canada tax data'!X69/('Canada fuel price projections'!X31-'Canada tax data'!X69)</f>
        <v>9.4096588033164476E-3</v>
      </c>
      <c r="Y38" s="5">
        <f>'Canada tax data'!Y69/('Canada fuel price projections'!Y31-'Canada tax data'!Y69)</f>
        <v>9.2547025609341863E-3</v>
      </c>
      <c r="Z38" s="5">
        <f>'Canada tax data'!Z69/('Canada fuel price projections'!Z31-'Canada tax data'!Z69)</f>
        <v>9.0950314455314381E-3</v>
      </c>
      <c r="AA38" s="5">
        <f>'Canada tax data'!AA69/('Canada fuel price projections'!AA31-'Canada tax data'!AA69)</f>
        <v>8.9382186356660072E-3</v>
      </c>
      <c r="AB38" s="5">
        <f>'Canada tax data'!AB69/('Canada fuel price projections'!AB31-'Canada tax data'!AB69)</f>
        <v>3.0288933921182153E-4</v>
      </c>
      <c r="AC38" s="5">
        <f>'Canada tax data'!AC69/('Canada fuel price projections'!AC31-'Canada tax data'!AC69)</f>
        <v>2.97988930222791E-4</v>
      </c>
      <c r="AD38" s="5">
        <f>'Canada tax data'!AD69/('Canada fuel price projections'!AD31-'Canada tax data'!AD69)</f>
        <v>2.9317229724637499E-4</v>
      </c>
      <c r="AE38" s="5">
        <f>'Canada tax data'!AE69/('Canada fuel price projections'!AE31-'Canada tax data'!AE69)</f>
        <v>2.8843797380963791E-4</v>
      </c>
      <c r="AF38" s="5">
        <f>'Canada tax data'!AF69/('Canada fuel price projections'!AF31-'Canada tax data'!AF69)</f>
        <v>2.8378451964378089E-4</v>
      </c>
      <c r="AG38" s="5">
        <f>'Canada tax data'!AG69/('Canada fuel price projections'!AG31-'Canada tax data'!AG69)</f>
        <v>2.7921052020954298E-4</v>
      </c>
      <c r="AH38" s="5">
        <f>'Canada tax data'!AH69/('Canada fuel price projections'!AH31-'Canada tax data'!AH69)</f>
        <v>2.7471458623132809E-4</v>
      </c>
      <c r="AI38" s="5">
        <f>'Canada tax data'!AI69/('Canada fuel price projections'!AI31-'Canada tax data'!AI69)</f>
        <v>2.7029535323990145E-4</v>
      </c>
      <c r="AJ38" s="5">
        <f>'Canada tax data'!AJ69/('Canada fuel price projections'!AJ31-'Canada tax data'!AJ69)</f>
        <v>2.6595148112349315E-4</v>
      </c>
      <c r="AK38" s="5">
        <f>'Canada tax data'!AK69/('Canada fuel price projections'!AK31-'Canada tax data'!AK69)</f>
        <v>2.6168165368715258E-4</v>
      </c>
    </row>
    <row r="41" spans="1:37">
      <c r="A41" s="5" t="s">
        <v>172</v>
      </c>
    </row>
    <row r="42" spans="1:37">
      <c r="A42" s="5" t="s">
        <v>173</v>
      </c>
      <c r="B42" s="5" t="s">
        <v>174</v>
      </c>
    </row>
    <row r="43" spans="1:37" ht="15">
      <c r="A43" s="39">
        <v>1.2789999999999999</v>
      </c>
      <c r="B43" s="39">
        <v>1.302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baseColWidth="10" defaultColWidth="10.83203125" defaultRowHeight="14" x14ac:dyDescent="0"/>
  <cols>
    <col min="1" max="1" width="13.6640625" style="5" customWidth="1"/>
    <col min="2" max="2" width="20.33203125" style="5" bestFit="1" customWidth="1"/>
    <col min="3" max="6" width="11.6640625" style="5" bestFit="1" customWidth="1"/>
    <col min="7" max="16384" width="10.83203125" style="5"/>
  </cols>
  <sheetData>
    <row r="1" spans="1:6">
      <c r="A1" s="1" t="s">
        <v>114</v>
      </c>
    </row>
    <row r="2" spans="1:6">
      <c r="B2" s="29">
        <v>2013</v>
      </c>
      <c r="C2" s="29">
        <v>2014</v>
      </c>
      <c r="D2" s="29">
        <v>2015</v>
      </c>
      <c r="E2" s="29">
        <v>2016</v>
      </c>
    </row>
    <row r="3" spans="1:6">
      <c r="A3" s="27"/>
      <c r="B3" s="27" t="s">
        <v>110</v>
      </c>
    </row>
    <row r="4" spans="1:6">
      <c r="A4" s="30" t="s">
        <v>111</v>
      </c>
      <c r="B4" s="31">
        <v>35152.400000000001</v>
      </c>
      <c r="C4" s="31">
        <v>35535.300000000003</v>
      </c>
      <c r="D4" s="31">
        <v>35832.5</v>
      </c>
      <c r="E4" s="31">
        <v>36264.6</v>
      </c>
    </row>
    <row r="5" spans="1:6">
      <c r="A5" s="32" t="s">
        <v>82</v>
      </c>
      <c r="B5" s="27">
        <v>527.4</v>
      </c>
      <c r="C5" s="27">
        <v>528.4</v>
      </c>
      <c r="D5" s="27">
        <v>528.79999999999995</v>
      </c>
      <c r="E5" s="27">
        <v>530.29999999999995</v>
      </c>
      <c r="F5" s="5">
        <f t="shared" ref="F5:F17" si="0">E5/$E$4</f>
        <v>1.4623075947342587E-2</v>
      </c>
    </row>
    <row r="6" spans="1:6">
      <c r="A6" s="32" t="s">
        <v>80</v>
      </c>
      <c r="B6" s="27">
        <v>145.19999999999999</v>
      </c>
      <c r="C6" s="27">
        <v>145.9</v>
      </c>
      <c r="D6" s="27">
        <v>146.80000000000001</v>
      </c>
      <c r="E6" s="27">
        <v>149.5</v>
      </c>
      <c r="F6" s="5">
        <f t="shared" si="0"/>
        <v>4.1224775676555097E-3</v>
      </c>
    </row>
    <row r="7" spans="1:6">
      <c r="A7" s="32" t="s">
        <v>34</v>
      </c>
      <c r="B7" s="27">
        <v>943</v>
      </c>
      <c r="C7" s="27">
        <v>942.2</v>
      </c>
      <c r="D7" s="27">
        <v>941.5</v>
      </c>
      <c r="E7" s="27">
        <v>948.6</v>
      </c>
      <c r="F7" s="5">
        <f t="shared" si="0"/>
        <v>2.615774060654192E-2</v>
      </c>
    </row>
    <row r="8" spans="1:6">
      <c r="A8" s="32" t="s">
        <v>35</v>
      </c>
      <c r="B8" s="27">
        <v>755.7</v>
      </c>
      <c r="C8" s="27">
        <v>754.7</v>
      </c>
      <c r="D8" s="27">
        <v>753.9</v>
      </c>
      <c r="E8" s="27">
        <v>757.4</v>
      </c>
      <c r="F8" s="5">
        <f t="shared" si="0"/>
        <v>2.0885381336068782E-2</v>
      </c>
    </row>
    <row r="9" spans="1:6">
      <c r="A9" s="32" t="s">
        <v>32</v>
      </c>
      <c r="B9" s="33">
        <v>8151.3</v>
      </c>
      <c r="C9" s="33">
        <v>8210.5</v>
      </c>
      <c r="D9" s="33">
        <v>8254.9</v>
      </c>
      <c r="E9" s="33">
        <v>8321.9</v>
      </c>
      <c r="F9" s="5">
        <f t="shared" si="0"/>
        <v>0.22947723123928018</v>
      </c>
    </row>
    <row r="10" spans="1:6">
      <c r="A10" s="32" t="s">
        <v>31</v>
      </c>
      <c r="B10" s="33">
        <v>13555.8</v>
      </c>
      <c r="C10" s="33">
        <v>13680.4</v>
      </c>
      <c r="D10" s="33">
        <v>13789.6</v>
      </c>
      <c r="E10" s="33">
        <v>13976.3</v>
      </c>
      <c r="F10" s="5">
        <f t="shared" si="0"/>
        <v>0.38539788112925555</v>
      </c>
    </row>
    <row r="11" spans="1:6">
      <c r="A11" s="32" t="s">
        <v>30</v>
      </c>
      <c r="B11" s="33">
        <v>1265.5999999999999</v>
      </c>
      <c r="C11" s="33">
        <v>1280.9000000000001</v>
      </c>
      <c r="D11" s="33">
        <v>1295.4000000000001</v>
      </c>
      <c r="E11" s="33">
        <v>1318.1</v>
      </c>
      <c r="F11" s="5">
        <f t="shared" si="0"/>
        <v>3.6346740347335968E-2</v>
      </c>
    </row>
    <row r="12" spans="1:6">
      <c r="A12" s="32" t="s">
        <v>85</v>
      </c>
      <c r="B12" s="33">
        <v>1104.8</v>
      </c>
      <c r="C12" s="33">
        <v>1120.5999999999999</v>
      </c>
      <c r="D12" s="33">
        <v>1131.2</v>
      </c>
      <c r="E12" s="33">
        <v>1148.5999999999999</v>
      </c>
      <c r="F12" s="5">
        <f t="shared" si="0"/>
        <v>3.1672760763940593E-2</v>
      </c>
    </row>
    <row r="13" spans="1:6">
      <c r="A13" s="32" t="s">
        <v>28</v>
      </c>
      <c r="B13" s="33">
        <v>3998</v>
      </c>
      <c r="C13" s="33">
        <v>4108.3999999999996</v>
      </c>
      <c r="D13" s="33">
        <v>4177.5</v>
      </c>
      <c r="E13" s="33">
        <v>4236.3999999999996</v>
      </c>
      <c r="F13" s="5">
        <f t="shared" si="0"/>
        <v>0.11681915697401873</v>
      </c>
    </row>
    <row r="14" spans="1:6">
      <c r="A14" s="32" t="s">
        <v>112</v>
      </c>
      <c r="B14" s="33">
        <v>4590.1000000000004</v>
      </c>
      <c r="C14" s="33">
        <v>4646.5</v>
      </c>
      <c r="D14" s="33">
        <v>4694.7</v>
      </c>
      <c r="E14" s="33">
        <v>4757.7</v>
      </c>
      <c r="F14" s="5">
        <f t="shared" si="0"/>
        <v>0.13119405701427839</v>
      </c>
    </row>
    <row r="15" spans="1:6">
      <c r="A15" s="32" t="s">
        <v>39</v>
      </c>
      <c r="B15" s="27">
        <v>36.299999999999997</v>
      </c>
      <c r="C15" s="27">
        <v>36.799999999999997</v>
      </c>
      <c r="D15" s="27">
        <v>37.299999999999997</v>
      </c>
      <c r="E15" s="27">
        <v>38.1</v>
      </c>
      <c r="F15" s="5">
        <f t="shared" si="0"/>
        <v>1.0506113399844476E-3</v>
      </c>
    </row>
    <row r="16" spans="1:6">
      <c r="A16" s="32" t="s">
        <v>113</v>
      </c>
      <c r="B16" s="27">
        <v>43.8</v>
      </c>
      <c r="C16" s="27">
        <v>43.9</v>
      </c>
      <c r="D16" s="27">
        <v>44.2</v>
      </c>
      <c r="E16" s="27">
        <v>44.6</v>
      </c>
      <c r="F16" s="5">
        <f t="shared" si="0"/>
        <v>1.2298494950999047E-3</v>
      </c>
    </row>
    <row r="17" spans="1:6">
      <c r="A17" s="32" t="s">
        <v>37</v>
      </c>
      <c r="B17" s="27">
        <v>35.4</v>
      </c>
      <c r="C17" s="27">
        <v>36.1</v>
      </c>
      <c r="D17" s="27">
        <v>36.6</v>
      </c>
      <c r="E17" s="27">
        <v>37.200000000000003</v>
      </c>
      <c r="F17" s="5">
        <f t="shared" si="0"/>
        <v>1.0257937492761538E-3</v>
      </c>
    </row>
    <row r="20" spans="1:6">
      <c r="A20" s="32" t="s">
        <v>108</v>
      </c>
    </row>
    <row r="21" spans="1:6">
      <c r="A21" s="32" t="s">
        <v>116</v>
      </c>
    </row>
    <row r="22" spans="1:6">
      <c r="A22" s="5" t="s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baseColWidth="10" defaultColWidth="8.83203125" defaultRowHeight="14" x14ac:dyDescent="0"/>
  <cols>
    <col min="1" max="1" width="35.6640625" customWidth="1"/>
  </cols>
  <sheetData>
    <row r="1" spans="1:5">
      <c r="A1" s="55" t="s">
        <v>97</v>
      </c>
    </row>
    <row r="2" spans="1:5">
      <c r="A2" s="12" t="s">
        <v>60</v>
      </c>
    </row>
    <row r="5" spans="1:5">
      <c r="A5" t="s">
        <v>61</v>
      </c>
      <c r="B5" s="13">
        <v>6.67</v>
      </c>
    </row>
    <row r="6" spans="1:5">
      <c r="A6" t="s">
        <v>62</v>
      </c>
      <c r="B6" s="13">
        <v>7.67</v>
      </c>
    </row>
    <row r="7" spans="1:5">
      <c r="A7" t="s">
        <v>63</v>
      </c>
      <c r="B7" s="13">
        <v>7.83</v>
      </c>
    </row>
    <row r="8" spans="1:5">
      <c r="A8" t="s">
        <v>64</v>
      </c>
      <c r="B8" s="13">
        <v>4.62</v>
      </c>
    </row>
    <row r="9" spans="1:5">
      <c r="A9" t="s">
        <v>65</v>
      </c>
      <c r="B9" s="13">
        <v>5.7</v>
      </c>
    </row>
    <row r="11" spans="1:5">
      <c r="A11" s="55" t="s">
        <v>98</v>
      </c>
      <c r="B11" t="s">
        <v>44</v>
      </c>
    </row>
    <row r="12" spans="1:5" s="19" customFormat="1" ht="15">
      <c r="A12" s="18" t="s">
        <v>67</v>
      </c>
    </row>
    <row r="13" spans="1:5" s="19" customFormat="1" ht="15">
      <c r="A13" s="18" t="s">
        <v>68</v>
      </c>
    </row>
    <row r="14" spans="1:5" s="19" customFormat="1" ht="15">
      <c r="A14" s="18" t="s">
        <v>69</v>
      </c>
    </row>
    <row r="15" spans="1:5" s="19" customFormat="1" ht="15">
      <c r="A15" s="62"/>
      <c r="B15" s="62" t="s">
        <v>70</v>
      </c>
      <c r="C15" s="62" t="s">
        <v>48</v>
      </c>
      <c r="D15" s="18" t="s">
        <v>49</v>
      </c>
      <c r="E15" s="62" t="s">
        <v>72</v>
      </c>
    </row>
    <row r="16" spans="1:5" s="19" customFormat="1" ht="15">
      <c r="A16" s="62"/>
      <c r="B16" s="62"/>
      <c r="C16" s="62"/>
      <c r="D16" s="18" t="s">
        <v>71</v>
      </c>
      <c r="E16" s="62"/>
    </row>
    <row r="17" spans="1:5" s="19" customFormat="1" ht="15">
      <c r="A17" s="18" t="s">
        <v>73</v>
      </c>
    </row>
    <row r="18" spans="1:5" s="19" customFormat="1" ht="15">
      <c r="A18" s="20" t="s">
        <v>74</v>
      </c>
      <c r="B18" s="20">
        <v>10</v>
      </c>
      <c r="C18" s="20">
        <v>4</v>
      </c>
      <c r="D18" s="20" t="s">
        <v>75</v>
      </c>
      <c r="E18" s="20" t="s">
        <v>75</v>
      </c>
    </row>
    <row r="19" spans="1:5" s="19" customFormat="1" ht="15">
      <c r="A19" s="20" t="s">
        <v>76</v>
      </c>
      <c r="B19" s="21">
        <v>0.05</v>
      </c>
      <c r="C19" s="21">
        <v>0.05</v>
      </c>
      <c r="D19" s="21">
        <v>0.05</v>
      </c>
      <c r="E19" s="21">
        <v>0.05</v>
      </c>
    </row>
    <row r="20" spans="1:5" s="19" customFormat="1" ht="15">
      <c r="A20" s="18" t="s">
        <v>77</v>
      </c>
    </row>
    <row r="21" spans="1:5" s="19" customFormat="1" ht="15">
      <c r="A21" s="18" t="s">
        <v>78</v>
      </c>
    </row>
    <row r="22" spans="1:5" s="19" customFormat="1" ht="15">
      <c r="A22" s="20" t="s">
        <v>31</v>
      </c>
      <c r="B22" s="21">
        <v>0.13</v>
      </c>
      <c r="C22" s="21">
        <v>0.13</v>
      </c>
      <c r="D22" s="21">
        <v>0.13</v>
      </c>
      <c r="E22" s="21">
        <v>0.13</v>
      </c>
    </row>
    <row r="23" spans="1:5" s="19" customFormat="1" ht="15">
      <c r="A23" s="20" t="s">
        <v>79</v>
      </c>
      <c r="B23" s="21">
        <v>0.15</v>
      </c>
      <c r="C23" s="21">
        <v>0.15</v>
      </c>
      <c r="D23" s="21">
        <v>0.15</v>
      </c>
      <c r="E23" s="21">
        <v>0.05</v>
      </c>
    </row>
    <row r="24" spans="1:5" s="19" customFormat="1" ht="15">
      <c r="A24" s="20" t="s">
        <v>80</v>
      </c>
      <c r="B24" s="21">
        <v>0.15</v>
      </c>
      <c r="C24" s="21">
        <v>0.15</v>
      </c>
      <c r="D24" s="21">
        <v>0.15</v>
      </c>
      <c r="E24" s="21">
        <v>0.05</v>
      </c>
    </row>
    <row r="25" spans="1:5" s="19" customFormat="1" ht="15">
      <c r="A25" s="18" t="s">
        <v>81</v>
      </c>
    </row>
    <row r="26" spans="1:5" s="19" customFormat="1" ht="15">
      <c r="A26" s="20" t="s">
        <v>82</v>
      </c>
      <c r="B26" s="20">
        <v>33</v>
      </c>
      <c r="C26" s="20">
        <v>21.5</v>
      </c>
      <c r="D26" s="20">
        <v>7</v>
      </c>
      <c r="E26" s="20"/>
    </row>
    <row r="27" spans="1:5" s="19" customFormat="1" ht="15">
      <c r="A27" s="20" t="s">
        <v>80</v>
      </c>
      <c r="B27" s="20">
        <v>13.1</v>
      </c>
      <c r="C27" s="20">
        <v>20.2</v>
      </c>
      <c r="D27" s="20"/>
      <c r="E27" s="20"/>
    </row>
    <row r="28" spans="1:5" s="19" customFormat="1" ht="15">
      <c r="A28" s="20" t="s">
        <v>34</v>
      </c>
      <c r="B28" s="20">
        <v>15.5</v>
      </c>
      <c r="C28" s="20">
        <v>15.4</v>
      </c>
      <c r="D28" s="20">
        <v>7</v>
      </c>
      <c r="E28" s="20"/>
    </row>
    <row r="29" spans="1:5" s="19" customFormat="1" ht="15">
      <c r="A29" s="20" t="s">
        <v>35</v>
      </c>
      <c r="B29" s="20">
        <v>15.5</v>
      </c>
      <c r="C29" s="20">
        <v>21.5</v>
      </c>
      <c r="D29" s="20">
        <v>6.7</v>
      </c>
      <c r="E29" s="20"/>
    </row>
    <row r="30" spans="1:5" s="19" customFormat="1" ht="15">
      <c r="A30" s="20" t="s">
        <v>83</v>
      </c>
      <c r="B30" s="20">
        <v>19.2</v>
      </c>
      <c r="C30" s="20">
        <v>20.2</v>
      </c>
      <c r="D30" s="20"/>
      <c r="E30" s="20"/>
    </row>
    <row r="31" spans="1:5" s="19" customFormat="1" ht="15">
      <c r="A31" s="20" t="s">
        <v>84</v>
      </c>
      <c r="B31" s="22">
        <v>9.9750000000000005E-2</v>
      </c>
      <c r="C31" s="22">
        <v>9.9750000000000005E-2</v>
      </c>
      <c r="D31" s="22">
        <v>9.9750000000000005E-2</v>
      </c>
      <c r="E31" s="22">
        <v>9.9750000000000005E-2</v>
      </c>
    </row>
    <row r="32" spans="1:5" s="19" customFormat="1" ht="15">
      <c r="A32" s="20" t="s">
        <v>31</v>
      </c>
      <c r="B32" s="20">
        <v>14.7</v>
      </c>
      <c r="C32" s="20">
        <v>14.3</v>
      </c>
      <c r="D32" s="20">
        <v>4.3</v>
      </c>
      <c r="E32" s="20"/>
    </row>
    <row r="33" spans="1:5" s="19" customFormat="1" ht="15">
      <c r="A33" s="20" t="s">
        <v>30</v>
      </c>
      <c r="B33" s="20">
        <v>14</v>
      </c>
      <c r="C33" s="20">
        <v>14</v>
      </c>
      <c r="D33" s="20">
        <v>3</v>
      </c>
      <c r="E33" s="20"/>
    </row>
    <row r="34" spans="1:5" s="19" customFormat="1" ht="15">
      <c r="A34" s="20" t="s">
        <v>85</v>
      </c>
      <c r="B34" s="20">
        <v>15</v>
      </c>
      <c r="C34" s="20">
        <v>15</v>
      </c>
      <c r="D34" s="20">
        <v>9</v>
      </c>
      <c r="E34" s="20"/>
    </row>
    <row r="35" spans="1:5" s="19" customFormat="1" ht="15">
      <c r="A35" s="20" t="s">
        <v>28</v>
      </c>
      <c r="B35" s="20">
        <v>13</v>
      </c>
      <c r="C35" s="20">
        <v>13</v>
      </c>
      <c r="D35" s="20">
        <v>9.4</v>
      </c>
      <c r="E35" s="20"/>
    </row>
    <row r="36" spans="1:5" s="19" customFormat="1" ht="15">
      <c r="A36" s="20" t="s">
        <v>86</v>
      </c>
      <c r="B36" s="20">
        <v>4.49</v>
      </c>
      <c r="C36" s="20">
        <v>5.35</v>
      </c>
      <c r="D36" s="20">
        <v>3.08</v>
      </c>
      <c r="E36" s="23">
        <v>1.0109999999999999</v>
      </c>
    </row>
    <row r="37" spans="1:5" s="19" customFormat="1" ht="15">
      <c r="A37" s="20" t="s">
        <v>87</v>
      </c>
      <c r="B37" s="20">
        <v>14.5</v>
      </c>
      <c r="C37" s="20">
        <v>15</v>
      </c>
      <c r="D37" s="20">
        <v>2.7</v>
      </c>
      <c r="E37" s="20"/>
    </row>
    <row r="38" spans="1:5" s="19" customFormat="1" ht="15">
      <c r="A38" s="20">
        <v>6.67</v>
      </c>
      <c r="B38" s="20">
        <v>7.67</v>
      </c>
      <c r="C38" s="20">
        <v>4.62</v>
      </c>
      <c r="D38" s="20" t="s">
        <v>88</v>
      </c>
    </row>
    <row r="39" spans="1:5" s="19" customFormat="1" ht="15">
      <c r="A39" s="20" t="s">
        <v>39</v>
      </c>
      <c r="B39" s="20">
        <v>6.2</v>
      </c>
      <c r="C39" s="20">
        <v>7.2</v>
      </c>
      <c r="D39" s="20"/>
      <c r="E39" s="20"/>
    </row>
    <row r="40" spans="1:5" s="19" customFormat="1" ht="15">
      <c r="A40" s="20" t="s">
        <v>89</v>
      </c>
      <c r="B40" s="20" t="s">
        <v>90</v>
      </c>
      <c r="C40" s="20">
        <v>9.1</v>
      </c>
      <c r="D40" s="20"/>
      <c r="E40" s="20"/>
    </row>
    <row r="41" spans="1:5" s="19" customFormat="1" ht="15">
      <c r="A41" s="20" t="s">
        <v>91</v>
      </c>
      <c r="B41" s="20" t="s">
        <v>90</v>
      </c>
      <c r="C41" s="20">
        <v>9.1</v>
      </c>
      <c r="D41" s="20"/>
      <c r="E41" s="20"/>
    </row>
    <row r="42" spans="1:5" s="19" customFormat="1" ht="15">
      <c r="A42" s="18" t="s">
        <v>92</v>
      </c>
    </row>
    <row r="43" spans="1:5" s="19" customFormat="1" ht="15">
      <c r="A43" s="18" t="s">
        <v>93</v>
      </c>
    </row>
    <row r="44" spans="1:5" s="19" customFormat="1" ht="15">
      <c r="A44" s="20" t="s">
        <v>94</v>
      </c>
      <c r="B44" s="20">
        <v>3</v>
      </c>
      <c r="C44" s="20"/>
      <c r="D44" s="20"/>
      <c r="E44" s="20"/>
    </row>
    <row r="45" spans="1:5" s="19" customFormat="1" ht="15">
      <c r="A45" s="20" t="s">
        <v>95</v>
      </c>
      <c r="B45" s="20">
        <v>11</v>
      </c>
      <c r="C45" s="20">
        <v>11</v>
      </c>
      <c r="D45" s="20"/>
      <c r="E45" s="20"/>
    </row>
    <row r="46" spans="1:5" s="19" customFormat="1" ht="15">
      <c r="A46" s="20" t="s">
        <v>96</v>
      </c>
      <c r="B46" s="20">
        <v>3.5</v>
      </c>
      <c r="C46" s="20">
        <v>3.5</v>
      </c>
      <c r="D46" s="20"/>
      <c r="E46" s="20"/>
    </row>
  </sheetData>
  <mergeCells count="4">
    <mergeCell ref="A15:A16"/>
    <mergeCell ref="B15:B16"/>
    <mergeCell ref="C15:C16"/>
    <mergeCell ref="E15:E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/>
  </sheetViews>
  <sheetFormatPr baseColWidth="10" defaultColWidth="10.83203125" defaultRowHeight="14" x14ac:dyDescent="0"/>
  <cols>
    <col min="1" max="1" width="16.83203125" customWidth="1"/>
  </cols>
  <sheetData>
    <row r="1" spans="1:28">
      <c r="A1" s="1" t="s">
        <v>154</v>
      </c>
      <c r="B1" s="1"/>
    </row>
    <row r="2" spans="1:28">
      <c r="A2" s="27" t="s">
        <v>164</v>
      </c>
    </row>
    <row r="3" spans="1:28">
      <c r="A3" s="1"/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  <c r="M3" s="1">
        <v>2025</v>
      </c>
      <c r="N3" s="1">
        <v>2026</v>
      </c>
      <c r="O3" s="1">
        <v>2027</v>
      </c>
      <c r="P3" s="1">
        <v>2028</v>
      </c>
      <c r="Q3" s="1">
        <v>2029</v>
      </c>
      <c r="R3" s="1">
        <v>2030</v>
      </c>
      <c r="S3" s="1">
        <v>2031</v>
      </c>
      <c r="T3" s="1">
        <v>2032</v>
      </c>
      <c r="U3" s="1">
        <v>2033</v>
      </c>
      <c r="V3" s="1">
        <v>2034</v>
      </c>
      <c r="W3" s="1">
        <v>2035</v>
      </c>
      <c r="X3" s="1">
        <v>2036</v>
      </c>
      <c r="Y3" s="1">
        <v>2037</v>
      </c>
      <c r="Z3" s="1">
        <v>2038</v>
      </c>
      <c r="AA3" s="1">
        <v>2039</v>
      </c>
      <c r="AB3" s="1">
        <v>2040</v>
      </c>
    </row>
    <row r="4" spans="1:28" ht="28">
      <c r="A4" s="37" t="s">
        <v>236</v>
      </c>
      <c r="B4" s="35">
        <v>2.3781590000000001</v>
      </c>
      <c r="C4" s="35">
        <v>2.185613</v>
      </c>
      <c r="D4" s="35">
        <v>2.1010849999999999</v>
      </c>
      <c r="E4" s="35">
        <v>2.0862210000000001</v>
      </c>
      <c r="F4" s="35">
        <v>2.2019829999999998</v>
      </c>
      <c r="G4" s="35">
        <v>2.2306119999999998</v>
      </c>
      <c r="H4" s="35">
        <v>2.2647370000000002</v>
      </c>
      <c r="I4" s="35">
        <v>2.2659340000000001</v>
      </c>
      <c r="J4" s="35">
        <v>2.2651810000000001</v>
      </c>
      <c r="K4" s="35">
        <v>2.271795</v>
      </c>
      <c r="L4" s="35">
        <v>2.2642739999999999</v>
      </c>
      <c r="M4" s="35">
        <v>2.2646829999999998</v>
      </c>
      <c r="N4" s="35">
        <v>2.2684679999999999</v>
      </c>
      <c r="O4" s="35">
        <v>2.2628249999999999</v>
      </c>
      <c r="P4" s="35">
        <v>2.2578819999999999</v>
      </c>
      <c r="Q4" s="35">
        <v>2.2556229999999999</v>
      </c>
      <c r="R4" s="35">
        <v>2.2566109999999999</v>
      </c>
      <c r="S4" s="35">
        <v>2.2696930000000002</v>
      </c>
      <c r="T4" s="35">
        <v>2.2835760000000001</v>
      </c>
      <c r="U4" s="35">
        <v>2.2967650000000002</v>
      </c>
      <c r="V4" s="35">
        <v>2.3105039999999999</v>
      </c>
      <c r="W4" s="35">
        <v>2.3181790000000002</v>
      </c>
      <c r="X4" s="35">
        <v>2.3314490000000001</v>
      </c>
      <c r="Y4" s="35">
        <v>2.3421910000000001</v>
      </c>
      <c r="Z4" s="35">
        <v>2.3573119999999999</v>
      </c>
      <c r="AA4" s="35">
        <v>2.3694099999999998</v>
      </c>
      <c r="AB4" s="35">
        <v>2.3828659999999999</v>
      </c>
    </row>
    <row r="5" spans="1:28">
      <c r="A5" t="s">
        <v>166</v>
      </c>
      <c r="C5">
        <f>C4/B4</f>
        <v>0.91903569105345773</v>
      </c>
      <c r="D5">
        <f>D4/C4</f>
        <v>0.96132526664144102</v>
      </c>
      <c r="E5">
        <f t="shared" ref="E5:AB5" si="0">E4/D4</f>
        <v>0.99292555988929543</v>
      </c>
      <c r="F5">
        <f t="shared" si="0"/>
        <v>1.0554888480175397</v>
      </c>
      <c r="G5">
        <f t="shared" si="0"/>
        <v>1.0130014627724193</v>
      </c>
      <c r="H5">
        <f t="shared" si="0"/>
        <v>1.0152984920730277</v>
      </c>
      <c r="I5">
        <f t="shared" si="0"/>
        <v>1.0005285381922933</v>
      </c>
      <c r="J5">
        <f t="shared" si="0"/>
        <v>0.99966768670226047</v>
      </c>
      <c r="K5">
        <f t="shared" si="0"/>
        <v>1.002919854969647</v>
      </c>
      <c r="L5">
        <f t="shared" si="0"/>
        <v>0.9966894019926974</v>
      </c>
      <c r="M5">
        <f t="shared" si="0"/>
        <v>1.0001806318493256</v>
      </c>
      <c r="N5">
        <f t="shared" si="0"/>
        <v>1.0016713155880979</v>
      </c>
      <c r="O5">
        <f t="shared" si="0"/>
        <v>0.99751241807246116</v>
      </c>
      <c r="P5">
        <f t="shared" si="0"/>
        <v>0.99781556240540037</v>
      </c>
      <c r="Q5">
        <f t="shared" si="0"/>
        <v>0.99899950484569167</v>
      </c>
      <c r="R5">
        <f t="shared" si="0"/>
        <v>1.0004380164593107</v>
      </c>
      <c r="S5">
        <f t="shared" si="0"/>
        <v>1.0057971887932835</v>
      </c>
      <c r="T5">
        <f t="shared" si="0"/>
        <v>1.0061166862654993</v>
      </c>
      <c r="U5">
        <f t="shared" si="0"/>
        <v>1.0057755905649737</v>
      </c>
      <c r="V5">
        <f t="shared" si="0"/>
        <v>1.0059818919218988</v>
      </c>
      <c r="W5">
        <f t="shared" si="0"/>
        <v>1.0033217860691868</v>
      </c>
      <c r="X5">
        <f t="shared" si="0"/>
        <v>1.0057243206844682</v>
      </c>
      <c r="Y5">
        <f t="shared" si="0"/>
        <v>1.0046074351186751</v>
      </c>
      <c r="Z5">
        <f t="shared" si="0"/>
        <v>1.0064559209731401</v>
      </c>
      <c r="AA5">
        <f t="shared" si="0"/>
        <v>1.0051321165802405</v>
      </c>
      <c r="AB5">
        <f t="shared" si="0"/>
        <v>1.0056790509029674</v>
      </c>
    </row>
    <row r="7" spans="1:28">
      <c r="A7" t="s">
        <v>155</v>
      </c>
    </row>
    <row r="8" spans="1:28">
      <c r="A8" s="36" t="s">
        <v>156</v>
      </c>
      <c r="B8" s="36" t="s">
        <v>157</v>
      </c>
      <c r="D8" s="36"/>
    </row>
    <row r="9" spans="1:28">
      <c r="A9" s="36" t="s">
        <v>158</v>
      </c>
      <c r="B9" s="36" t="s">
        <v>159</v>
      </c>
      <c r="D9" s="36"/>
    </row>
    <row r="10" spans="1:28">
      <c r="A10" s="36" t="s">
        <v>160</v>
      </c>
      <c r="B10" s="36" t="s">
        <v>161</v>
      </c>
      <c r="D10" s="36"/>
    </row>
    <row r="11" spans="1:28">
      <c r="A11" s="36" t="s">
        <v>162</v>
      </c>
      <c r="B11" s="36" t="s">
        <v>163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/>
  </sheetViews>
  <sheetFormatPr baseColWidth="10" defaultColWidth="10.83203125" defaultRowHeight="14" x14ac:dyDescent="0"/>
  <cols>
    <col min="1" max="1" width="19.1640625" style="5" customWidth="1"/>
    <col min="2" max="2" width="12.33203125" style="5" bestFit="1" customWidth="1"/>
    <col min="3" max="3" width="12.1640625" style="5" bestFit="1" customWidth="1"/>
    <col min="4" max="16384" width="10.83203125" style="5"/>
  </cols>
  <sheetData>
    <row r="1" spans="1:28"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</row>
    <row r="2" spans="1:28">
      <c r="A2" s="5" t="s">
        <v>180</v>
      </c>
      <c r="B2" s="5">
        <v>20.52</v>
      </c>
    </row>
    <row r="3" spans="1:28">
      <c r="A3" s="5" t="s">
        <v>181</v>
      </c>
      <c r="B3" s="5">
        <f>B2/1000000</f>
        <v>2.052E-5</v>
      </c>
    </row>
    <row r="4" spans="1:28">
      <c r="A4" s="52" t="s">
        <v>189</v>
      </c>
      <c r="B4" s="52">
        <f>B3*A15</f>
        <v>2.269512E-5</v>
      </c>
      <c r="C4" s="5">
        <f>B4*Table14[[#Totals],[2015]]</f>
        <v>1.8368683199999999E-5</v>
      </c>
      <c r="D4" s="5">
        <f>C4*Table14[[#Totals],[2016]]</f>
        <v>1.7340220799999998E-5</v>
      </c>
      <c r="E4" s="5">
        <f>D4*Table14[[#Totals],[2017]]</f>
        <v>1.92592512E-5</v>
      </c>
      <c r="F4" s="5">
        <f>E4*Table14[[#Totals],[2018]]</f>
        <v>2.0241748799999997E-5</v>
      </c>
      <c r="G4" s="5">
        <f>F4*Table14[[#Totals],[2019]]</f>
        <v>2.0776089599999995E-5</v>
      </c>
      <c r="H4" s="5">
        <f>G4*Table14[[#Totals],[2020]]</f>
        <v>2.1373631999999996E-5</v>
      </c>
      <c r="I4" s="5">
        <f>H4*Table14[[#Totals],[2021]]</f>
        <v>2.1844771199999995E-5</v>
      </c>
      <c r="J4" s="5">
        <f>I4*Table14[[#Totals],[2022]]</f>
        <v>2.2304419199999995E-5</v>
      </c>
      <c r="K4" s="5">
        <f>J4*Table14[[#Totals],[2023]]</f>
        <v>2.2281436799999994E-5</v>
      </c>
      <c r="L4" s="5">
        <f>K4*Table14[[#Totals],[2024]]</f>
        <v>2.2264199999999993E-5</v>
      </c>
      <c r="M4" s="5">
        <f>L4*Table14[[#Totals],[2025]]</f>
        <v>2.2315910399999995E-5</v>
      </c>
      <c r="N4" s="5">
        <f>M4*Table14[[#Totals],[2026]]</f>
        <v>2.2327401599999991E-5</v>
      </c>
      <c r="O4" s="5">
        <f>N4*Table14[[#Totals],[2027]]</f>
        <v>2.2298673599999993E-5</v>
      </c>
      <c r="P4" s="5">
        <f>O4*Table14[[#Totals],[2028]]</f>
        <v>2.2241217599999992E-5</v>
      </c>
      <c r="Q4" s="5">
        <f>P4*Table14[[#Totals],[2029]]</f>
        <v>2.2160779199999992E-5</v>
      </c>
      <c r="R4" s="5">
        <f>Q4*Table14[[#Totals],[2030]]</f>
        <v>2.2080340799999991E-5</v>
      </c>
      <c r="S4" s="5">
        <f>R4*Table14[[#Totals],[2031]]</f>
        <v>2.1999902399999991E-5</v>
      </c>
      <c r="T4" s="5">
        <f>S4*Table14[[#Totals],[2032]]</f>
        <v>2.191946399999999E-5</v>
      </c>
      <c r="U4" s="5">
        <f>T4*Table14[[#Totals],[2033]]</f>
        <v>2.1833279999999992E-5</v>
      </c>
      <c r="V4" s="5">
        <f>U4*Table14[[#Totals],[2034]]</f>
        <v>2.1735604799999989E-5</v>
      </c>
      <c r="W4" s="5">
        <f>V4*Table14[[#Totals],[2035]]</f>
        <v>2.1655166399999989E-5</v>
      </c>
      <c r="X4" s="5">
        <f>W4*Table14[[#Totals],[2036]]</f>
        <v>2.1563236799999988E-5</v>
      </c>
      <c r="Y4" s="5">
        <f>X4*Table14[[#Totals],[2037]]</f>
        <v>2.1482798399999988E-5</v>
      </c>
      <c r="Z4" s="5">
        <f>Y4*Table14[[#Totals],[2038]]</f>
        <v>2.1402359999999987E-5</v>
      </c>
      <c r="AA4" s="5">
        <f>Z4*Table14[[#Totals],[2039]]</f>
        <v>2.1339158399999989E-5</v>
      </c>
      <c r="AB4" s="5">
        <f>AA4*Table14[[#Totals],[2040]]</f>
        <v>2.127595679999999E-5</v>
      </c>
    </row>
    <row r="5" spans="1:28">
      <c r="A5" s="52" t="s">
        <v>108</v>
      </c>
      <c r="B5" s="27" t="s">
        <v>182</v>
      </c>
    </row>
    <row r="6" spans="1:28">
      <c r="A6" s="52"/>
      <c r="B6" s="41">
        <v>2016</v>
      </c>
    </row>
    <row r="7" spans="1:28">
      <c r="B7" s="27" t="s">
        <v>183</v>
      </c>
    </row>
    <row r="8" spans="1:28">
      <c r="B8" s="48" t="s">
        <v>184</v>
      </c>
    </row>
    <row r="9" spans="1:28">
      <c r="B9" s="27" t="s">
        <v>186</v>
      </c>
    </row>
    <row r="10" spans="1:28">
      <c r="B10" s="27"/>
    </row>
    <row r="11" spans="1:28">
      <c r="A11" s="53" t="s">
        <v>185</v>
      </c>
    </row>
    <row r="12" spans="1:28">
      <c r="A12" s="5" t="s">
        <v>187</v>
      </c>
    </row>
    <row r="14" spans="1:28">
      <c r="A14" s="5" t="s">
        <v>188</v>
      </c>
    </row>
    <row r="15" spans="1:28">
      <c r="A15" s="40">
        <v>1.1060000000000001</v>
      </c>
    </row>
    <row r="17" spans="1:37">
      <c r="A17" s="1" t="s">
        <v>190</v>
      </c>
    </row>
    <row r="18" spans="1:37" s="49" customFormat="1">
      <c r="A18" s="51" t="s">
        <v>191</v>
      </c>
    </row>
    <row r="19" spans="1:37" s="49" customFormat="1">
      <c r="A19" s="51" t="s">
        <v>192</v>
      </c>
    </row>
    <row r="20" spans="1:37" s="49" customFormat="1">
      <c r="A20" s="51" t="s">
        <v>193</v>
      </c>
    </row>
    <row r="21" spans="1:37" s="49" customFormat="1">
      <c r="A21" s="51" t="s">
        <v>194</v>
      </c>
    </row>
    <row r="22" spans="1:37" s="49" customFormat="1">
      <c r="A22" s="54" t="s">
        <v>111</v>
      </c>
    </row>
    <row r="23" spans="1:37" s="49" customFormat="1">
      <c r="A23" s="49" t="s">
        <v>195</v>
      </c>
      <c r="B23" s="49" t="s">
        <v>196</v>
      </c>
      <c r="C23" s="49" t="s">
        <v>197</v>
      </c>
      <c r="D23" s="49" t="s">
        <v>198</v>
      </c>
      <c r="E23" s="49" t="s">
        <v>199</v>
      </c>
      <c r="F23" s="49" t="s">
        <v>200</v>
      </c>
      <c r="G23" s="49" t="s">
        <v>201</v>
      </c>
      <c r="H23" s="49" t="s">
        <v>202</v>
      </c>
      <c r="I23" s="49" t="s">
        <v>203</v>
      </c>
      <c r="J23" s="49" t="s">
        <v>204</v>
      </c>
      <c r="K23" s="49" t="s">
        <v>205</v>
      </c>
      <c r="L23" s="49" t="s">
        <v>206</v>
      </c>
      <c r="M23" s="49" t="s">
        <v>207</v>
      </c>
      <c r="N23" s="49" t="s">
        <v>208</v>
      </c>
      <c r="O23" s="49" t="s">
        <v>209</v>
      </c>
      <c r="P23" s="49" t="s">
        <v>210</v>
      </c>
      <c r="Q23" s="49" t="s">
        <v>211</v>
      </c>
      <c r="R23" s="49" t="s">
        <v>212</v>
      </c>
      <c r="S23" s="49" t="s">
        <v>213</v>
      </c>
      <c r="T23" s="49" t="s">
        <v>214</v>
      </c>
      <c r="U23" s="49" t="s">
        <v>215</v>
      </c>
      <c r="V23" s="49" t="s">
        <v>216</v>
      </c>
      <c r="W23" s="49" t="s">
        <v>217</v>
      </c>
      <c r="X23" s="49" t="s">
        <v>218</v>
      </c>
      <c r="Y23" s="49" t="s">
        <v>219</v>
      </c>
      <c r="Z23" s="49" t="s">
        <v>220</v>
      </c>
      <c r="AA23" s="49" t="s">
        <v>221</v>
      </c>
      <c r="AB23" s="49" t="s">
        <v>222</v>
      </c>
      <c r="AC23" s="49" t="s">
        <v>223</v>
      </c>
      <c r="AD23" s="49" t="s">
        <v>224</v>
      </c>
      <c r="AE23" s="49" t="s">
        <v>225</v>
      </c>
      <c r="AF23" s="49" t="s">
        <v>226</v>
      </c>
      <c r="AG23" s="49" t="s">
        <v>227</v>
      </c>
      <c r="AH23" s="49" t="s">
        <v>228</v>
      </c>
      <c r="AI23" s="49" t="s">
        <v>229</v>
      </c>
      <c r="AJ23" s="49" t="s">
        <v>230</v>
      </c>
      <c r="AK23" s="49" t="s">
        <v>231</v>
      </c>
    </row>
    <row r="24" spans="1:37" s="49" customFormat="1">
      <c r="A24" s="49" t="s">
        <v>70</v>
      </c>
      <c r="B24" s="49">
        <v>38.01</v>
      </c>
      <c r="C24" s="49">
        <v>39.03</v>
      </c>
      <c r="D24" s="49">
        <v>39.5</v>
      </c>
      <c r="E24" s="49">
        <v>42.59</v>
      </c>
      <c r="F24" s="49">
        <v>35.82</v>
      </c>
      <c r="G24" s="49">
        <v>38.94</v>
      </c>
      <c r="H24" s="49">
        <v>44.99</v>
      </c>
      <c r="I24" s="49">
        <v>45.99</v>
      </c>
      <c r="J24" s="49">
        <v>45.3</v>
      </c>
      <c r="K24" s="49">
        <v>44.39</v>
      </c>
      <c r="L24" s="49">
        <v>37.909999999999997</v>
      </c>
      <c r="M24" s="49">
        <v>36.03</v>
      </c>
      <c r="N24" s="49">
        <v>39.01</v>
      </c>
      <c r="O24" s="49">
        <v>40.32</v>
      </c>
      <c r="P24" s="49">
        <v>41.15</v>
      </c>
      <c r="Q24" s="49">
        <v>42.29</v>
      </c>
      <c r="R24" s="49">
        <v>42.93</v>
      </c>
      <c r="S24" s="49">
        <v>43.59</v>
      </c>
      <c r="T24" s="49">
        <v>43.48</v>
      </c>
      <c r="U24" s="49">
        <v>43.38</v>
      </c>
      <c r="V24" s="49">
        <v>43.41</v>
      </c>
      <c r="W24" s="49">
        <v>43.37</v>
      </c>
      <c r="X24" s="49">
        <v>43.25</v>
      </c>
      <c r="Y24" s="49">
        <v>43.09</v>
      </c>
      <c r="Z24" s="49">
        <v>42.89</v>
      </c>
      <c r="AA24" s="49">
        <v>42.69</v>
      </c>
      <c r="AB24" s="49">
        <v>42.48</v>
      </c>
      <c r="AC24" s="49">
        <v>42.27</v>
      </c>
      <c r="AD24" s="49">
        <v>42.06</v>
      </c>
      <c r="AE24" s="49">
        <v>41.83</v>
      </c>
      <c r="AF24" s="49">
        <v>41.63</v>
      </c>
      <c r="AG24" s="49">
        <v>41.42</v>
      </c>
      <c r="AH24" s="49">
        <v>41.23</v>
      </c>
      <c r="AI24" s="49">
        <v>41.04</v>
      </c>
      <c r="AJ24" s="49">
        <v>40.880000000000003</v>
      </c>
      <c r="AK24" s="49">
        <v>40.729999999999997</v>
      </c>
    </row>
    <row r="25" spans="1:37" s="49" customFormat="1">
      <c r="A25" s="49" t="s">
        <v>48</v>
      </c>
      <c r="B25" s="49">
        <v>32.89</v>
      </c>
      <c r="C25" s="49">
        <v>33.5</v>
      </c>
      <c r="D25" s="49">
        <v>33.590000000000003</v>
      </c>
      <c r="E25" s="49">
        <v>40.409999999999997</v>
      </c>
      <c r="F25" s="49">
        <v>29.32</v>
      </c>
      <c r="G25" s="49">
        <v>31.96</v>
      </c>
      <c r="H25" s="49">
        <v>38.14</v>
      </c>
      <c r="I25" s="49">
        <v>38.36</v>
      </c>
      <c r="J25" s="49">
        <v>38.47</v>
      </c>
      <c r="K25" s="49">
        <v>39.5</v>
      </c>
      <c r="L25" s="49">
        <v>31.97</v>
      </c>
      <c r="M25" s="49">
        <v>30.18</v>
      </c>
      <c r="N25" s="49">
        <v>33.520000000000003</v>
      </c>
      <c r="O25" s="49">
        <v>35.229999999999997</v>
      </c>
      <c r="P25" s="49">
        <v>36.159999999999997</v>
      </c>
      <c r="Q25" s="49">
        <v>37.200000000000003</v>
      </c>
      <c r="R25" s="49">
        <v>38.020000000000003</v>
      </c>
      <c r="S25" s="49">
        <v>38.82</v>
      </c>
      <c r="T25" s="49">
        <v>38.78</v>
      </c>
      <c r="U25" s="49">
        <v>38.75</v>
      </c>
      <c r="V25" s="49">
        <v>38.840000000000003</v>
      </c>
      <c r="W25" s="49">
        <v>38.86</v>
      </c>
      <c r="X25" s="49">
        <v>38.81</v>
      </c>
      <c r="Y25" s="49">
        <v>38.71</v>
      </c>
      <c r="Z25" s="49">
        <v>38.57</v>
      </c>
      <c r="AA25" s="49">
        <v>38.43</v>
      </c>
      <c r="AB25" s="49">
        <v>38.29</v>
      </c>
      <c r="AC25" s="49">
        <v>38.15</v>
      </c>
      <c r="AD25" s="49">
        <v>38</v>
      </c>
      <c r="AE25" s="49">
        <v>37.83</v>
      </c>
      <c r="AF25" s="49">
        <v>37.69</v>
      </c>
      <c r="AG25" s="49">
        <v>37.53</v>
      </c>
      <c r="AH25" s="49">
        <v>37.39</v>
      </c>
      <c r="AI25" s="49">
        <v>37.25</v>
      </c>
      <c r="AJ25" s="49">
        <v>37.14</v>
      </c>
      <c r="AK25" s="49">
        <v>37.03</v>
      </c>
    </row>
    <row r="26" spans="1:37" s="49" customForma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42">
        <f>L25/K25</f>
        <v>0.80936708860759488</v>
      </c>
      <c r="M26" s="42">
        <f>M25/L25</f>
        <v>0.94401000938379731</v>
      </c>
      <c r="N26" s="42">
        <f t="shared" ref="N26:AK26" si="0">N25/M25</f>
        <v>1.110669317428761</v>
      </c>
      <c r="O26" s="42">
        <f t="shared" si="0"/>
        <v>1.0510143198090691</v>
      </c>
      <c r="P26" s="42">
        <f t="shared" si="0"/>
        <v>1.0263979562872552</v>
      </c>
      <c r="Q26" s="42">
        <f t="shared" si="0"/>
        <v>1.0287610619469028</v>
      </c>
      <c r="R26" s="42">
        <f t="shared" si="0"/>
        <v>1.0220430107526881</v>
      </c>
      <c r="S26" s="42">
        <f t="shared" si="0"/>
        <v>1.0210415570752236</v>
      </c>
      <c r="T26" s="42">
        <f t="shared" si="0"/>
        <v>0.99896960329726947</v>
      </c>
      <c r="U26" s="42">
        <f t="shared" si="0"/>
        <v>0.99922640536358942</v>
      </c>
      <c r="V26" s="42">
        <f t="shared" si="0"/>
        <v>1.0023225806451614</v>
      </c>
      <c r="W26" s="42">
        <f t="shared" si="0"/>
        <v>1.0005149330587022</v>
      </c>
      <c r="X26" s="42">
        <f t="shared" si="0"/>
        <v>0.99871332990221318</v>
      </c>
      <c r="Y26" s="42">
        <f t="shared" si="0"/>
        <v>0.99742334449884051</v>
      </c>
      <c r="Z26" s="42">
        <f t="shared" si="0"/>
        <v>0.9963833634719711</v>
      </c>
      <c r="AA26" s="42">
        <f t="shared" si="0"/>
        <v>0.99637023593466423</v>
      </c>
      <c r="AB26" s="42">
        <f t="shared" si="0"/>
        <v>0.99635701275045541</v>
      </c>
      <c r="AC26" s="42">
        <f t="shared" si="0"/>
        <v>0.99634369287020108</v>
      </c>
      <c r="AD26" s="42">
        <f t="shared" si="0"/>
        <v>0.99606815203145482</v>
      </c>
      <c r="AE26" s="42">
        <f t="shared" si="0"/>
        <v>0.99552631578947359</v>
      </c>
      <c r="AF26" s="42">
        <f t="shared" si="0"/>
        <v>0.99629923341263549</v>
      </c>
      <c r="AG26" s="42">
        <f t="shared" si="0"/>
        <v>0.99575484213319188</v>
      </c>
      <c r="AH26" s="42">
        <f t="shared" si="0"/>
        <v>0.99626965094590991</v>
      </c>
      <c r="AI26" s="42">
        <f t="shared" si="0"/>
        <v>0.9962556833377908</v>
      </c>
      <c r="AJ26" s="42">
        <f t="shared" si="0"/>
        <v>0.99704697986577184</v>
      </c>
      <c r="AK26" s="42">
        <f t="shared" si="0"/>
        <v>0.99703823371028544</v>
      </c>
    </row>
  </sheetData>
  <hyperlinks>
    <hyperlink ref="B8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19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34.6640625" customWidth="1"/>
  </cols>
  <sheetData>
    <row r="1" spans="1:37">
      <c r="A1" s="1" t="s">
        <v>13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1</v>
      </c>
      <c r="B2">
        <f>About!$C$5</f>
        <v>0.12861778878634045</v>
      </c>
      <c r="C2">
        <f>About!$C$5</f>
        <v>0.12861778878634045</v>
      </c>
      <c r="D2">
        <f>About!$C$5</f>
        <v>0.12861778878634045</v>
      </c>
      <c r="E2">
        <f>About!$C$5</f>
        <v>0.12861778878634045</v>
      </c>
      <c r="F2">
        <f>About!$C$5</f>
        <v>0.12861778878634045</v>
      </c>
      <c r="G2">
        <f>About!$C$5</f>
        <v>0.12861778878634045</v>
      </c>
      <c r="H2">
        <f>About!$C$5</f>
        <v>0.12861778878634045</v>
      </c>
      <c r="I2">
        <f>About!$C$5</f>
        <v>0.12861778878634045</v>
      </c>
      <c r="J2">
        <f>About!$C$5</f>
        <v>0.12861778878634045</v>
      </c>
      <c r="K2">
        <f>About!$C$5</f>
        <v>0.12861778878634045</v>
      </c>
      <c r="L2">
        <f>About!$C$5</f>
        <v>0.12861778878634045</v>
      </c>
      <c r="M2">
        <f>About!$C$5</f>
        <v>0.12861778878634045</v>
      </c>
      <c r="N2">
        <f>About!$C$5</f>
        <v>0.12861778878634045</v>
      </c>
      <c r="O2">
        <f>About!$C$5</f>
        <v>0.12861778878634045</v>
      </c>
      <c r="P2">
        <f>About!$C$5</f>
        <v>0.12861778878634045</v>
      </c>
      <c r="Q2">
        <f>About!$C$5</f>
        <v>0.12861778878634045</v>
      </c>
      <c r="R2">
        <f>About!$C$5</f>
        <v>0.12861778878634045</v>
      </c>
      <c r="S2">
        <f>About!$C$5</f>
        <v>0.12861778878634045</v>
      </c>
      <c r="T2">
        <f>About!$C$5</f>
        <v>0.12861778878634045</v>
      </c>
      <c r="U2">
        <f>About!$C$5</f>
        <v>0.12861778878634045</v>
      </c>
      <c r="V2">
        <f>About!$C$5</f>
        <v>0.12861778878634045</v>
      </c>
      <c r="W2">
        <f>About!$C$5</f>
        <v>0.12861778878634045</v>
      </c>
      <c r="X2">
        <f>About!$C$5</f>
        <v>0.12861778878634045</v>
      </c>
      <c r="Y2">
        <f>About!$C$5</f>
        <v>0.12861778878634045</v>
      </c>
      <c r="Z2">
        <f>About!$C$5</f>
        <v>0.12861778878634045</v>
      </c>
      <c r="AA2">
        <f>About!$C$5</f>
        <v>0.12861778878634045</v>
      </c>
      <c r="AB2">
        <f>TREND($R2:$AA2,$R$1:$AA$1,AB$1)</f>
        <v>0.12861778878634045</v>
      </c>
      <c r="AC2">
        <f t="shared" ref="AC2:AK2" si="0">TREND($R2:$AA2,$R$1:$AA$1,AC$1)</f>
        <v>0.12861778878634045</v>
      </c>
      <c r="AD2">
        <f t="shared" si="0"/>
        <v>0.12861778878634045</v>
      </c>
      <c r="AE2">
        <f t="shared" si="0"/>
        <v>0.12861778878634045</v>
      </c>
      <c r="AF2">
        <f t="shared" si="0"/>
        <v>0.12861778878634045</v>
      </c>
      <c r="AG2">
        <f t="shared" si="0"/>
        <v>0.12861778878634045</v>
      </c>
      <c r="AH2">
        <f t="shared" si="0"/>
        <v>0.12861778878634045</v>
      </c>
      <c r="AI2">
        <f t="shared" si="0"/>
        <v>0.12861778878634045</v>
      </c>
      <c r="AJ2">
        <f t="shared" si="0"/>
        <v>0.12861778878634045</v>
      </c>
      <c r="AK2">
        <f t="shared" si="0"/>
        <v>0.12861778878634045</v>
      </c>
    </row>
    <row r="3" spans="1:37">
      <c r="A3" s="16" t="s">
        <v>23</v>
      </c>
      <c r="B3">
        <f>About!$C$5+'Canada fuel price projections'!B34</f>
        <v>0.25155525007111279</v>
      </c>
      <c r="C3">
        <f>About!$C$5+'Canada fuel price projections'!C34</f>
        <v>0.23189954467893736</v>
      </c>
      <c r="D3">
        <f>About!$C$5+'Canada fuel price projections'!D34</f>
        <v>0.20202902517849033</v>
      </c>
      <c r="E3">
        <f>About!$C$5+'Canada fuel price projections'!E34</f>
        <v>0.19642263171680602</v>
      </c>
      <c r="F3">
        <f>About!$C$5+'Canada fuel price projections'!F34</f>
        <v>0.19406911414096706</v>
      </c>
      <c r="G3">
        <f>About!$C$5+'Canada fuel price projections'!G34</f>
        <v>0.19165016160141357</v>
      </c>
      <c r="H3">
        <f>About!$C$5+'Canada fuel price projections'!H34</f>
        <v>0.19027713993663856</v>
      </c>
      <c r="I3">
        <f>About!$C$5+'Canada fuel price projections'!I34</f>
        <v>0.18899080150920805</v>
      </c>
      <c r="J3">
        <f>About!$C$5+'Canada fuel price projections'!J34</f>
        <v>0.18752980774532263</v>
      </c>
      <c r="K3">
        <f>About!$C$5+'Canada fuel price projections'!K34</f>
        <v>0.18648624993888929</v>
      </c>
      <c r="L3">
        <f>About!$C$5+'Canada fuel price projections'!L34</f>
        <v>0.18525251139988308</v>
      </c>
      <c r="M3">
        <f>About!$C$5+'Canada fuel price projections'!M34</f>
        <v>0.18395940018134624</v>
      </c>
      <c r="N3">
        <f>About!$C$5+'Canada fuel price projections'!N34</f>
        <v>0.18293504416981979</v>
      </c>
      <c r="O3">
        <f>About!$C$5+'Canada fuel price projections'!O34</f>
        <v>0.18191354641631571</v>
      </c>
      <c r="P3">
        <f>About!$C$5+'Canada fuel price projections'!P34</f>
        <v>0.1808469994025064</v>
      </c>
      <c r="Q3">
        <f>About!$C$5+'Canada fuel price projections'!Q34</f>
        <v>0.17972547369872199</v>
      </c>
      <c r="R3">
        <f>About!$C$5+'Canada fuel price projections'!R34</f>
        <v>0.17834944824124566</v>
      </c>
      <c r="S3">
        <f>About!$C$5+'Canada fuel price projections'!S34</f>
        <v>0.17699606534183338</v>
      </c>
      <c r="T3">
        <f>About!$C$5+'Canada fuel price projections'!T34</f>
        <v>0.17569787663521735</v>
      </c>
      <c r="U3">
        <f>About!$C$5+'Canada fuel price projections'!U34</f>
        <v>0.17442621956072096</v>
      </c>
      <c r="V3">
        <f>About!$C$5+'Canada fuel price projections'!V34</f>
        <v>0.17331382993906325</v>
      </c>
      <c r="W3">
        <f>About!$C$5+'Canada fuel price projections'!W34</f>
        <v>0.17212086479607491</v>
      </c>
      <c r="X3">
        <f>About!$C$5+'Canada fuel price projections'!X34</f>
        <v>0.17101010250633703</v>
      </c>
      <c r="Y3">
        <f>About!$C$5+'Canada fuel price projections'!Y34</f>
        <v>0.16984982261186718</v>
      </c>
      <c r="Z3">
        <f>About!$C$5+'Canada fuel price projections'!Z34</f>
        <v>0.16877746241570465</v>
      </c>
      <c r="AA3">
        <f>About!$C$5+'Canada fuel price projections'!AA34</f>
        <v>0.1677119349776392</v>
      </c>
      <c r="AB3">
        <f>About!$C$5+'Canada fuel price projections'!AB34</f>
        <v>0.16671733330950256</v>
      </c>
      <c r="AC3">
        <f>About!$C$5+'Canada fuel price projections'!AC34</f>
        <v>0.16572902379055438</v>
      </c>
      <c r="AD3">
        <f>About!$C$5+'Canada fuel price projections'!AD34</f>
        <v>0.16476822367501501</v>
      </c>
      <c r="AE3">
        <f>About!$C$5+'Canada fuel price projections'!AE34</f>
        <v>0.16383408691423473</v>
      </c>
      <c r="AF3">
        <f>About!$C$5+'Canada fuel price projections'!AF34</f>
        <v>0.16292579714931107</v>
      </c>
      <c r="AG3">
        <f>About!$C$5+'Canada fuel price projections'!AG34</f>
        <v>0.16204256649355012</v>
      </c>
      <c r="AH3">
        <f>About!$C$5+'Canada fuel price projections'!AH34</f>
        <v>0.1611836343735801</v>
      </c>
      <c r="AI3">
        <f>About!$C$5+'Canada fuel price projections'!AI34</f>
        <v>0.16034826642583883</v>
      </c>
      <c r="AJ3">
        <f>About!$C$5+'Canada fuel price projections'!AJ34</f>
        <v>0.15953575344536564</v>
      </c>
      <c r="AK3">
        <f>About!$C$5+'Canada fuel price projections'!AK34</f>
        <v>0.15874541038402104</v>
      </c>
    </row>
    <row r="4" spans="1:37">
      <c r="A4" s="1" t="s">
        <v>2</v>
      </c>
      <c r="B4">
        <f>About!$C$5+'Canada fuel price projections'!B35</f>
        <v>0.19393239535898127</v>
      </c>
      <c r="C4">
        <f>About!$C$5+'Canada fuel price projections'!C35</f>
        <v>0.18703106180486251</v>
      </c>
      <c r="D4">
        <f>About!$C$5+'Canada fuel price projections'!D35</f>
        <v>0.180412643864128</v>
      </c>
      <c r="E4">
        <f>About!$C$5+'Canada fuel price projections'!E35</f>
        <v>0.17774018281814688</v>
      </c>
      <c r="F4">
        <f>About!$C$5+'Canada fuel price projections'!F35</f>
        <v>0.17513767498117533</v>
      </c>
      <c r="G4">
        <f>About!$C$5+'Canada fuel price projections'!G35</f>
        <v>0.17293955082580503</v>
      </c>
      <c r="H4">
        <f>About!$C$5+'Canada fuel price projections'!H35</f>
        <v>0.17108080172075305</v>
      </c>
      <c r="I4">
        <f>About!$C$5+'Canada fuel price projections'!I35</f>
        <v>0.16960868150490707</v>
      </c>
      <c r="J4">
        <f>About!$C$5+'Canada fuel price projections'!J35</f>
        <v>0.1682891734839071</v>
      </c>
      <c r="K4">
        <f>About!$C$5+'Canada fuel price projections'!K35</f>
        <v>0.16728519398769784</v>
      </c>
      <c r="L4">
        <f>About!$C$5+'Canada fuel price projections'!L35</f>
        <v>0.1662217979106643</v>
      </c>
      <c r="M4">
        <f>About!$C$5+'Canada fuel price projections'!M35</f>
        <v>0.16527385526094013</v>
      </c>
      <c r="N4">
        <f>About!$C$5+'Canada fuel price projections'!N35</f>
        <v>0.16427037072123118</v>
      </c>
      <c r="O4">
        <f>About!$C$5+'Canada fuel price projections'!O35</f>
        <v>0.16337500192634771</v>
      </c>
      <c r="P4">
        <f>About!$C$5+'Canada fuel price projections'!P35</f>
        <v>0.16242769448460265</v>
      </c>
      <c r="Q4">
        <f>About!$C$5+'Canada fuel price projections'!Q35</f>
        <v>0.16158168071658369</v>
      </c>
      <c r="R4">
        <f>About!$C$5+'Canada fuel price projections'!R35</f>
        <v>0.16068708085989936</v>
      </c>
      <c r="S4">
        <f>About!$C$5+'Canada fuel price projections'!S35</f>
        <v>0.15981882042065629</v>
      </c>
      <c r="T4">
        <f>About!$C$5+'Canada fuel price projections'!T35</f>
        <v>0.15897603357422968</v>
      </c>
      <c r="U4">
        <f>About!$C$5+'Canada fuel price projections'!U35</f>
        <v>0.15815788719215754</v>
      </c>
      <c r="V4">
        <f>About!$C$5+'Canada fuel price projections'!V35</f>
        <v>0.15736357939747472</v>
      </c>
      <c r="W4">
        <f>About!$C$5+'Canada fuel price projections'!W35</f>
        <v>0.15665212779442875</v>
      </c>
      <c r="X4">
        <f>About!$C$5+'Canada fuel price projections'!X35</f>
        <v>0.15590120620319858</v>
      </c>
      <c r="Y4">
        <f>About!$C$5+'Canada fuel price projections'!Y35</f>
        <v>0.15517196544471118</v>
      </c>
      <c r="Z4">
        <f>About!$C$5+'Canada fuel price projections'!Z35</f>
        <v>0.15446371260369296</v>
      </c>
      <c r="AA4">
        <f>About!$C$5+'Canada fuel price projections'!AA35</f>
        <v>0.15377577997009595</v>
      </c>
      <c r="AB4">
        <f>About!$C$5+'Canada fuel price projections'!AB35</f>
        <v>0.15312439680250126</v>
      </c>
      <c r="AC4">
        <f>About!$C$5+'Canada fuel price projections'!AC35</f>
        <v>0.15248206446782253</v>
      </c>
      <c r="AD4">
        <f>About!$C$5+'Canada fuel price projections'!AD35</f>
        <v>0.15185772632338609</v>
      </c>
      <c r="AE4">
        <f>About!$C$5+'Canada fuel price projections'!AE35</f>
        <v>0.15125083030735675</v>
      </c>
      <c r="AF4">
        <f>About!$C$5+'Canada fuel price projections'!AF35</f>
        <v>0.15066084341992725</v>
      </c>
      <c r="AG4">
        <f>About!$C$5+'Canada fuel price projections'!AG35</f>
        <v>0.15008725096566991</v>
      </c>
      <c r="AH4">
        <f>About!$C$5+'Canada fuel price projections'!AH35</f>
        <v>0.14952955583087432</v>
      </c>
      <c r="AI4">
        <f>About!$C$5+'Canada fuel price projections'!AI35</f>
        <v>0.14898727779400656</v>
      </c>
      <c r="AJ4">
        <f>About!$C$5+'Canada fuel price projections'!AJ35</f>
        <v>0.14845995286753655</v>
      </c>
      <c r="AK4">
        <f>About!$C$5+'Canada fuel price projections'!AK35</f>
        <v>0.14794713266948695</v>
      </c>
    </row>
    <row r="5" spans="1:37">
      <c r="A5" s="1" t="s">
        <v>3</v>
      </c>
      <c r="B5">
        <f>About!$C$5</f>
        <v>0.12861778878634045</v>
      </c>
      <c r="C5">
        <f>About!$C$5</f>
        <v>0.12861778878634045</v>
      </c>
      <c r="D5">
        <f>About!$C$5</f>
        <v>0.12861778878634045</v>
      </c>
      <c r="E5">
        <f>About!$C$5</f>
        <v>0.12861778878634045</v>
      </c>
      <c r="F5">
        <f>About!$C$5</f>
        <v>0.12861778878634045</v>
      </c>
      <c r="G5">
        <f>About!$C$5</f>
        <v>0.12861778878634045</v>
      </c>
      <c r="H5">
        <f>About!$C$5</f>
        <v>0.12861778878634045</v>
      </c>
      <c r="I5">
        <f>About!$C$5</f>
        <v>0.12861778878634045</v>
      </c>
      <c r="J5">
        <f>About!$C$5</f>
        <v>0.12861778878634045</v>
      </c>
      <c r="K5">
        <f>About!$C$5</f>
        <v>0.12861778878634045</v>
      </c>
      <c r="L5">
        <f>About!$C$5</f>
        <v>0.12861778878634045</v>
      </c>
      <c r="M5">
        <f>About!$C$5</f>
        <v>0.12861778878634045</v>
      </c>
      <c r="N5">
        <f>About!$C$5</f>
        <v>0.12861778878634045</v>
      </c>
      <c r="O5">
        <f>About!$C$5</f>
        <v>0.12861778878634045</v>
      </c>
      <c r="P5">
        <f>About!$C$5</f>
        <v>0.12861778878634045</v>
      </c>
      <c r="Q5">
        <f>About!$C$5</f>
        <v>0.12861778878634045</v>
      </c>
      <c r="R5">
        <f>About!$C$5</f>
        <v>0.12861778878634045</v>
      </c>
      <c r="S5">
        <f>About!$C$5</f>
        <v>0.12861778878634045</v>
      </c>
      <c r="T5">
        <f>About!$C$5</f>
        <v>0.12861778878634045</v>
      </c>
      <c r="U5">
        <f>About!$C$5</f>
        <v>0.12861778878634045</v>
      </c>
      <c r="V5">
        <f>About!$C$5</f>
        <v>0.12861778878634045</v>
      </c>
      <c r="W5">
        <f>About!$C$5</f>
        <v>0.12861778878634045</v>
      </c>
      <c r="X5">
        <f>About!$C$5</f>
        <v>0.12861778878634045</v>
      </c>
      <c r="Y5">
        <f>About!$C$5</f>
        <v>0.12861778878634045</v>
      </c>
      <c r="Z5">
        <f>About!$C$5</f>
        <v>0.12861778878634045</v>
      </c>
      <c r="AA5">
        <f>About!$C$5</f>
        <v>0.12861778878634045</v>
      </c>
      <c r="AB5">
        <f t="shared" ref="AB5:AK16" si="1">TREND($R5:$AA5,$R$1:$AA$1,AB$1)</f>
        <v>0.12861778878634045</v>
      </c>
      <c r="AC5">
        <f t="shared" si="1"/>
        <v>0.12861778878634045</v>
      </c>
      <c r="AD5">
        <f t="shared" si="1"/>
        <v>0.12861778878634045</v>
      </c>
      <c r="AE5">
        <f t="shared" si="1"/>
        <v>0.12861778878634045</v>
      </c>
      <c r="AF5">
        <f t="shared" si="1"/>
        <v>0.12861778878634045</v>
      </c>
      <c r="AG5">
        <f t="shared" si="1"/>
        <v>0.12861778878634045</v>
      </c>
      <c r="AH5">
        <f t="shared" si="1"/>
        <v>0.12861778878634045</v>
      </c>
      <c r="AI5">
        <f t="shared" si="1"/>
        <v>0.12861778878634045</v>
      </c>
      <c r="AJ5">
        <f t="shared" si="1"/>
        <v>0.12861778878634045</v>
      </c>
      <c r="AK5">
        <f t="shared" si="1"/>
        <v>0.12861778878634045</v>
      </c>
    </row>
    <row r="6" spans="1:37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>
      <c r="A9" s="1" t="s">
        <v>6</v>
      </c>
      <c r="B9">
        <f>About!$C$5</f>
        <v>0.12861778878634045</v>
      </c>
      <c r="C9">
        <f>About!$C$5</f>
        <v>0.12861778878634045</v>
      </c>
      <c r="D9">
        <f>About!$C$5</f>
        <v>0.12861778878634045</v>
      </c>
      <c r="E9">
        <f>About!$C$5</f>
        <v>0.12861778878634045</v>
      </c>
      <c r="F9">
        <f>About!$C$5</f>
        <v>0.12861778878634045</v>
      </c>
      <c r="G9">
        <f>About!$C$5</f>
        <v>0.12861778878634045</v>
      </c>
      <c r="H9">
        <f>About!$C$5</f>
        <v>0.12861778878634045</v>
      </c>
      <c r="I9">
        <f>About!$C$5</f>
        <v>0.12861778878634045</v>
      </c>
      <c r="J9">
        <f>About!$C$5</f>
        <v>0.12861778878634045</v>
      </c>
      <c r="K9">
        <f>About!$C$5</f>
        <v>0.12861778878634045</v>
      </c>
      <c r="L9">
        <f>About!$C$5</f>
        <v>0.12861778878634045</v>
      </c>
      <c r="M9">
        <f>About!$C$5</f>
        <v>0.12861778878634045</v>
      </c>
      <c r="N9">
        <f>About!$C$5</f>
        <v>0.12861778878634045</v>
      </c>
      <c r="O9">
        <f>About!$C$5</f>
        <v>0.12861778878634045</v>
      </c>
      <c r="P9">
        <f>About!$C$5</f>
        <v>0.12861778878634045</v>
      </c>
      <c r="Q9">
        <f>About!$C$5</f>
        <v>0.12861778878634045</v>
      </c>
      <c r="R9">
        <f>About!$C$5</f>
        <v>0.12861778878634045</v>
      </c>
      <c r="S9">
        <f>About!$C$5</f>
        <v>0.12861778878634045</v>
      </c>
      <c r="T9">
        <f>About!$C$5</f>
        <v>0.12861778878634045</v>
      </c>
      <c r="U9">
        <f>About!$C$5</f>
        <v>0.12861778878634045</v>
      </c>
      <c r="V9">
        <f>About!$C$5</f>
        <v>0.12861778878634045</v>
      </c>
      <c r="W9">
        <f>About!$C$5</f>
        <v>0.12861778878634045</v>
      </c>
      <c r="X9">
        <f>About!$C$5</f>
        <v>0.12861778878634045</v>
      </c>
      <c r="Y9">
        <f>About!$C$5</f>
        <v>0.12861778878634045</v>
      </c>
      <c r="Z9">
        <f>About!$C$5</f>
        <v>0.12861778878634045</v>
      </c>
      <c r="AA9">
        <f>About!$C$5</f>
        <v>0.12861778878634045</v>
      </c>
      <c r="AB9">
        <f t="shared" si="1"/>
        <v>0.12861778878634045</v>
      </c>
      <c r="AC9">
        <f t="shared" si="1"/>
        <v>0.12861778878634045</v>
      </c>
      <c r="AD9">
        <f t="shared" si="1"/>
        <v>0.12861778878634045</v>
      </c>
      <c r="AE9">
        <f t="shared" si="1"/>
        <v>0.12861778878634045</v>
      </c>
      <c r="AF9">
        <f t="shared" si="1"/>
        <v>0.12861778878634045</v>
      </c>
      <c r="AG9">
        <f t="shared" si="1"/>
        <v>0.12861778878634045</v>
      </c>
      <c r="AH9">
        <f t="shared" si="1"/>
        <v>0.12861778878634045</v>
      </c>
      <c r="AI9">
        <f t="shared" si="1"/>
        <v>0.12861778878634045</v>
      </c>
      <c r="AJ9">
        <f t="shared" si="1"/>
        <v>0.12861778878634045</v>
      </c>
      <c r="AK9">
        <f t="shared" si="1"/>
        <v>0.12861778878634045</v>
      </c>
    </row>
    <row r="10" spans="1:37">
      <c r="A10" s="1" t="s">
        <v>7</v>
      </c>
      <c r="B10">
        <f>About!$C$5+'Canada fuel price projections'!B36</f>
        <v>0.30153635905565912</v>
      </c>
      <c r="C10">
        <f>About!$C$5+'Canada fuel price projections'!C36</f>
        <v>0.28293324010467613</v>
      </c>
      <c r="D10">
        <f>About!$C$5+'Canada fuel price projections'!D36</f>
        <v>0.27301073970234241</v>
      </c>
      <c r="E10">
        <f>About!$C$5+'Canada fuel price projections'!E36</f>
        <v>0.2651555337621182</v>
      </c>
      <c r="F10">
        <f>About!$C$5+'Canada fuel price projections'!F36</f>
        <v>0.26000253047079325</v>
      </c>
      <c r="G10">
        <f>About!$C$5+'Canada fuel price projections'!G36</f>
        <v>0.25377954330524505</v>
      </c>
      <c r="H10">
        <f>About!$C$5+'Canada fuel price projections'!H36</f>
        <v>0.24835325293130969</v>
      </c>
      <c r="I10">
        <f>About!$C$5+'Canada fuel price projections'!I36</f>
        <v>0.24383450595774669</v>
      </c>
      <c r="J10">
        <f>About!$C$5+'Canada fuel price projections'!J36</f>
        <v>0.23973887738493654</v>
      </c>
      <c r="K10">
        <f>About!$C$5+'Canada fuel price projections'!K36</f>
        <v>0.23596428558021226</v>
      </c>
      <c r="L10">
        <f>About!$C$5+'Canada fuel price projections'!L36</f>
        <v>0.23231605510943873</v>
      </c>
      <c r="M10">
        <f>About!$C$5+'Canada fuel price projections'!M36</f>
        <v>0.22873814709591223</v>
      </c>
      <c r="N10">
        <f>About!$C$5+'Canada fuel price projections'!N36</f>
        <v>0.22528395883525382</v>
      </c>
      <c r="O10">
        <f>About!$C$5+'Canada fuel price projections'!O36</f>
        <v>0.22194941977368987</v>
      </c>
      <c r="P10">
        <f>About!$C$5+'Canada fuel price projections'!P36</f>
        <v>0.21868572814267401</v>
      </c>
      <c r="Q10">
        <f>About!$C$5+'Canada fuel price projections'!Q36</f>
        <v>0.21555959489335288</v>
      </c>
      <c r="R10">
        <f>About!$C$5+'Canada fuel price projections'!R36</f>
        <v>0.21315579097849888</v>
      </c>
      <c r="S10">
        <f>About!$C$5+'Canada fuel price projections'!S36</f>
        <v>0.21080643858106524</v>
      </c>
      <c r="T10">
        <f>About!$C$5+'Canada fuel price projections'!T36</f>
        <v>0.20853008528719164</v>
      </c>
      <c r="U10">
        <f>About!$C$5+'Canada fuel price projections'!U36</f>
        <v>0.20632408714570211</v>
      </c>
      <c r="V10">
        <f>About!$C$5+'Canada fuel price projections'!V36</f>
        <v>0.20416811090232312</v>
      </c>
      <c r="W10">
        <f>About!$C$5+'Canada fuel price projections'!W36</f>
        <v>0.20206161973203737</v>
      </c>
      <c r="X10">
        <f>About!$C$5+'Canada fuel price projections'!X36</f>
        <v>0.20002060372770378</v>
      </c>
      <c r="Y10">
        <f>About!$C$5+'Canada fuel price projections'!Y36</f>
        <v>0.19804270201134</v>
      </c>
      <c r="Z10">
        <f>About!$C$5+'Canada fuel price projections'!Z36</f>
        <v>0.19612565554347799</v>
      </c>
      <c r="AA10">
        <f>About!$C$5+'Canada fuel price projections'!AA36</f>
        <v>0.19425243604352527</v>
      </c>
      <c r="AB10">
        <f>About!$C$5+'Canada fuel price projections'!AB36</f>
        <v>0.19249237014804954</v>
      </c>
      <c r="AC10">
        <f>About!$C$5+'Canada fuel price projections'!AC36</f>
        <v>0.19075333950403367</v>
      </c>
      <c r="AD10">
        <f>About!$C$5+'Canada fuel price projections'!AD36</f>
        <v>0.18906646317160836</v>
      </c>
      <c r="AE10">
        <f>About!$C$5+'Canada fuel price projections'!AE36</f>
        <v>0.18742995232838072</v>
      </c>
      <c r="AF10">
        <f>About!$C$5+'Canada fuel price projections'!AF36</f>
        <v>0.18584209065501067</v>
      </c>
      <c r="AG10">
        <f>About!$C$5+'Canada fuel price projections'!AG36</f>
        <v>0.18430123081752867</v>
      </c>
      <c r="AH10">
        <f>About!$C$5+'Canada fuel price projections'!AH36</f>
        <v>0.18280579115185655</v>
      </c>
      <c r="AI10">
        <f>About!$C$5+'Canada fuel price projections'!AI36</f>
        <v>0.18135425253705922</v>
      </c>
      <c r="AJ10">
        <f>About!$C$5+'Canada fuel price projections'!AJ36</f>
        <v>0.17994515544487943</v>
      </c>
      <c r="AK10">
        <f>About!$C$5+'Canada fuel price projections'!AK36</f>
        <v>0.17857709715403269</v>
      </c>
    </row>
    <row r="11" spans="1:37">
      <c r="A11" s="1" t="s">
        <v>8</v>
      </c>
      <c r="B11">
        <f>About!$C$5+'Canada fuel price projections'!B37</f>
        <v>0.28919690715396679</v>
      </c>
      <c r="C11">
        <f>About!$C$5+'Canada fuel price projections'!C37</f>
        <v>0.27227271447670853</v>
      </c>
      <c r="D11">
        <f>About!$C$5+'Canada fuel price projections'!D37</f>
        <v>0.26357864292226951</v>
      </c>
      <c r="E11">
        <f>About!$C$5+'Canada fuel price projections'!E37</f>
        <v>0.25670271410901191</v>
      </c>
      <c r="F11">
        <f>About!$C$5+'Canada fuel price projections'!F37</f>
        <v>0.25220772911957812</v>
      </c>
      <c r="G11">
        <f>About!$C$5+'Canada fuel price projections'!G37</f>
        <v>0.2466922420443467</v>
      </c>
      <c r="H11">
        <f>About!$C$5+'Canada fuel price projections'!H37</f>
        <v>0.24186277506014431</v>
      </c>
      <c r="I11">
        <f>About!$C$5+'Canada fuel price projections'!I37</f>
        <v>0.23778557678949996</v>
      </c>
      <c r="J11">
        <f>About!$C$5+'Canada fuel price projections'!J37</f>
        <v>0.23409694803116743</v>
      </c>
      <c r="K11">
        <f>About!$C$5+'Canada fuel price projections'!K37</f>
        <v>0.23070028522856065</v>
      </c>
      <c r="L11">
        <f>About!$C$5+'Canada fuel price projections'!L37</f>
        <v>0.22735040654962685</v>
      </c>
      <c r="M11">
        <f>About!$C$5+'Canada fuel price projections'!M37</f>
        <v>0.22407846774475682</v>
      </c>
      <c r="N11">
        <f>About!$C$5+'Canada fuel price projections'!N37</f>
        <v>0.22091025387690011</v>
      </c>
      <c r="O11">
        <f>About!$C$5+'Canada fuel price projections'!O37</f>
        <v>0.21781928495456448</v>
      </c>
      <c r="P11">
        <f>About!$C$5+'Canada fuel price projections'!P37</f>
        <v>0.21480613433465345</v>
      </c>
      <c r="Q11">
        <f>About!$C$5+'Canada fuel price projections'!Q37</f>
        <v>0.21189262736453357</v>
      </c>
      <c r="R11">
        <f>About!$C$5+'Canada fuel price projections'!R37</f>
        <v>0.20965304029045834</v>
      </c>
      <c r="S11">
        <f>About!$C$5+'Canada fuel price projections'!S37</f>
        <v>0.20746011581397722</v>
      </c>
      <c r="T11">
        <f>About!$C$5+'Canada fuel price projections'!T37</f>
        <v>0.20533296877795865</v>
      </c>
      <c r="U11">
        <f>About!$C$5+'Canada fuel price projections'!U37</f>
        <v>0.20328804611890028</v>
      </c>
      <c r="V11">
        <f>About!$C$5+'Canada fuel price projections'!V37</f>
        <v>0.20126698188581266</v>
      </c>
      <c r="W11">
        <f>About!$C$5+'Canada fuel price projections'!W37</f>
        <v>0.1992889022629693</v>
      </c>
      <c r="X11">
        <f>About!$C$5+'Canada fuel price projections'!X37</f>
        <v>0.19738726644190838</v>
      </c>
      <c r="Y11">
        <f>About!$C$5+'Canada fuel price projections'!Y37</f>
        <v>0.19552568188479452</v>
      </c>
      <c r="Z11">
        <f>About!$C$5+'Canada fuel price projections'!Z37</f>
        <v>0.19371964355699017</v>
      </c>
      <c r="AA11">
        <f>About!$C$5+'Canada fuel price projections'!AA37</f>
        <v>0.19195203624073334</v>
      </c>
      <c r="AB11">
        <f>About!$C$5+'Canada fuel price projections'!AB37</f>
        <v>0.19030298651814037</v>
      </c>
      <c r="AC11">
        <f>About!$C$5+'Canada fuel price projections'!AC37</f>
        <v>0.18866439330910389</v>
      </c>
      <c r="AD11">
        <f>About!$C$5+'Canada fuel price projections'!AD37</f>
        <v>0.18707337275509503</v>
      </c>
      <c r="AE11">
        <f>About!$C$5+'Canada fuel price projections'!AE37</f>
        <v>0.18552835827932151</v>
      </c>
      <c r="AF11">
        <f>About!$C$5+'Canada fuel price projections'!AF37</f>
        <v>0.18402784389049226</v>
      </c>
      <c r="AG11">
        <f>About!$C$5+'Canada fuel price projections'!AG37</f>
        <v>0.18257038138478646</v>
      </c>
      <c r="AH11">
        <f>About!$C$5+'Canada fuel price projections'!AH37</f>
        <v>0.18115457770098628</v>
      </c>
      <c r="AI11">
        <f>About!$C$5+'Canada fuel price projections'!AI37</f>
        <v>0.17977909241904347</v>
      </c>
      <c r="AJ11">
        <f>About!$C$5+'Canada fuel price projections'!AJ37</f>
        <v>0.1784426353930568</v>
      </c>
      <c r="AK11">
        <f>About!$C$5+'Canada fuel price projections'!AK37</f>
        <v>0.17714396451027711</v>
      </c>
    </row>
    <row r="12" spans="1:37">
      <c r="A12" s="1" t="s">
        <v>9</v>
      </c>
      <c r="B12">
        <f>B10</f>
        <v>0.30153635905565912</v>
      </c>
      <c r="C12">
        <f t="shared" ref="C12:AA12" si="2">C10</f>
        <v>0.28293324010467613</v>
      </c>
      <c r="D12">
        <f t="shared" si="2"/>
        <v>0.27301073970234241</v>
      </c>
      <c r="E12">
        <f t="shared" si="2"/>
        <v>0.2651555337621182</v>
      </c>
      <c r="F12">
        <f t="shared" si="2"/>
        <v>0.26000253047079325</v>
      </c>
      <c r="G12">
        <f t="shared" si="2"/>
        <v>0.25377954330524505</v>
      </c>
      <c r="H12">
        <f t="shared" si="2"/>
        <v>0.24835325293130969</v>
      </c>
      <c r="I12">
        <f t="shared" si="2"/>
        <v>0.24383450595774669</v>
      </c>
      <c r="J12">
        <f t="shared" si="2"/>
        <v>0.23973887738493654</v>
      </c>
      <c r="K12">
        <f t="shared" si="2"/>
        <v>0.23596428558021226</v>
      </c>
      <c r="L12">
        <f t="shared" si="2"/>
        <v>0.23231605510943873</v>
      </c>
      <c r="M12">
        <f t="shared" si="2"/>
        <v>0.22873814709591223</v>
      </c>
      <c r="N12">
        <f t="shared" si="2"/>
        <v>0.22528395883525382</v>
      </c>
      <c r="O12">
        <f t="shared" si="2"/>
        <v>0.22194941977368987</v>
      </c>
      <c r="P12">
        <f t="shared" si="2"/>
        <v>0.21868572814267401</v>
      </c>
      <c r="Q12">
        <f t="shared" si="2"/>
        <v>0.21555959489335288</v>
      </c>
      <c r="R12">
        <f t="shared" si="2"/>
        <v>0.21315579097849888</v>
      </c>
      <c r="S12">
        <f t="shared" si="2"/>
        <v>0.21080643858106524</v>
      </c>
      <c r="T12">
        <f t="shared" si="2"/>
        <v>0.20853008528719164</v>
      </c>
      <c r="U12">
        <f t="shared" si="2"/>
        <v>0.20632408714570211</v>
      </c>
      <c r="V12">
        <f t="shared" si="2"/>
        <v>0.20416811090232312</v>
      </c>
      <c r="W12">
        <f t="shared" si="2"/>
        <v>0.20206161973203737</v>
      </c>
      <c r="X12">
        <f t="shared" si="2"/>
        <v>0.20002060372770378</v>
      </c>
      <c r="Y12">
        <f t="shared" si="2"/>
        <v>0.19804270201134</v>
      </c>
      <c r="Z12">
        <f t="shared" si="2"/>
        <v>0.19612565554347799</v>
      </c>
      <c r="AA12">
        <f t="shared" si="2"/>
        <v>0.19425243604352527</v>
      </c>
      <c r="AB12">
        <f>About!$C$5+'Canada fuel price projections'!AB38</f>
        <v>0.12892067812555227</v>
      </c>
      <c r="AC12">
        <f>About!$C$5+'Canada fuel price projections'!AC38</f>
        <v>0.12891577771656323</v>
      </c>
      <c r="AD12">
        <f>About!$C$5+'Canada fuel price projections'!AD38</f>
        <v>0.12891096108358682</v>
      </c>
      <c r="AE12">
        <f>About!$C$5+'Canada fuel price projections'!AE38</f>
        <v>0.12890622676015009</v>
      </c>
      <c r="AF12">
        <f>About!$C$5+'Canada fuel price projections'!AF38</f>
        <v>0.12890157330598423</v>
      </c>
      <c r="AG12">
        <f>About!$C$5+'Canada fuel price projections'!AG38</f>
        <v>0.12889699930654999</v>
      </c>
      <c r="AH12">
        <f>About!$C$5+'Canada fuel price projections'!AH38</f>
        <v>0.12889250337257177</v>
      </c>
      <c r="AI12">
        <f>About!$C$5+'Canada fuel price projections'!AI38</f>
        <v>0.12888808413958036</v>
      </c>
      <c r="AJ12">
        <f>About!$C$5+'Canada fuel price projections'!AJ38</f>
        <v>0.12888374026746394</v>
      </c>
      <c r="AK12">
        <f>About!$C$5+'Canada fuel price projections'!AK38</f>
        <v>0.12887947044002759</v>
      </c>
    </row>
    <row r="13" spans="1:37">
      <c r="A13" s="1" t="s">
        <v>10</v>
      </c>
      <c r="B13">
        <f>B11</f>
        <v>0.28919690715396679</v>
      </c>
      <c r="C13">
        <f t="shared" ref="C13:AA13" si="3">C11</f>
        <v>0.27227271447670853</v>
      </c>
      <c r="D13">
        <f t="shared" si="3"/>
        <v>0.26357864292226951</v>
      </c>
      <c r="E13">
        <f t="shared" si="3"/>
        <v>0.25670271410901191</v>
      </c>
      <c r="F13">
        <f t="shared" si="3"/>
        <v>0.25220772911957812</v>
      </c>
      <c r="G13">
        <f t="shared" si="3"/>
        <v>0.2466922420443467</v>
      </c>
      <c r="H13">
        <f t="shared" si="3"/>
        <v>0.24186277506014431</v>
      </c>
      <c r="I13">
        <f t="shared" si="3"/>
        <v>0.23778557678949996</v>
      </c>
      <c r="J13">
        <f t="shared" si="3"/>
        <v>0.23409694803116743</v>
      </c>
      <c r="K13">
        <f t="shared" si="3"/>
        <v>0.23070028522856065</v>
      </c>
      <c r="L13">
        <f t="shared" si="3"/>
        <v>0.22735040654962685</v>
      </c>
      <c r="M13">
        <f t="shared" si="3"/>
        <v>0.22407846774475682</v>
      </c>
      <c r="N13">
        <f t="shared" si="3"/>
        <v>0.22091025387690011</v>
      </c>
      <c r="O13">
        <f t="shared" si="3"/>
        <v>0.21781928495456448</v>
      </c>
      <c r="P13">
        <f t="shared" si="3"/>
        <v>0.21480613433465345</v>
      </c>
      <c r="Q13">
        <f t="shared" si="3"/>
        <v>0.21189262736453357</v>
      </c>
      <c r="R13">
        <f t="shared" si="3"/>
        <v>0.20965304029045834</v>
      </c>
      <c r="S13">
        <f t="shared" si="3"/>
        <v>0.20746011581397722</v>
      </c>
      <c r="T13">
        <f t="shared" si="3"/>
        <v>0.20533296877795865</v>
      </c>
      <c r="U13">
        <f t="shared" si="3"/>
        <v>0.20328804611890028</v>
      </c>
      <c r="V13">
        <f t="shared" si="3"/>
        <v>0.20126698188581266</v>
      </c>
      <c r="W13">
        <f t="shared" si="3"/>
        <v>0.1992889022629693</v>
      </c>
      <c r="X13">
        <f t="shared" si="3"/>
        <v>0.19738726644190838</v>
      </c>
      <c r="Y13">
        <f t="shared" si="3"/>
        <v>0.19552568188479452</v>
      </c>
      <c r="Z13">
        <f t="shared" si="3"/>
        <v>0.19371964355699017</v>
      </c>
      <c r="AA13">
        <f t="shared" si="3"/>
        <v>0.19195203624073334</v>
      </c>
      <c r="AB13">
        <f>About!$C$5+'Canada fuel price projections'!AB39</f>
        <v>0.12861778878634045</v>
      </c>
      <c r="AC13">
        <f>About!$C$5+'Canada fuel price projections'!AC39</f>
        <v>0.12861778878634045</v>
      </c>
      <c r="AD13">
        <f>About!$C$5+'Canada fuel price projections'!AD39</f>
        <v>0.12861778878634045</v>
      </c>
      <c r="AE13">
        <f>About!$C$5+'Canada fuel price projections'!AE39</f>
        <v>0.12861778878634045</v>
      </c>
      <c r="AF13">
        <f>About!$C$5+'Canada fuel price projections'!AF39</f>
        <v>0.12861778878634045</v>
      </c>
      <c r="AG13">
        <f>About!$C$5+'Canada fuel price projections'!AG39</f>
        <v>0.12861778878634045</v>
      </c>
      <c r="AH13">
        <f>About!$C$5+'Canada fuel price projections'!AH39</f>
        <v>0.12861778878634045</v>
      </c>
      <c r="AI13">
        <f>About!$C$5+'Canada fuel price projections'!AI39</f>
        <v>0.12861778878634045</v>
      </c>
      <c r="AJ13">
        <f>About!$C$5+'Canada fuel price projections'!AJ39</f>
        <v>0.12861778878634045</v>
      </c>
      <c r="AK13">
        <f>About!$C$5+'Canada fuel price projections'!AK39</f>
        <v>0.12861778878634045</v>
      </c>
    </row>
    <row r="14" spans="1:37">
      <c r="A14" s="16" t="s">
        <v>11</v>
      </c>
      <c r="B14">
        <f>About!$C$5+'Canada fuel price projections'!B38</f>
        <v>0.14591570294916228</v>
      </c>
      <c r="C14">
        <f>About!$C$5+'Canada fuel price projections'!C38</f>
        <v>0.14658702904146839</v>
      </c>
      <c r="D14">
        <f>About!$C$5+'Canada fuel price projections'!D38</f>
        <v>0.14443951476093791</v>
      </c>
      <c r="E14">
        <f>About!$C$5+'Canada fuel price projections'!E38</f>
        <v>0.14335472737436175</v>
      </c>
      <c r="F14">
        <f>About!$C$5+'Canada fuel price projections'!F38</f>
        <v>0.14267918189007336</v>
      </c>
      <c r="G14">
        <f>About!$C$5+'Canada fuel price projections'!G38</f>
        <v>0.14200378060344859</v>
      </c>
      <c r="H14">
        <f>About!$C$5+'Canada fuel price projections'!H38</f>
        <v>0.14144606729257495</v>
      </c>
      <c r="I14">
        <f>About!$C$5+'Canada fuel price projections'!I38</f>
        <v>0.14092407904378912</v>
      </c>
      <c r="J14">
        <f>About!$C$5+'Canada fuel price projections'!J38</f>
        <v>0.14068757226777534</v>
      </c>
      <c r="K14">
        <f>About!$C$5+'Canada fuel price projections'!K38</f>
        <v>0.14045258556768067</v>
      </c>
      <c r="L14">
        <f>About!$C$5+'Canada fuel price projections'!L38</f>
        <v>0.14018596549073606</v>
      </c>
      <c r="M14">
        <f>About!$C$5+'Canada fuel price projections'!M38</f>
        <v>0.13994608021057497</v>
      </c>
      <c r="N14">
        <f>About!$C$5+'Canada fuel price projections'!N38</f>
        <v>0.13973145802062237</v>
      </c>
      <c r="O14">
        <f>About!$C$5+'Canada fuel price projections'!O38</f>
        <v>0.13953520102815267</v>
      </c>
      <c r="P14">
        <f>About!$C$5+'Canada fuel price projections'!P38</f>
        <v>0.139353760613044</v>
      </c>
      <c r="Q14">
        <f>About!$C$5+'Canada fuel price projections'!Q38</f>
        <v>0.13917550768193676</v>
      </c>
      <c r="R14">
        <f>About!$C$5+'Canada fuel price projections'!R38</f>
        <v>0.13900038396704836</v>
      </c>
      <c r="S14">
        <f>About!$C$5+'Canada fuel price projections'!S38</f>
        <v>0.13882833231996602</v>
      </c>
      <c r="T14">
        <f>About!$C$5+'Canada fuel price projections'!T38</f>
        <v>0.13866196573248521</v>
      </c>
      <c r="U14">
        <f>About!$C$5+'Canada fuel price projections'!U38</f>
        <v>0.13850376723015576</v>
      </c>
      <c r="V14">
        <f>About!$C$5+'Canada fuel price projections'!V38</f>
        <v>0.13834046235474079</v>
      </c>
      <c r="W14">
        <f>About!$C$5+'Canada fuel price projections'!W38</f>
        <v>0.13818515835567058</v>
      </c>
      <c r="X14">
        <f>About!$C$5+'Canada fuel price projections'!X38</f>
        <v>0.1380274475896569</v>
      </c>
      <c r="Y14">
        <f>About!$C$5+'Canada fuel price projections'!Y38</f>
        <v>0.13787249134727464</v>
      </c>
      <c r="Z14">
        <f>About!$C$5+'Canada fuel price projections'!Z38</f>
        <v>0.1377128202318719</v>
      </c>
      <c r="AA14">
        <f>About!$C$5+'Canada fuel price projections'!AA38</f>
        <v>0.13755600742200647</v>
      </c>
      <c r="AB14">
        <f>About!$C$5+'Canada fuel price projections'!AB38</f>
        <v>0.12892067812555227</v>
      </c>
      <c r="AC14">
        <f>About!$C$5+'Canada fuel price projections'!AC38</f>
        <v>0.12891577771656323</v>
      </c>
      <c r="AD14">
        <f>About!$C$5+'Canada fuel price projections'!AD38</f>
        <v>0.12891096108358682</v>
      </c>
      <c r="AE14">
        <f>About!$C$5+'Canada fuel price projections'!AE38</f>
        <v>0.12890622676015009</v>
      </c>
      <c r="AF14">
        <f>About!$C$5+'Canada fuel price projections'!AF38</f>
        <v>0.12890157330598423</v>
      </c>
      <c r="AG14">
        <f>About!$C$5+'Canada fuel price projections'!AG38</f>
        <v>0.12889699930654999</v>
      </c>
      <c r="AH14">
        <f>About!$C$5+'Canada fuel price projections'!AH38</f>
        <v>0.12889250337257177</v>
      </c>
      <c r="AI14">
        <f>About!$C$5+'Canada fuel price projections'!AI38</f>
        <v>0.12888808413958036</v>
      </c>
      <c r="AJ14">
        <f>About!$C$5+'Canada fuel price projections'!AJ38</f>
        <v>0.12888374026746394</v>
      </c>
      <c r="AK14">
        <f>About!$C$5+'Canada fuel price projections'!AK38</f>
        <v>0.12887947044002759</v>
      </c>
    </row>
    <row r="15" spans="1:37">
      <c r="A15" s="1" t="s">
        <v>12</v>
      </c>
      <c r="B15">
        <f>About!$C$5</f>
        <v>0.12861778878634045</v>
      </c>
      <c r="C15">
        <f>About!$C$5</f>
        <v>0.12861778878634045</v>
      </c>
      <c r="D15">
        <f>About!$C$5</f>
        <v>0.12861778878634045</v>
      </c>
      <c r="E15">
        <f>About!$C$5</f>
        <v>0.12861778878634045</v>
      </c>
      <c r="F15">
        <f>About!$C$5</f>
        <v>0.12861778878634045</v>
      </c>
      <c r="G15">
        <f>About!$C$5</f>
        <v>0.12861778878634045</v>
      </c>
      <c r="H15">
        <f>About!$C$5</f>
        <v>0.12861778878634045</v>
      </c>
      <c r="I15">
        <f>About!$C$5</f>
        <v>0.12861778878634045</v>
      </c>
      <c r="J15">
        <f>About!$C$5</f>
        <v>0.12861778878634045</v>
      </c>
      <c r="K15">
        <f>About!$C$5</f>
        <v>0.12861778878634045</v>
      </c>
      <c r="L15">
        <f>About!$C$5</f>
        <v>0.12861778878634045</v>
      </c>
      <c r="M15">
        <f>About!$C$5</f>
        <v>0.12861778878634045</v>
      </c>
      <c r="N15">
        <f>About!$C$5</f>
        <v>0.12861778878634045</v>
      </c>
      <c r="O15">
        <f>About!$C$5</f>
        <v>0.12861778878634045</v>
      </c>
      <c r="P15">
        <f>About!$C$5</f>
        <v>0.12861778878634045</v>
      </c>
      <c r="Q15">
        <f>About!$C$5</f>
        <v>0.12861778878634045</v>
      </c>
      <c r="R15">
        <f>About!$C$5</f>
        <v>0.12861778878634045</v>
      </c>
      <c r="S15">
        <f>About!$C$5</f>
        <v>0.12861778878634045</v>
      </c>
      <c r="T15">
        <f>About!$C$5</f>
        <v>0.12861778878634045</v>
      </c>
      <c r="U15">
        <f>About!$C$5</f>
        <v>0.12861778878634045</v>
      </c>
      <c r="V15">
        <f>About!$C$5</f>
        <v>0.12861778878634045</v>
      </c>
      <c r="W15">
        <f>About!$C$5</f>
        <v>0.12861778878634045</v>
      </c>
      <c r="X15">
        <f>About!$C$5</f>
        <v>0.12861778878634045</v>
      </c>
      <c r="Y15">
        <f>About!$C$5</f>
        <v>0.12861778878634045</v>
      </c>
      <c r="Z15">
        <f>About!$C$5</f>
        <v>0.12861778878634045</v>
      </c>
      <c r="AA15">
        <f>About!$C$5</f>
        <v>0.12861778878634045</v>
      </c>
      <c r="AB15">
        <f t="shared" si="1"/>
        <v>0.12861778878634045</v>
      </c>
      <c r="AC15">
        <f t="shared" si="1"/>
        <v>0.12861778878634045</v>
      </c>
      <c r="AD15">
        <f t="shared" si="1"/>
        <v>0.12861778878634045</v>
      </c>
      <c r="AE15">
        <f t="shared" si="1"/>
        <v>0.12861778878634045</v>
      </c>
      <c r="AF15">
        <f t="shared" si="1"/>
        <v>0.12861778878634045</v>
      </c>
      <c r="AG15">
        <f t="shared" si="1"/>
        <v>0.12861778878634045</v>
      </c>
      <c r="AH15">
        <f t="shared" si="1"/>
        <v>0.12861778878634045</v>
      </c>
      <c r="AI15">
        <f t="shared" si="1"/>
        <v>0.12861778878634045</v>
      </c>
      <c r="AJ15">
        <f t="shared" si="1"/>
        <v>0.12861778878634045</v>
      </c>
      <c r="AK15">
        <f t="shared" si="1"/>
        <v>0.12861778878634045</v>
      </c>
    </row>
    <row r="16" spans="1:37">
      <c r="A16" s="1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</row>
    <row r="17" spans="1:37">
      <c r="A17" s="16" t="s">
        <v>259</v>
      </c>
      <c r="B17">
        <f>B4</f>
        <v>0.19393239535898127</v>
      </c>
      <c r="C17">
        <f t="shared" ref="C17:AK17" si="4">C4</f>
        <v>0.18703106180486251</v>
      </c>
      <c r="D17">
        <f t="shared" si="4"/>
        <v>0.180412643864128</v>
      </c>
      <c r="E17">
        <f t="shared" si="4"/>
        <v>0.17774018281814688</v>
      </c>
      <c r="F17">
        <f t="shared" si="4"/>
        <v>0.17513767498117533</v>
      </c>
      <c r="G17">
        <f t="shared" si="4"/>
        <v>0.17293955082580503</v>
      </c>
      <c r="H17">
        <f t="shared" si="4"/>
        <v>0.17108080172075305</v>
      </c>
      <c r="I17">
        <f t="shared" si="4"/>
        <v>0.16960868150490707</v>
      </c>
      <c r="J17">
        <f t="shared" si="4"/>
        <v>0.1682891734839071</v>
      </c>
      <c r="K17">
        <f t="shared" si="4"/>
        <v>0.16728519398769784</v>
      </c>
      <c r="L17">
        <f t="shared" si="4"/>
        <v>0.1662217979106643</v>
      </c>
      <c r="M17">
        <f t="shared" si="4"/>
        <v>0.16527385526094013</v>
      </c>
      <c r="N17">
        <f t="shared" si="4"/>
        <v>0.16427037072123118</v>
      </c>
      <c r="O17">
        <f t="shared" si="4"/>
        <v>0.16337500192634771</v>
      </c>
      <c r="P17">
        <f t="shared" si="4"/>
        <v>0.16242769448460265</v>
      </c>
      <c r="Q17">
        <f t="shared" si="4"/>
        <v>0.16158168071658369</v>
      </c>
      <c r="R17">
        <f t="shared" si="4"/>
        <v>0.16068708085989936</v>
      </c>
      <c r="S17">
        <f t="shared" si="4"/>
        <v>0.15981882042065629</v>
      </c>
      <c r="T17">
        <f t="shared" si="4"/>
        <v>0.15897603357422968</v>
      </c>
      <c r="U17">
        <f t="shared" si="4"/>
        <v>0.15815788719215754</v>
      </c>
      <c r="V17">
        <f t="shared" si="4"/>
        <v>0.15736357939747472</v>
      </c>
      <c r="W17">
        <f t="shared" si="4"/>
        <v>0.15665212779442875</v>
      </c>
      <c r="X17">
        <f t="shared" si="4"/>
        <v>0.15590120620319858</v>
      </c>
      <c r="Y17">
        <f t="shared" si="4"/>
        <v>0.15517196544471118</v>
      </c>
      <c r="Z17">
        <f t="shared" si="4"/>
        <v>0.15446371260369296</v>
      </c>
      <c r="AA17">
        <f t="shared" si="4"/>
        <v>0.15377577997009595</v>
      </c>
      <c r="AB17">
        <f t="shared" si="4"/>
        <v>0.15312439680250126</v>
      </c>
      <c r="AC17">
        <f t="shared" si="4"/>
        <v>0.15248206446782253</v>
      </c>
      <c r="AD17">
        <f t="shared" si="4"/>
        <v>0.15185772632338609</v>
      </c>
      <c r="AE17">
        <f t="shared" si="4"/>
        <v>0.15125083030735675</v>
      </c>
      <c r="AF17">
        <f t="shared" si="4"/>
        <v>0.15066084341992725</v>
      </c>
      <c r="AG17">
        <f t="shared" si="4"/>
        <v>0.15008725096566991</v>
      </c>
      <c r="AH17">
        <f t="shared" si="4"/>
        <v>0.14952955583087432</v>
      </c>
      <c r="AI17">
        <f t="shared" si="4"/>
        <v>0.14898727779400656</v>
      </c>
      <c r="AJ17">
        <f t="shared" si="4"/>
        <v>0.14845995286753655</v>
      </c>
      <c r="AK17">
        <f t="shared" si="4"/>
        <v>0.14794713266948695</v>
      </c>
    </row>
    <row r="19" spans="1:37">
      <c r="A19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Canada tax data</vt:lpstr>
      <vt:lpstr>Canada fuel price projections</vt:lpstr>
      <vt:lpstr>Population</vt:lpstr>
      <vt:lpstr>Tax data</vt:lpstr>
      <vt:lpstr>USA coal price</vt:lpstr>
      <vt:lpstr>USA jet fuel</vt:lpstr>
      <vt:lpstr>BSoFPtiT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2015-06-13T20:49:48Z</dcterms:created>
  <dcterms:modified xsi:type="dcterms:W3CDTF">2018-09-12T18:30:35Z</dcterms:modified>
</cp:coreProperties>
</file>