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D:\Dropbox (Energy Innovation)\EI-PlcyMdl\eps-1.4.3-canada\"/>
    </mc:Choice>
  </mc:AlternateContent>
  <bookViews>
    <workbookView xWindow="480" yWindow="90" windowWidth="27795" windowHeight="14130"/>
  </bookViews>
  <sheets>
    <sheet name="About" sheetId="8" r:id="rId1"/>
    <sheet name="Calculations" sheetId="2" r:id="rId2"/>
    <sheet name="Cost Curve" sheetId="5" r:id="rId3"/>
    <sheet name="1.4.3-ca-PCFExt" sheetId="3" r:id="rId4"/>
  </sheets>
  <definedNames>
    <definedName name="_xlnm._FilterDatabase" localSheetId="2" hidden="1">'Cost Curve'!$A$1:$C$26</definedName>
  </definedNames>
  <calcPr calcId="162913"/>
</workbook>
</file>

<file path=xl/calcChain.xml><?xml version="1.0" encoding="utf-8"?>
<calcChain xmlns="http://schemas.openxmlformats.org/spreadsheetml/2006/main">
  <c r="A43" i="5" l="1"/>
  <c r="C22" i="2"/>
  <c r="C26" i="2"/>
  <c r="C25" i="2"/>
  <c r="C8" i="2"/>
  <c r="C27" i="2"/>
  <c r="C20" i="2"/>
  <c r="C15" i="2"/>
  <c r="C5" i="2"/>
  <c r="C23" i="2"/>
  <c r="C18" i="2"/>
  <c r="C21" i="2"/>
  <c r="C16" i="2"/>
  <c r="C14" i="2"/>
  <c r="C4" i="2"/>
  <c r="C12" i="2"/>
  <c r="C19" i="2"/>
  <c r="C9" i="2"/>
  <c r="C11" i="2"/>
  <c r="C17" i="2"/>
  <c r="C10" i="2"/>
  <c r="C13" i="2"/>
  <c r="C3" i="2"/>
  <c r="C24" i="2"/>
  <c r="C7" i="2"/>
  <c r="C6" i="2"/>
  <c r="A7" i="5" l="1"/>
  <c r="A10" i="5"/>
  <c r="A12" i="5"/>
  <c r="D13" i="2"/>
  <c r="A24" i="5" l="1"/>
  <c r="A21" i="5" l="1"/>
  <c r="A11" i="5"/>
  <c r="A8" i="5"/>
  <c r="A2" i="5"/>
  <c r="A13" i="5"/>
  <c r="A3" i="5"/>
  <c r="A25" i="5"/>
  <c r="A5" i="5"/>
  <c r="A4" i="5"/>
  <c r="A9" i="5"/>
  <c r="A6" i="5"/>
  <c r="A26" i="5"/>
  <c r="A15" i="5"/>
  <c r="A14" i="5"/>
  <c r="A18" i="5"/>
  <c r="A17" i="5"/>
  <c r="A17" i="2"/>
  <c r="D27" i="2"/>
  <c r="J15" i="2"/>
  <c r="J19" i="2"/>
  <c r="J12" i="2"/>
  <c r="D11" i="2"/>
  <c r="D6" i="2"/>
  <c r="D19" i="2"/>
  <c r="J9" i="2"/>
  <c r="D8" i="2"/>
  <c r="J10" i="2"/>
  <c r="J13" i="2"/>
  <c r="D9" i="2"/>
  <c r="D7" i="2"/>
  <c r="D20" i="2"/>
  <c r="J16" i="2"/>
  <c r="D12" i="2"/>
  <c r="J17" i="2"/>
  <c r="J4" i="2"/>
  <c r="D17" i="2"/>
  <c r="J11" i="2"/>
  <c r="J6" i="2"/>
  <c r="J5" i="2"/>
  <c r="D16" i="2"/>
  <c r="J7" i="2"/>
  <c r="D15" i="2"/>
  <c r="D5" i="2"/>
  <c r="D10" i="2"/>
  <c r="D3" i="2"/>
  <c r="D4" i="2"/>
  <c r="J8" i="2"/>
  <c r="D14" i="2"/>
  <c r="D18" i="2"/>
  <c r="J14" i="2"/>
  <c r="J18" i="2"/>
  <c r="J3" i="2"/>
  <c r="E27" i="2" l="1"/>
  <c r="A22" i="5"/>
  <c r="E20" i="2"/>
  <c r="A19" i="5"/>
  <c r="K3" i="2"/>
  <c r="L3" i="2" s="1"/>
  <c r="A20" i="5"/>
  <c r="A16" i="5"/>
  <c r="A23" i="5"/>
  <c r="E3" i="2"/>
  <c r="C50" i="2"/>
  <c r="C52" i="2"/>
  <c r="C49" i="2"/>
  <c r="C51" i="2"/>
  <c r="C53" i="2"/>
  <c r="K12" i="2"/>
  <c r="L12" i="2" s="1"/>
  <c r="K13" i="2"/>
  <c r="L13" i="2" s="1"/>
  <c r="K6" i="2"/>
  <c r="L6" i="2" s="1"/>
  <c r="K14" i="2"/>
  <c r="L14" i="2" s="1"/>
  <c r="K9" i="2"/>
  <c r="L9" i="2" s="1"/>
  <c r="K5" i="2"/>
  <c r="L5" i="2" s="1"/>
  <c r="K7" i="2"/>
  <c r="L7" i="2" s="1"/>
  <c r="K15" i="2"/>
  <c r="L15" i="2" s="1"/>
  <c r="K17" i="2"/>
  <c r="L17" i="2" s="1"/>
  <c r="K4" i="2"/>
  <c r="L4" i="2" s="1"/>
  <c r="K8" i="2"/>
  <c r="L8" i="2" s="1"/>
  <c r="K16" i="2"/>
  <c r="L16" i="2" s="1"/>
  <c r="K10" i="2"/>
  <c r="L10" i="2" s="1"/>
  <c r="K18" i="2"/>
  <c r="L18" i="2" s="1"/>
  <c r="K11" i="2"/>
  <c r="L11" i="2" s="1"/>
  <c r="K19" i="2"/>
  <c r="L19" i="2" s="1"/>
  <c r="E10" i="2"/>
  <c r="E4" i="2"/>
  <c r="E17" i="2"/>
  <c r="E8" i="2"/>
  <c r="E11" i="2"/>
  <c r="E19" i="2"/>
  <c r="E18" i="2"/>
  <c r="E9" i="2"/>
  <c r="E16" i="2"/>
  <c r="E7" i="2"/>
  <c r="E12" i="2"/>
  <c r="E15" i="2"/>
  <c r="E6" i="2"/>
  <c r="E14" i="2"/>
  <c r="E5" i="2"/>
  <c r="E13" i="2"/>
  <c r="J25" i="2"/>
  <c r="J26" i="2"/>
  <c r="J27" i="2"/>
  <c r="D26" i="2"/>
  <c r="D24" i="2"/>
  <c r="J22" i="2"/>
  <c r="D21" i="2"/>
  <c r="D25" i="2"/>
  <c r="J24" i="2"/>
  <c r="J20" i="2"/>
  <c r="J21" i="2"/>
  <c r="D23" i="2"/>
  <c r="D22" i="2"/>
  <c r="J23" i="2"/>
  <c r="E25" i="2" l="1"/>
  <c r="E26" i="2"/>
  <c r="K27" i="2"/>
  <c r="L27" i="2" s="1"/>
  <c r="K26" i="2"/>
  <c r="L26" i="2" s="1"/>
  <c r="K25" i="2"/>
  <c r="L25" i="2" s="1"/>
  <c r="K23" i="2"/>
  <c r="L23" i="2" s="1"/>
  <c r="K20" i="2"/>
  <c r="L20" i="2" s="1"/>
  <c r="E24" i="2"/>
  <c r="E21" i="2"/>
  <c r="E22" i="2"/>
  <c r="E23" i="2"/>
  <c r="K24" i="2"/>
  <c r="L24" i="2" s="1"/>
  <c r="K22" i="2"/>
  <c r="L22" i="2" s="1"/>
  <c r="K21" i="2"/>
  <c r="L21" i="2" s="1"/>
  <c r="F5" i="2" l="1"/>
  <c r="F23" i="2"/>
  <c r="F8" i="2"/>
  <c r="F3" i="2"/>
  <c r="G3" i="2" s="1"/>
  <c r="H3" i="2" s="1"/>
  <c r="B21" i="5" s="1"/>
  <c r="F4" i="2"/>
  <c r="F16" i="2"/>
  <c r="F12" i="2"/>
  <c r="F26" i="2"/>
  <c r="G26" i="2" s="1"/>
  <c r="H26" i="2" s="1"/>
  <c r="B23" i="5" s="1"/>
  <c r="F19" i="2"/>
  <c r="F6" i="2"/>
  <c r="F21" i="2"/>
  <c r="F25" i="2"/>
  <c r="F14" i="2"/>
  <c r="F22" i="2"/>
  <c r="F15" i="2"/>
  <c r="F9" i="2"/>
  <c r="F20" i="2"/>
  <c r="F11" i="2"/>
  <c r="F7" i="2"/>
  <c r="F18" i="2"/>
  <c r="F27" i="2"/>
  <c r="G27" i="2" s="1"/>
  <c r="M27" i="2" s="1"/>
  <c r="C24" i="5" s="1"/>
  <c r="F24" i="2"/>
  <c r="F10" i="2"/>
  <c r="F13" i="2"/>
  <c r="F17" i="2"/>
  <c r="G25" i="2" l="1"/>
  <c r="H25" i="2" s="1"/>
  <c r="B22" i="5" s="1"/>
  <c r="M3" i="2"/>
  <c r="C21" i="5" s="1"/>
  <c r="G22" i="2"/>
  <c r="M22" i="2" s="1"/>
  <c r="C19" i="5" s="1"/>
  <c r="G7" i="2"/>
  <c r="H7" i="2" s="1"/>
  <c r="B13" i="5" s="1"/>
  <c r="M26" i="2"/>
  <c r="C23" i="5" s="1"/>
  <c r="G24" i="2"/>
  <c r="M24" i="2" s="1"/>
  <c r="C17" i="5" s="1"/>
  <c r="G15" i="2"/>
  <c r="M15" i="2" s="1"/>
  <c r="C9" i="5" s="1"/>
  <c r="H27" i="2"/>
  <c r="G19" i="2"/>
  <c r="M19" i="2" s="1"/>
  <c r="C14" i="5" s="1"/>
  <c r="G21" i="2"/>
  <c r="M21" i="2" s="1"/>
  <c r="C20" i="5" s="1"/>
  <c r="G10" i="2"/>
  <c r="M10" i="2" s="1"/>
  <c r="C5" i="5" s="1"/>
  <c r="G23" i="2"/>
  <c r="G8" i="2"/>
  <c r="M8" i="2" s="1"/>
  <c r="C3" i="5" s="1"/>
  <c r="G12" i="2"/>
  <c r="M12" i="2" s="1"/>
  <c r="C12" i="5" s="1"/>
  <c r="G17" i="2"/>
  <c r="M17" i="2" s="1"/>
  <c r="C26" i="5" s="1"/>
  <c r="G6" i="2"/>
  <c r="M6" i="2" s="1"/>
  <c r="C2" i="5" s="1"/>
  <c r="G13" i="2"/>
  <c r="H13" i="2" s="1"/>
  <c r="B7" i="5" s="1"/>
  <c r="G16" i="2"/>
  <c r="H16" i="2" s="1"/>
  <c r="B6" i="5" s="1"/>
  <c r="G20" i="2"/>
  <c r="G5" i="2"/>
  <c r="H5" i="2" s="1"/>
  <c r="B8" i="5" s="1"/>
  <c r="G14" i="2"/>
  <c r="H14" i="2" s="1"/>
  <c r="B10" i="5" s="1"/>
  <c r="G4" i="2"/>
  <c r="M4" i="2" s="1"/>
  <c r="C11" i="5" s="1"/>
  <c r="G11" i="2"/>
  <c r="H11" i="2" s="1"/>
  <c r="B4" i="5" s="1"/>
  <c r="G9" i="2"/>
  <c r="H9" i="2" s="1"/>
  <c r="B25" i="5" s="1"/>
  <c r="G18" i="2"/>
  <c r="M18" i="2" s="1"/>
  <c r="C15" i="5" s="1"/>
  <c r="B24" i="5" l="1"/>
  <c r="A86" i="5" s="1"/>
  <c r="Y41" i="5"/>
  <c r="C98" i="5"/>
  <c r="M25" i="2"/>
  <c r="C22" i="5" s="1"/>
  <c r="X88" i="5" s="1"/>
  <c r="M7" i="2"/>
  <c r="C13" i="5" s="1"/>
  <c r="H12" i="2"/>
  <c r="H4" i="2"/>
  <c r="B11" i="5" s="1"/>
  <c r="M16" i="2"/>
  <c r="C6" i="5" s="1"/>
  <c r="H10" i="2"/>
  <c r="B5" i="5" s="1"/>
  <c r="H22" i="2"/>
  <c r="B19" i="5" s="1"/>
  <c r="H15" i="2"/>
  <c r="B9" i="5" s="1"/>
  <c r="M5" i="2"/>
  <c r="C8" i="5" s="1"/>
  <c r="M14" i="2"/>
  <c r="C10" i="5" s="1"/>
  <c r="Z92" i="5" s="1"/>
  <c r="H18" i="2"/>
  <c r="B15" i="5" s="1"/>
  <c r="H17" i="2"/>
  <c r="B26" i="5" s="1"/>
  <c r="M11" i="2"/>
  <c r="C4" i="5" s="1"/>
  <c r="H6" i="2"/>
  <c r="B2" i="5" s="1"/>
  <c r="A44" i="5" s="1"/>
  <c r="H19" i="2"/>
  <c r="B14" i="5" s="1"/>
  <c r="H21" i="2"/>
  <c r="B20" i="5" s="1"/>
  <c r="M13" i="2"/>
  <c r="C7" i="5" s="1"/>
  <c r="H24" i="2"/>
  <c r="B17" i="5" s="1"/>
  <c r="M23" i="2"/>
  <c r="C18" i="5" s="1"/>
  <c r="T79" i="5" s="1"/>
  <c r="H23" i="2"/>
  <c r="B18" i="5" s="1"/>
  <c r="M9" i="2"/>
  <c r="C25" i="5" s="1"/>
  <c r="H8" i="2"/>
  <c r="B3" i="5" s="1"/>
  <c r="M20" i="2"/>
  <c r="C16" i="5" s="1"/>
  <c r="H20" i="2"/>
  <c r="B16" i="5" s="1"/>
  <c r="V84" i="5" l="1"/>
  <c r="R76" i="5"/>
  <c r="V83" i="5"/>
  <c r="C96" i="5"/>
  <c r="B12" i="5"/>
  <c r="H41" i="5" s="1"/>
  <c r="W41" i="5"/>
  <c r="R41" i="5"/>
  <c r="Z41" i="5"/>
  <c r="N41" i="5"/>
  <c r="N67" i="5"/>
  <c r="C45" i="5"/>
  <c r="W86" i="5"/>
  <c r="C99" i="5"/>
  <c r="W85" i="5"/>
  <c r="C41" i="5"/>
  <c r="D41" i="5"/>
  <c r="G53" i="5"/>
  <c r="G41" i="5"/>
  <c r="I41" i="5"/>
  <c r="K41" i="5"/>
  <c r="S77" i="5"/>
  <c r="K62" i="5"/>
  <c r="S78" i="5"/>
  <c r="O70" i="5"/>
  <c r="O69" i="5"/>
  <c r="L63" i="5"/>
  <c r="J60" i="5"/>
  <c r="J59" i="5"/>
  <c r="U41" i="5"/>
  <c r="F41" i="5"/>
  <c r="O41" i="5"/>
  <c r="S41" i="5"/>
  <c r="B41" i="5"/>
  <c r="Q41" i="5"/>
  <c r="P41" i="5"/>
  <c r="V41" i="5"/>
  <c r="M41" i="5"/>
  <c r="T41" i="5"/>
  <c r="E41" i="5"/>
  <c r="A45" i="5"/>
  <c r="A46" i="5" s="1"/>
  <c r="B44" i="5"/>
  <c r="P72" i="5"/>
  <c r="P71" i="5"/>
  <c r="X87" i="5"/>
  <c r="I57" i="5"/>
  <c r="N68" i="5"/>
  <c r="G54" i="5"/>
  <c r="T80" i="5"/>
  <c r="R75" i="5"/>
  <c r="L64" i="5"/>
  <c r="D48" i="5"/>
  <c r="D47" i="5"/>
  <c r="C46" i="5"/>
  <c r="I58" i="5"/>
  <c r="B43" i="5"/>
  <c r="E49" i="5"/>
  <c r="E50" i="5"/>
  <c r="F51" i="5"/>
  <c r="F52" i="5"/>
  <c r="H55" i="5"/>
  <c r="H56" i="5"/>
  <c r="K61" i="5"/>
  <c r="M65" i="5"/>
  <c r="M66" i="5"/>
  <c r="Q73" i="5"/>
  <c r="Q74" i="5"/>
  <c r="Z91" i="5"/>
  <c r="Y89" i="5"/>
  <c r="Y90" i="5"/>
  <c r="U81" i="5"/>
  <c r="U82" i="5"/>
  <c r="L41" i="5" l="1"/>
  <c r="J41" i="5"/>
  <c r="C97" i="5"/>
  <c r="X41" i="5"/>
  <c r="A47" i="5"/>
  <c r="A48" i="5" s="1"/>
  <c r="A49" i="5" l="1"/>
  <c r="A50" i="5" s="1"/>
  <c r="A51" i="5" l="1"/>
  <c r="A52" i="5" s="1"/>
  <c r="A53" i="5" l="1"/>
  <c r="A54" i="5" s="1"/>
  <c r="A55" i="5" l="1"/>
  <c r="A56" i="5" s="1"/>
  <c r="A57" i="5" l="1"/>
  <c r="A58" i="5" s="1"/>
  <c r="A59" i="5" l="1"/>
  <c r="A60" i="5" s="1"/>
  <c r="A61" i="5" l="1"/>
  <c r="A62" i="5" s="1"/>
  <c r="A63" i="5" l="1"/>
  <c r="A64" i="5" s="1"/>
  <c r="A65" i="5" l="1"/>
  <c r="A66" i="5" s="1"/>
  <c r="A67" i="5" l="1"/>
  <c r="A68" i="5" s="1"/>
  <c r="A69" i="5" l="1"/>
  <c r="A70" i="5" s="1"/>
  <c r="A71" i="5" l="1"/>
  <c r="A72" i="5" s="1"/>
  <c r="A73" i="5" l="1"/>
  <c r="A74" i="5" s="1"/>
  <c r="A75" i="5" l="1"/>
  <c r="A76" i="5" s="1"/>
  <c r="A77" i="5" l="1"/>
  <c r="A78" i="5" s="1"/>
  <c r="A79" i="5" l="1"/>
  <c r="A80" i="5" l="1"/>
  <c r="A81" i="5" s="1"/>
  <c r="A82" i="5" l="1"/>
  <c r="A83" i="5" s="1"/>
  <c r="A84" i="5" s="1"/>
  <c r="A85" i="5" s="1"/>
  <c r="A87" i="5"/>
  <c r="A88" i="5" s="1"/>
  <c r="A89" i="5" l="1"/>
  <c r="A90" i="5" s="1"/>
  <c r="A91" i="5" l="1"/>
  <c r="A92" i="5" s="1"/>
  <c r="A93" i="5" l="1"/>
</calcChain>
</file>

<file path=xl/comments1.xml><?xml version="1.0" encoding="utf-8"?>
<comments xmlns="http://schemas.openxmlformats.org/spreadsheetml/2006/main">
  <authors>
    <author>Jeffrey Rissman</author>
  </authors>
  <commentList>
    <comment ref="K2" authorId="0" shapeId="0">
      <text>
        <r>
          <rPr>
            <b/>
            <sz val="9"/>
            <color indexed="81"/>
            <rFont val="Tahoma"/>
            <family val="2"/>
          </rPr>
          <t>Jeffrey Rissman:</t>
        </r>
        <r>
          <rPr>
            <sz val="9"/>
            <color indexed="81"/>
            <rFont val="Tahoma"/>
            <family val="2"/>
          </rPr>
          <t xml:space="preserve">
Note: Negative costs here indicate that the total scenario cost dropped when the policy group was disabled, so the policy group was costing money (had positive cost).  Positive costs here indicate that the total scenario cost increased when the policy group was disabled, so the policy group was saving money (negative cost).</t>
        </r>
      </text>
    </comment>
    <comment ref="L2" authorId="0" shapeId="0">
      <text>
        <r>
          <rPr>
            <b/>
            <sz val="9"/>
            <color indexed="81"/>
            <rFont val="Tahoma"/>
            <family val="2"/>
          </rPr>
          <t>Jeffrey Rissman:</t>
        </r>
        <r>
          <rPr>
            <sz val="9"/>
            <color indexed="81"/>
            <rFont val="Tahoma"/>
            <family val="2"/>
          </rPr>
          <t xml:space="preserve">
In this column, negative values indicate savings and positive values indicate costs, which is how it should be graphed in the web app.</t>
        </r>
      </text>
    </comment>
  </commentList>
</comments>
</file>

<file path=xl/sharedStrings.xml><?xml version="1.0" encoding="utf-8"?>
<sst xmlns="http://schemas.openxmlformats.org/spreadsheetml/2006/main" count="160" uniqueCount="94">
  <si>
    <t>Time</t>
  </si>
  <si>
    <t>DisabledPolicyGroup=None</t>
  </si>
  <si>
    <t>DisabledPolicies=None</t>
  </si>
  <si>
    <t>Output Cumulative Total CO2e Emissions</t>
  </si>
  <si>
    <t>DisabledPolicyGroup=Transportation Demand Management</t>
  </si>
  <si>
    <t>DisabledPolicyGroup=Building Energy Efficiency Standards</t>
  </si>
  <si>
    <t>DisabledPolicyGroup=Reduce F-gases</t>
  </si>
  <si>
    <t>DisabledPolicyGroup=Methane Capture and Destruction</t>
  </si>
  <si>
    <t>Disabled Policy Group</t>
  </si>
  <si>
    <t>This is the width of each box.</t>
  </si>
  <si>
    <t>Cost or Savings Attributable to This Policy Group</t>
  </si>
  <si>
    <t>Cost or Savings per Ton Abated (in Dollars per Ton)</t>
  </si>
  <si>
    <t>This is the height of each box.</t>
  </si>
  <si>
    <t>DisabledPolicyGroup=All</t>
  </si>
  <si>
    <t>DisabledPolicies=All</t>
  </si>
  <si>
    <t>Number of Years in Model Run</t>
  </si>
  <si>
    <t>Output First Year NPV of Capital Fuel and OM Expenditures through This Year with Revenue Neutral Carbon Tax</t>
  </si>
  <si>
    <t>DisabledPolicyGroup=Early Retirement of Power Plants</t>
  </si>
  <si>
    <t>DisabledPolicyGroup=Carbon Tax</t>
  </si>
  <si>
    <t>Settings</t>
  </si>
  <si>
    <t>First simulated year</t>
  </si>
  <si>
    <t>Final Year in Cost Curve</t>
  </si>
  <si>
    <t>Source Data Tab Name</t>
  </si>
  <si>
    <t>Output First Year NPV of Capital Fuel and OM Expenditures through This Year</t>
  </si>
  <si>
    <t>Cumulative Abatement due to Disabled Policy Group</t>
  </si>
  <si>
    <t>Scaled Cumulative Abatement due to Disabled Policy Group</t>
  </si>
  <si>
    <t>Annual Average Scaled Cumulative Abatement due to Disabled Policy Group</t>
  </si>
  <si>
    <t>Cumulative Emissions through User-Specified Year</t>
  </si>
  <si>
    <t>NPV Cost through User-Specified Year</t>
  </si>
  <si>
    <t>Change in NPV Cost due to Disabled Policy Group</t>
  </si>
  <si>
    <t>Policy</t>
  </si>
  <si>
    <t>Min Abatement Threshold</t>
  </si>
  <si>
    <t>Remove Policy Groups Contributing Abatement Under Min Threshold</t>
  </si>
  <si>
    <t>Cost per Ton (currency/metric ton)</t>
  </si>
  <si>
    <t>Abatement (metric tons)</t>
  </si>
  <si>
    <t>Box width unit multiplier</t>
  </si>
  <si>
    <t>Cumulative Width</t>
  </si>
  <si>
    <t>&lt;–– Use the filter to sort "Cost per Ton" from Smallest to Largest</t>
  </si>
  <si>
    <t>The X axis of the cost curve is a "date" axis in Excel and can only show integer values.  Therefore, we multiply the widths of all boxes by a fixed multiplier that is large enough to ensure that</t>
  </si>
  <si>
    <t>Excel's rounding of box widths to integer values doesn't drop boxes or introduce distortion.  Note that a multiplier of 1000+ can cause Excel slowdowns, failure to update the graph, or crashes.</t>
  </si>
  <si>
    <t>Cost Curve Generator</t>
  </si>
  <si>
    <t>This Excel file allows you to generate a cost curve diagram, similar to the one generated</t>
  </si>
  <si>
    <t>by the web interface.  This file requires a regular installation of Excel and does not</t>
  </si>
  <si>
    <t>require plug-ins nor macros.</t>
  </si>
  <si>
    <t>that are included with the model.  To visualize the cost curve for one of these</t>
  </si>
  <si>
    <t>scenarios:</t>
  </si>
  <si>
    <t>1. On the "Calculations" tab, enter the name of the tab containing the scenario data</t>
  </si>
  <si>
    <t>in the cell under "Source Data Tab Name".  Be sure the First Simulated Year is accurate.</t>
  </si>
  <si>
    <t>2. To cause the cost curve to only consider abatement and costs from the first simulated</t>
  </si>
  <si>
    <t>year up through a particular year before the end of the model run (such as 2030 or 2040),</t>
  </si>
  <si>
    <t>enter that year in the cell under "Final Year in Cost Curve".</t>
  </si>
  <si>
    <t>3. On the "Cost Curve" tab, use the filter in the "Cost per Ton" cell to sort from Smallest</t>
  </si>
  <si>
    <t>to Largest.</t>
  </si>
  <si>
    <t>Note that this tool is currently limited to displaying up to 25 policy groups.</t>
  </si>
  <si>
    <t>(A policy group is a set of policies configured to be enabled or disabled together</t>
  </si>
  <si>
    <t>in the CreateContributionTestScript.py Python script.)</t>
  </si>
  <si>
    <t>This file comes pre-loaded with data from one or more reference scenarios</t>
  </si>
  <si>
    <t>Creating a Cost Curve from Existing Data</t>
  </si>
  <si>
    <t>Generating Data for a Cost Curve</t>
  </si>
  <si>
    <t>To generate data for a cost curve (for example, to create one for your own custom</t>
  </si>
  <si>
    <t>scenario):</t>
  </si>
  <si>
    <t>1. Ensure the file OutputVarsToExport.lst contains only two lines.  The first should be:</t>
  </si>
  <si>
    <t>The second can be either of the following two options:</t>
  </si>
  <si>
    <t>2. Create a copy of CreateContributionTestScript.py and set up your scenario's policy settings in the</t>
  </si>
  <si>
    <t>policy implementation schedule.</t>
  </si>
  <si>
    <t>3. In Python 3, run CreateContributionTestScript.py, to obtain a GeneratedContributionTestScript.cmd file.</t>
  </si>
  <si>
    <t>4. In Vensim DSS, run the GeneratedContributionTestScript.cmd file.  It produces a tab-separated values out</t>
  </si>
  <si>
    <t>file called ContributionTestResults.tsv.</t>
  </si>
  <si>
    <t>5. Copy the data from ContributionTestResult.tsv into a new tab in this file.  Give the tab a descriptive</t>
  </si>
  <si>
    <t>name.  Then follow the directions above for "Creating a Cost Curve from Existing Data"</t>
  </si>
  <si>
    <t>Python file.  Don't forget to specify the implementation schedule file number, if you're using a non-default</t>
  </si>
  <si>
    <t>DisabledPolicies=Early Retirement of Power Plants - Hard Coal</t>
  </si>
  <si>
    <t>DisabledPolicies=Reduce F-gases</t>
  </si>
  <si>
    <t>DisabledPolicies=Carbon Tax - Transportation Sector, Carbon Tax - Electricity Sector, Carbon Tax - Residential Bldg Sector, Carbon Tax - Commercial Bldg Sector, Carbon Tax - Industry Sector</t>
  </si>
  <si>
    <t>DisabledPolicyGroup=EV Sales Mandate</t>
  </si>
  <si>
    <t>DisabledPolicies=Electric Vehicle Sales Mandate - Passenger LDVs, Electric Vehicle Sales Mandate - Passenger HDVs, Electric Vehicle Sales Mandate - Freight HDVs, Electric Vehicle Sales Mandate - Passenger Motorbikes</t>
  </si>
  <si>
    <t>DisabledPolicyGroup=Low Carbon Fuel Standard</t>
  </si>
  <si>
    <t>DisabledPolicies=Low Carbon Fuel Standard</t>
  </si>
  <si>
    <t>DisabledPolicies=Transportation Demand Management - Passengers</t>
  </si>
  <si>
    <t>DisabledPolicyGroup=Building Component Electrification</t>
  </si>
  <si>
    <t>DisabledPolicies=Building Component Electrification - Urban Residential, Building Component Electrification - Rural Residential, Building Component Electrification - Commercial</t>
  </si>
  <si>
    <t>DisabledPolicies=Building Energy Efficiency Standards - Urban Residential Heating, Building Energy Efficiency Standards - Urban Residential Cooling and Ventilation, Building Energy Efficiency Standards - Urban Residential Lighting, Building Energy Efficiency Standards - Urban Residential Appliances, Building Energy Efficiency Standards - Urban Residential Other Components, Building Energy Efficiency Standards - Rural Residential Heating, Building Energy Efficiency Standards - Rural Residential Cooling and Ventilation, Building Energy Efficiency Standards - Rural Residential Lighting, Building Energy Efficiency Standards - Rural Residential Appliances, Building Energy Efficiency Standards - Rural Residential Other Components, Building Energy Efficiency Standards - Commercial Heating, Building Energy Efficiency Standards - Commercial Cooling and Ventilation, Building Energy Efficiency Standards - Commercial Lighting, Building Energy Efficiency Standards - Commercial Appliances, Building Energy Efficiency Standards - Commercial Other Components</t>
  </si>
  <si>
    <t>DisabledPolicyGroup=Non BAU Mandated Capacity Construction</t>
  </si>
  <si>
    <t>DisabledPolicies=Non BAU Mandated Capacity Construction</t>
  </si>
  <si>
    <t>DisabledPolicyGroup=Improved System Design</t>
  </si>
  <si>
    <t>DisabledPolicies=Improved System Design</t>
  </si>
  <si>
    <t>DisabledPolicyGroup=Industrial Electrification</t>
  </si>
  <si>
    <t>DisabledPolicies=Electrify Hard Coal Processes, Electrify NG Processes</t>
  </si>
  <si>
    <t>DisabledPolicies=Methane Capture</t>
  </si>
  <si>
    <t>DisabledPolicyGroup=Worker Training</t>
  </si>
  <si>
    <t>DisabledPolicies=Worker Training</t>
  </si>
  <si>
    <t>DisabledPolicyGroup=End Existing Subsidies</t>
  </si>
  <si>
    <t>DisabledPolicies=End Existing Subsidies - Hard Coal, End Existing Subsidies - Natural Gas, End Existing Subsidies - Petroleum Gasoline, End Existing Subsidies - Petroleum Diesel, End Existing Subsidies - Jet Fuel</t>
  </si>
  <si>
    <t>1.4.3-ca-PCFExt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</si>
</sst>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4" formatCode="_(&quot;$&quot;* #,##0.00_);_(&quot;$&quot;* \(#,##0.00\);_(&quot;$&quot;* &quot;-&quot;??_);_(@_)"/>
    <numFmt numFmtId="164" formatCode="0.0"/>
    <numFmt numFmtId="165" formatCode="0.0%"/>
  </numFmts>
  <fonts count="21"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i/>
      <sz val="11"/>
      <color theme="1"/>
      <name val="Calibri"/>
      <family val="2"/>
      <scheme val="minor"/>
    </font>
    <font>
      <sz val="9"/>
      <color indexed="81"/>
      <name val="Tahoma"/>
      <family val="2"/>
    </font>
    <font>
      <b/>
      <sz val="9"/>
      <color indexed="81"/>
      <name val="Tahoma"/>
      <family val="2"/>
    </font>
  </fonts>
  <fills count="3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249977111117893"/>
        <bgColor indexed="64"/>
      </patternFill>
    </fill>
    <fill>
      <patternFill patternType="solid">
        <fgColor rgb="FFFFFF00"/>
        <bgColor indexed="64"/>
      </patternFill>
    </fill>
    <fill>
      <patternFill patternType="solid">
        <fgColor theme="0" tint="-0.14999847407452621"/>
        <bgColor indexed="64"/>
      </patternFill>
    </fill>
    <fill>
      <patternFill patternType="solid">
        <fgColor theme="6" tint="0.59999389629810485"/>
        <bgColor indexed="64"/>
      </patternFill>
    </fill>
    <fill>
      <patternFill patternType="solid">
        <fgColor theme="9" tint="0.79998168889431442"/>
        <bgColor indexed="64"/>
      </patternFill>
    </fill>
    <fill>
      <patternFill patternType="solid">
        <fgColor rgb="FF92D050"/>
        <bgColor indexed="64"/>
      </patternFill>
    </fill>
  </fills>
  <borders count="2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s>
  <cellStyleXfs count="43">
    <xf numFmtId="0" fontId="0" fillId="0" borderId="0"/>
    <xf numFmtId="44"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57">
    <xf numFmtId="0" fontId="0" fillId="0" borderId="0" xfId="0"/>
    <xf numFmtId="11" fontId="0" fillId="0" borderId="0" xfId="0" applyNumberFormat="1"/>
    <xf numFmtId="0" fontId="16" fillId="0" borderId="0" xfId="0" applyFont="1"/>
    <xf numFmtId="0" fontId="16" fillId="0" borderId="0" xfId="0" applyFont="1" applyAlignment="1">
      <alignment wrapText="1"/>
    </xf>
    <xf numFmtId="0" fontId="16" fillId="0" borderId="0" xfId="0" applyFont="1" applyAlignment="1">
      <alignment horizontal="right" wrapText="1"/>
    </xf>
    <xf numFmtId="0" fontId="0" fillId="0" borderId="0" xfId="0" applyAlignment="1">
      <alignment wrapText="1"/>
    </xf>
    <xf numFmtId="1" fontId="0" fillId="0" borderId="0" xfId="0" applyNumberFormat="1"/>
    <xf numFmtId="0" fontId="16" fillId="33" borderId="0" xfId="0" applyFont="1" applyFill="1" applyAlignment="1">
      <alignment horizontal="right" wrapText="1"/>
    </xf>
    <xf numFmtId="1" fontId="0" fillId="33" borderId="0" xfId="0" applyNumberFormat="1" applyFill="1"/>
    <xf numFmtId="0" fontId="0" fillId="33" borderId="0" xfId="0" applyFill="1"/>
    <xf numFmtId="0" fontId="18" fillId="0" borderId="0" xfId="0" applyFont="1" applyAlignment="1">
      <alignment wrapText="1"/>
    </xf>
    <xf numFmtId="164" fontId="0" fillId="0" borderId="0" xfId="1" applyNumberFormat="1" applyFont="1"/>
    <xf numFmtId="0" fontId="0" fillId="33" borderId="0" xfId="0" applyFill="1" applyAlignment="1">
      <alignment wrapText="1"/>
    </xf>
    <xf numFmtId="0" fontId="0" fillId="0" borderId="0" xfId="0" applyAlignment="1">
      <alignment horizontal="left"/>
    </xf>
    <xf numFmtId="0" fontId="16" fillId="33" borderId="0" xfId="0" applyFont="1" applyFill="1"/>
    <xf numFmtId="0" fontId="0" fillId="0" borderId="0" xfId="0" applyAlignment="1">
      <alignment horizontal="right"/>
    </xf>
    <xf numFmtId="164" fontId="0" fillId="0" borderId="0" xfId="1" applyNumberFormat="1" applyFont="1" applyAlignment="1">
      <alignment horizontal="right"/>
    </xf>
    <xf numFmtId="0" fontId="16" fillId="0" borderId="0" xfId="0" applyFont="1" applyAlignment="1">
      <alignment horizontal="left" wrapText="1"/>
    </xf>
    <xf numFmtId="0" fontId="16" fillId="0" borderId="0" xfId="0" applyFont="1" applyAlignment="1">
      <alignment horizontal="left"/>
    </xf>
    <xf numFmtId="0" fontId="0" fillId="34" borderId="10" xfId="0" applyFill="1" applyBorder="1" applyAlignment="1">
      <alignment horizontal="left"/>
    </xf>
    <xf numFmtId="1" fontId="0" fillId="35" borderId="0" xfId="0" applyNumberFormat="1" applyFill="1"/>
    <xf numFmtId="0" fontId="0" fillId="33" borderId="0" xfId="0" applyFill="1" applyAlignment="1">
      <alignment horizontal="left"/>
    </xf>
    <xf numFmtId="0" fontId="0" fillId="33" borderId="0" xfId="0" applyFill="1" applyAlignment="1">
      <alignment horizontal="right"/>
    </xf>
    <xf numFmtId="11" fontId="0" fillId="33" borderId="0" xfId="0" applyNumberFormat="1" applyFill="1"/>
    <xf numFmtId="164" fontId="0" fillId="33" borderId="0" xfId="1" applyNumberFormat="1" applyFont="1" applyFill="1"/>
    <xf numFmtId="1" fontId="0" fillId="0" borderId="0" xfId="0" applyNumberFormat="1" applyAlignment="1">
      <alignment horizontal="right"/>
    </xf>
    <xf numFmtId="1" fontId="0" fillId="33" borderId="0" xfId="0" applyNumberFormat="1" applyFill="1" applyAlignment="1">
      <alignment horizontal="right"/>
    </xf>
    <xf numFmtId="11" fontId="0" fillId="0" borderId="0" xfId="0" applyNumberFormat="1" applyAlignment="1">
      <alignment horizontal="right"/>
    </xf>
    <xf numFmtId="0" fontId="0" fillId="0" borderId="13" xfId="0" applyBorder="1"/>
    <xf numFmtId="0" fontId="0" fillId="0" borderId="15" xfId="0" applyBorder="1"/>
    <xf numFmtId="0" fontId="16" fillId="33" borderId="11" xfId="0" applyFont="1" applyFill="1" applyBorder="1"/>
    <xf numFmtId="0" fontId="16" fillId="33" borderId="0" xfId="0" applyFont="1" applyFill="1" applyBorder="1"/>
    <xf numFmtId="0" fontId="16" fillId="34" borderId="0" xfId="0" applyFont="1" applyFill="1" applyBorder="1"/>
    <xf numFmtId="1" fontId="0" fillId="0" borderId="0" xfId="0" applyNumberFormat="1" applyBorder="1" applyAlignment="1">
      <alignment horizontal="right"/>
    </xf>
    <xf numFmtId="2" fontId="0" fillId="0" borderId="14" xfId="0" applyNumberFormat="1" applyBorder="1" applyAlignment="1">
      <alignment horizontal="right"/>
    </xf>
    <xf numFmtId="0" fontId="0" fillId="0" borderId="14" xfId="0" applyBorder="1" applyAlignment="1">
      <alignment horizontal="right"/>
    </xf>
    <xf numFmtId="0" fontId="0" fillId="34" borderId="0" xfId="0" applyFill="1"/>
    <xf numFmtId="0" fontId="16" fillId="0" borderId="0" xfId="0" applyFont="1" applyBorder="1"/>
    <xf numFmtId="2" fontId="0" fillId="36" borderId="0" xfId="0" applyNumberFormat="1" applyFill="1"/>
    <xf numFmtId="0" fontId="0" fillId="36" borderId="0" xfId="0" applyFill="1"/>
    <xf numFmtId="0" fontId="0" fillId="0" borderId="0" xfId="0" applyFont="1" applyBorder="1"/>
    <xf numFmtId="165" fontId="16" fillId="34" borderId="10" xfId="0" applyNumberFormat="1" applyFont="1" applyFill="1" applyBorder="1" applyAlignment="1">
      <alignment horizontal="left"/>
    </xf>
    <xf numFmtId="1" fontId="0" fillId="0" borderId="0" xfId="0" applyNumberFormat="1" applyFont="1"/>
    <xf numFmtId="164" fontId="0" fillId="0" borderId="0" xfId="0" applyNumberFormat="1" applyBorder="1" applyAlignment="1">
      <alignment horizontal="right"/>
    </xf>
    <xf numFmtId="0" fontId="16" fillId="0" borderId="0" xfId="0" applyFont="1" applyFill="1"/>
    <xf numFmtId="0" fontId="16" fillId="37" borderId="18" xfId="0" applyFont="1" applyFill="1" applyBorder="1"/>
    <xf numFmtId="0" fontId="0" fillId="37" borderId="19" xfId="0" applyFill="1" applyBorder="1" applyAlignment="1">
      <alignment horizontal="left"/>
    </xf>
    <xf numFmtId="0" fontId="16" fillId="33" borderId="12" xfId="0" applyFont="1" applyFill="1" applyBorder="1" applyAlignment="1">
      <alignment wrapText="1"/>
    </xf>
    <xf numFmtId="0" fontId="16" fillId="34" borderId="10" xfId="0" applyFont="1" applyFill="1" applyBorder="1" applyAlignment="1">
      <alignment wrapText="1"/>
    </xf>
    <xf numFmtId="1" fontId="18" fillId="0" borderId="0" xfId="0" applyNumberFormat="1" applyFont="1"/>
    <xf numFmtId="0" fontId="18" fillId="0" borderId="0" xfId="0" applyFont="1"/>
    <xf numFmtId="0" fontId="16" fillId="38" borderId="0" xfId="0" applyFont="1" applyFill="1" applyAlignment="1">
      <alignment horizontal="right"/>
    </xf>
    <xf numFmtId="0" fontId="0" fillId="36" borderId="0" xfId="0" applyFill="1" applyAlignment="1">
      <alignment horizontal="left" indent="3"/>
    </xf>
    <xf numFmtId="0" fontId="0" fillId="0" borderId="0" xfId="0"/>
    <xf numFmtId="11" fontId="0" fillId="0" borderId="0" xfId="0" applyNumberFormat="1"/>
    <xf numFmtId="164" fontId="0" fillId="0" borderId="16" xfId="0" applyNumberFormat="1" applyBorder="1" applyAlignment="1">
      <alignment horizontal="right"/>
    </xf>
    <xf numFmtId="2" fontId="0" fillId="0" borderId="17" xfId="0" applyNumberFormat="1" applyBorder="1" applyAlignment="1">
      <alignment horizontal="right"/>
    </xf>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Currency" xfId="1" builtinId="4"/>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Title" xfId="2" builtinId="15" customBuiltin="1"/>
    <cellStyle name="Total" xfId="18" builtinId="25" customBuiltin="1"/>
    <cellStyle name="Warning Text" xfId="15"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areaChart>
        <c:grouping val="stacked"/>
        <c:varyColors val="0"/>
        <c:ser>
          <c:idx val="0"/>
          <c:order val="0"/>
          <c:tx>
            <c:strRef>
              <c:f>'Cost Curve'!$B$41</c:f>
              <c:strCache>
                <c:ptCount val="1"/>
                <c:pt idx="0">
                  <c:v>Transportation Demand Management</c:v>
                </c:pt>
              </c:strCache>
            </c:strRef>
          </c:tx>
          <c:spPr>
            <a:solidFill>
              <a:schemeClr val="accent1"/>
            </a:solidFill>
            <a:ln>
              <a:noFill/>
            </a:ln>
            <a:effectLst/>
          </c:spPr>
          <c:cat>
            <c:numRef>
              <c:f>'Cost Curve'!$A$42:$A$93</c:f>
              <c:numCache>
                <c:formatCode>0</c:formatCode>
                <c:ptCount val="52"/>
                <c:pt idx="0">
                  <c:v>0</c:v>
                </c:pt>
                <c:pt idx="1">
                  <c:v>0</c:v>
                </c:pt>
                <c:pt idx="2">
                  <c:v>841.94816517520167</c:v>
                </c:pt>
                <c:pt idx="3">
                  <c:v>841.94816517520167</c:v>
                </c:pt>
                <c:pt idx="4">
                  <c:v>2458.0887724705981</c:v>
                </c:pt>
                <c:pt idx="5">
                  <c:v>2458.0887724705981</c:v>
                </c:pt>
                <c:pt idx="6">
                  <c:v>2777.6143954020863</c:v>
                </c:pt>
                <c:pt idx="7">
                  <c:v>2777.6143954020863</c:v>
                </c:pt>
                <c:pt idx="8">
                  <c:v>2992.3593100026201</c:v>
                </c:pt>
                <c:pt idx="9">
                  <c:v>2992.3593100026201</c:v>
                </c:pt>
                <c:pt idx="10">
                  <c:v>22025.052991106826</c:v>
                </c:pt>
                <c:pt idx="11">
                  <c:v>22025.052991106826</c:v>
                </c:pt>
                <c:pt idx="12">
                  <c:v>24616.061460718091</c:v>
                </c:pt>
                <c:pt idx="13">
                  <c:v>24616.061460718091</c:v>
                </c:pt>
                <c:pt idx="14">
                  <c:v>24878.938856177363</c:v>
                </c:pt>
                <c:pt idx="15">
                  <c:v>24878.938856177363</c:v>
                </c:pt>
                <c:pt idx="16">
                  <c:v>24982.979064802796</c:v>
                </c:pt>
                <c:pt idx="17">
                  <c:v>24982.979064802796</c:v>
                </c:pt>
                <c:pt idx="18">
                  <c:v>25432.832635905637</c:v>
                </c:pt>
                <c:pt idx="19">
                  <c:v>25432.832635905637</c:v>
                </c:pt>
                <c:pt idx="20">
                  <c:v>25727.921768554996</c:v>
                </c:pt>
                <c:pt idx="21">
                  <c:v>25727.921768554996</c:v>
                </c:pt>
                <c:pt idx="22">
                  <c:v>27091.181726415627</c:v>
                </c:pt>
                <c:pt idx="23">
                  <c:v>27091.181726415627</c:v>
                </c:pt>
                <c:pt idx="24">
                  <c:v>28178.235294117647</c:v>
                </c:pt>
                <c:pt idx="25">
                  <c:v>28178.235294117647</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numCache>
            </c:numRef>
          </c:cat>
          <c:val>
            <c:numRef>
              <c:f>'Cost Curve'!$B$42:$B$93</c:f>
              <c:numCache>
                <c:formatCode>0.00</c:formatCode>
                <c:ptCount val="52"/>
                <c:pt idx="1">
                  <c:v>-874.12115890674261</c:v>
                </c:pt>
                <c:pt idx="2">
                  <c:v>-874.12115890674261</c:v>
                </c:pt>
              </c:numCache>
            </c:numRef>
          </c:val>
          <c:extLst>
            <c:ext xmlns:c16="http://schemas.microsoft.com/office/drawing/2014/chart" uri="{C3380CC4-5D6E-409C-BE32-E72D297353CC}">
              <c16:uniqueId val="{00000000-492B-49FD-90E0-AB2E19DD36BE}"/>
            </c:ext>
          </c:extLst>
        </c:ser>
        <c:ser>
          <c:idx val="1"/>
          <c:order val="1"/>
          <c:tx>
            <c:strRef>
              <c:f>'Cost Curve'!$C$41</c:f>
              <c:strCache>
                <c:ptCount val="1"/>
                <c:pt idx="0">
                  <c:v>Building Energy Efficiency Standards</c:v>
                </c:pt>
              </c:strCache>
            </c:strRef>
          </c:tx>
          <c:spPr>
            <a:solidFill>
              <a:schemeClr val="accent2"/>
            </a:solidFill>
            <a:ln>
              <a:noFill/>
            </a:ln>
            <a:effectLst/>
          </c:spPr>
          <c:cat>
            <c:numRef>
              <c:f>'Cost Curve'!$A$42:$A$93</c:f>
              <c:numCache>
                <c:formatCode>0</c:formatCode>
                <c:ptCount val="52"/>
                <c:pt idx="0">
                  <c:v>0</c:v>
                </c:pt>
                <c:pt idx="1">
                  <c:v>0</c:v>
                </c:pt>
                <c:pt idx="2">
                  <c:v>841.94816517520167</c:v>
                </c:pt>
                <c:pt idx="3">
                  <c:v>841.94816517520167</c:v>
                </c:pt>
                <c:pt idx="4">
                  <c:v>2458.0887724705981</c:v>
                </c:pt>
                <c:pt idx="5">
                  <c:v>2458.0887724705981</c:v>
                </c:pt>
                <c:pt idx="6">
                  <c:v>2777.6143954020863</c:v>
                </c:pt>
                <c:pt idx="7">
                  <c:v>2777.6143954020863</c:v>
                </c:pt>
                <c:pt idx="8">
                  <c:v>2992.3593100026201</c:v>
                </c:pt>
                <c:pt idx="9">
                  <c:v>2992.3593100026201</c:v>
                </c:pt>
                <c:pt idx="10">
                  <c:v>22025.052991106826</c:v>
                </c:pt>
                <c:pt idx="11">
                  <c:v>22025.052991106826</c:v>
                </c:pt>
                <c:pt idx="12">
                  <c:v>24616.061460718091</c:v>
                </c:pt>
                <c:pt idx="13">
                  <c:v>24616.061460718091</c:v>
                </c:pt>
                <c:pt idx="14">
                  <c:v>24878.938856177363</c:v>
                </c:pt>
                <c:pt idx="15">
                  <c:v>24878.938856177363</c:v>
                </c:pt>
                <c:pt idx="16">
                  <c:v>24982.979064802796</c:v>
                </c:pt>
                <c:pt idx="17">
                  <c:v>24982.979064802796</c:v>
                </c:pt>
                <c:pt idx="18">
                  <c:v>25432.832635905637</c:v>
                </c:pt>
                <c:pt idx="19">
                  <c:v>25432.832635905637</c:v>
                </c:pt>
                <c:pt idx="20">
                  <c:v>25727.921768554996</c:v>
                </c:pt>
                <c:pt idx="21">
                  <c:v>25727.921768554996</c:v>
                </c:pt>
                <c:pt idx="22">
                  <c:v>27091.181726415627</c:v>
                </c:pt>
                <c:pt idx="23">
                  <c:v>27091.181726415627</c:v>
                </c:pt>
                <c:pt idx="24">
                  <c:v>28178.235294117647</c:v>
                </c:pt>
                <c:pt idx="25">
                  <c:v>28178.235294117647</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numCache>
            </c:numRef>
          </c:cat>
          <c:val>
            <c:numRef>
              <c:f>'Cost Curve'!$C$42:$C$93</c:f>
              <c:numCache>
                <c:formatCode>General</c:formatCode>
                <c:ptCount val="52"/>
                <c:pt idx="3" formatCode="0.00">
                  <c:v>-320.9916542639063</c:v>
                </c:pt>
                <c:pt idx="4" formatCode="0.00">
                  <c:v>-320.9916542639063</c:v>
                </c:pt>
              </c:numCache>
            </c:numRef>
          </c:val>
          <c:extLst>
            <c:ext xmlns:c16="http://schemas.microsoft.com/office/drawing/2014/chart" uri="{C3380CC4-5D6E-409C-BE32-E72D297353CC}">
              <c16:uniqueId val="{00000001-492B-49FD-90E0-AB2E19DD36BE}"/>
            </c:ext>
          </c:extLst>
        </c:ser>
        <c:ser>
          <c:idx val="2"/>
          <c:order val="2"/>
          <c:tx>
            <c:strRef>
              <c:f>'Cost Curve'!$D$41</c:f>
              <c:strCache>
                <c:ptCount val="1"/>
                <c:pt idx="0">
                  <c:v>Improved System Design</c:v>
                </c:pt>
              </c:strCache>
            </c:strRef>
          </c:tx>
          <c:spPr>
            <a:solidFill>
              <a:schemeClr val="accent3"/>
            </a:solidFill>
            <a:ln>
              <a:noFill/>
            </a:ln>
            <a:effectLst/>
          </c:spPr>
          <c:cat>
            <c:numRef>
              <c:f>'Cost Curve'!$A$42:$A$93</c:f>
              <c:numCache>
                <c:formatCode>0</c:formatCode>
                <c:ptCount val="52"/>
                <c:pt idx="0">
                  <c:v>0</c:v>
                </c:pt>
                <c:pt idx="1">
                  <c:v>0</c:v>
                </c:pt>
                <c:pt idx="2">
                  <c:v>841.94816517520167</c:v>
                </c:pt>
                <c:pt idx="3">
                  <c:v>841.94816517520167</c:v>
                </c:pt>
                <c:pt idx="4">
                  <c:v>2458.0887724705981</c:v>
                </c:pt>
                <c:pt idx="5">
                  <c:v>2458.0887724705981</c:v>
                </c:pt>
                <c:pt idx="6">
                  <c:v>2777.6143954020863</c:v>
                </c:pt>
                <c:pt idx="7">
                  <c:v>2777.6143954020863</c:v>
                </c:pt>
                <c:pt idx="8">
                  <c:v>2992.3593100026201</c:v>
                </c:pt>
                <c:pt idx="9">
                  <c:v>2992.3593100026201</c:v>
                </c:pt>
                <c:pt idx="10">
                  <c:v>22025.052991106826</c:v>
                </c:pt>
                <c:pt idx="11">
                  <c:v>22025.052991106826</c:v>
                </c:pt>
                <c:pt idx="12">
                  <c:v>24616.061460718091</c:v>
                </c:pt>
                <c:pt idx="13">
                  <c:v>24616.061460718091</c:v>
                </c:pt>
                <c:pt idx="14">
                  <c:v>24878.938856177363</c:v>
                </c:pt>
                <c:pt idx="15">
                  <c:v>24878.938856177363</c:v>
                </c:pt>
                <c:pt idx="16">
                  <c:v>24982.979064802796</c:v>
                </c:pt>
                <c:pt idx="17">
                  <c:v>24982.979064802796</c:v>
                </c:pt>
                <c:pt idx="18">
                  <c:v>25432.832635905637</c:v>
                </c:pt>
                <c:pt idx="19">
                  <c:v>25432.832635905637</c:v>
                </c:pt>
                <c:pt idx="20">
                  <c:v>25727.921768554996</c:v>
                </c:pt>
                <c:pt idx="21">
                  <c:v>25727.921768554996</c:v>
                </c:pt>
                <c:pt idx="22">
                  <c:v>27091.181726415627</c:v>
                </c:pt>
                <c:pt idx="23">
                  <c:v>27091.181726415627</c:v>
                </c:pt>
                <c:pt idx="24">
                  <c:v>28178.235294117647</c:v>
                </c:pt>
                <c:pt idx="25">
                  <c:v>28178.235294117647</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numCache>
            </c:numRef>
          </c:cat>
          <c:val>
            <c:numRef>
              <c:f>'Cost Curve'!$D$42:$D$93</c:f>
              <c:numCache>
                <c:formatCode>General</c:formatCode>
                <c:ptCount val="52"/>
                <c:pt idx="5" formatCode="0.00">
                  <c:v>-138.25642583195128</c:v>
                </c:pt>
                <c:pt idx="6" formatCode="0.00">
                  <c:v>-138.25642583195128</c:v>
                </c:pt>
              </c:numCache>
            </c:numRef>
          </c:val>
          <c:extLst>
            <c:ext xmlns:c16="http://schemas.microsoft.com/office/drawing/2014/chart" uri="{C3380CC4-5D6E-409C-BE32-E72D297353CC}">
              <c16:uniqueId val="{00000002-492B-49FD-90E0-AB2E19DD36BE}"/>
            </c:ext>
          </c:extLst>
        </c:ser>
        <c:ser>
          <c:idx val="3"/>
          <c:order val="3"/>
          <c:tx>
            <c:strRef>
              <c:f>'Cost Curve'!$E$41</c:f>
              <c:strCache>
                <c:ptCount val="1"/>
                <c:pt idx="0">
                  <c:v>Early Retirement of Power Plants</c:v>
                </c:pt>
              </c:strCache>
            </c:strRef>
          </c:tx>
          <c:spPr>
            <a:solidFill>
              <a:schemeClr val="accent4"/>
            </a:solidFill>
            <a:ln>
              <a:noFill/>
            </a:ln>
            <a:effectLst/>
          </c:spPr>
          <c:cat>
            <c:numRef>
              <c:f>'Cost Curve'!$A$42:$A$93</c:f>
              <c:numCache>
                <c:formatCode>0</c:formatCode>
                <c:ptCount val="52"/>
                <c:pt idx="0">
                  <c:v>0</c:v>
                </c:pt>
                <c:pt idx="1">
                  <c:v>0</c:v>
                </c:pt>
                <c:pt idx="2">
                  <c:v>841.94816517520167</c:v>
                </c:pt>
                <c:pt idx="3">
                  <c:v>841.94816517520167</c:v>
                </c:pt>
                <c:pt idx="4">
                  <c:v>2458.0887724705981</c:v>
                </c:pt>
                <c:pt idx="5">
                  <c:v>2458.0887724705981</c:v>
                </c:pt>
                <c:pt idx="6">
                  <c:v>2777.6143954020863</c:v>
                </c:pt>
                <c:pt idx="7">
                  <c:v>2777.6143954020863</c:v>
                </c:pt>
                <c:pt idx="8">
                  <c:v>2992.3593100026201</c:v>
                </c:pt>
                <c:pt idx="9">
                  <c:v>2992.3593100026201</c:v>
                </c:pt>
                <c:pt idx="10">
                  <c:v>22025.052991106826</c:v>
                </c:pt>
                <c:pt idx="11">
                  <c:v>22025.052991106826</c:v>
                </c:pt>
                <c:pt idx="12">
                  <c:v>24616.061460718091</c:v>
                </c:pt>
                <c:pt idx="13">
                  <c:v>24616.061460718091</c:v>
                </c:pt>
                <c:pt idx="14">
                  <c:v>24878.938856177363</c:v>
                </c:pt>
                <c:pt idx="15">
                  <c:v>24878.938856177363</c:v>
                </c:pt>
                <c:pt idx="16">
                  <c:v>24982.979064802796</c:v>
                </c:pt>
                <c:pt idx="17">
                  <c:v>24982.979064802796</c:v>
                </c:pt>
                <c:pt idx="18">
                  <c:v>25432.832635905637</c:v>
                </c:pt>
                <c:pt idx="19">
                  <c:v>25432.832635905637</c:v>
                </c:pt>
                <c:pt idx="20">
                  <c:v>25727.921768554996</c:v>
                </c:pt>
                <c:pt idx="21">
                  <c:v>25727.921768554996</c:v>
                </c:pt>
                <c:pt idx="22">
                  <c:v>27091.181726415627</c:v>
                </c:pt>
                <c:pt idx="23">
                  <c:v>27091.181726415627</c:v>
                </c:pt>
                <c:pt idx="24">
                  <c:v>28178.235294117647</c:v>
                </c:pt>
                <c:pt idx="25">
                  <c:v>28178.235294117647</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numCache>
            </c:numRef>
          </c:cat>
          <c:val>
            <c:numRef>
              <c:f>'Cost Curve'!$E$42:$E$93</c:f>
              <c:numCache>
                <c:formatCode>General</c:formatCode>
                <c:ptCount val="52"/>
                <c:pt idx="7" formatCode="0.00">
                  <c:v>-77.78038053912114</c:v>
                </c:pt>
                <c:pt idx="8" formatCode="0.00">
                  <c:v>-77.78038053912114</c:v>
                </c:pt>
              </c:numCache>
            </c:numRef>
          </c:val>
          <c:extLst>
            <c:ext xmlns:c16="http://schemas.microsoft.com/office/drawing/2014/chart" uri="{C3380CC4-5D6E-409C-BE32-E72D297353CC}">
              <c16:uniqueId val="{00000003-492B-49FD-90E0-AB2E19DD36BE}"/>
            </c:ext>
          </c:extLst>
        </c:ser>
        <c:ser>
          <c:idx val="4"/>
          <c:order val="4"/>
          <c:tx>
            <c:strRef>
              <c:f>'Cost Curve'!$F$41</c:f>
              <c:strCache>
                <c:ptCount val="1"/>
                <c:pt idx="0">
                  <c:v>Carbon Tax</c:v>
                </c:pt>
              </c:strCache>
            </c:strRef>
          </c:tx>
          <c:spPr>
            <a:solidFill>
              <a:schemeClr val="accent5"/>
            </a:solidFill>
            <a:ln>
              <a:noFill/>
            </a:ln>
            <a:effectLst/>
          </c:spPr>
          <c:cat>
            <c:numRef>
              <c:f>'Cost Curve'!$A$42:$A$93</c:f>
              <c:numCache>
                <c:formatCode>0</c:formatCode>
                <c:ptCount val="52"/>
                <c:pt idx="0">
                  <c:v>0</c:v>
                </c:pt>
                <c:pt idx="1">
                  <c:v>0</c:v>
                </c:pt>
                <c:pt idx="2">
                  <c:v>841.94816517520167</c:v>
                </c:pt>
                <c:pt idx="3">
                  <c:v>841.94816517520167</c:v>
                </c:pt>
                <c:pt idx="4">
                  <c:v>2458.0887724705981</c:v>
                </c:pt>
                <c:pt idx="5">
                  <c:v>2458.0887724705981</c:v>
                </c:pt>
                <c:pt idx="6">
                  <c:v>2777.6143954020863</c:v>
                </c:pt>
                <c:pt idx="7">
                  <c:v>2777.6143954020863</c:v>
                </c:pt>
                <c:pt idx="8">
                  <c:v>2992.3593100026201</c:v>
                </c:pt>
                <c:pt idx="9">
                  <c:v>2992.3593100026201</c:v>
                </c:pt>
                <c:pt idx="10">
                  <c:v>22025.052991106826</c:v>
                </c:pt>
                <c:pt idx="11">
                  <c:v>22025.052991106826</c:v>
                </c:pt>
                <c:pt idx="12">
                  <c:v>24616.061460718091</c:v>
                </c:pt>
                <c:pt idx="13">
                  <c:v>24616.061460718091</c:v>
                </c:pt>
                <c:pt idx="14">
                  <c:v>24878.938856177363</c:v>
                </c:pt>
                <c:pt idx="15">
                  <c:v>24878.938856177363</c:v>
                </c:pt>
                <c:pt idx="16">
                  <c:v>24982.979064802796</c:v>
                </c:pt>
                <c:pt idx="17">
                  <c:v>24982.979064802796</c:v>
                </c:pt>
                <c:pt idx="18">
                  <c:v>25432.832635905637</c:v>
                </c:pt>
                <c:pt idx="19">
                  <c:v>25432.832635905637</c:v>
                </c:pt>
                <c:pt idx="20">
                  <c:v>25727.921768554996</c:v>
                </c:pt>
                <c:pt idx="21">
                  <c:v>25727.921768554996</c:v>
                </c:pt>
                <c:pt idx="22">
                  <c:v>27091.181726415627</c:v>
                </c:pt>
                <c:pt idx="23">
                  <c:v>27091.181726415627</c:v>
                </c:pt>
                <c:pt idx="24">
                  <c:v>28178.235294117647</c:v>
                </c:pt>
                <c:pt idx="25">
                  <c:v>28178.235294117647</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numCache>
            </c:numRef>
          </c:cat>
          <c:val>
            <c:numRef>
              <c:f>'Cost Curve'!$F$42:$F$93</c:f>
              <c:numCache>
                <c:formatCode>General</c:formatCode>
                <c:ptCount val="52"/>
                <c:pt idx="9" formatCode="0.00">
                  <c:v>-65.332426384712818</c:v>
                </c:pt>
                <c:pt idx="10" formatCode="0.00">
                  <c:v>-65.332426384712818</c:v>
                </c:pt>
              </c:numCache>
            </c:numRef>
          </c:val>
          <c:extLst>
            <c:ext xmlns:c16="http://schemas.microsoft.com/office/drawing/2014/chart" uri="{C3380CC4-5D6E-409C-BE32-E72D297353CC}">
              <c16:uniqueId val="{00000004-492B-49FD-90E0-AB2E19DD36BE}"/>
            </c:ext>
          </c:extLst>
        </c:ser>
        <c:ser>
          <c:idx val="5"/>
          <c:order val="5"/>
          <c:tx>
            <c:strRef>
              <c:f>'Cost Curve'!$G$41</c:f>
              <c:strCache>
                <c:ptCount val="1"/>
                <c:pt idx="0">
                  <c:v>Methane Capture and Destruction</c:v>
                </c:pt>
              </c:strCache>
            </c:strRef>
          </c:tx>
          <c:spPr>
            <a:solidFill>
              <a:schemeClr val="accent6"/>
            </a:solidFill>
            <a:ln>
              <a:noFill/>
            </a:ln>
            <a:effectLst/>
          </c:spPr>
          <c:cat>
            <c:numRef>
              <c:f>'Cost Curve'!$A$42:$A$93</c:f>
              <c:numCache>
                <c:formatCode>0</c:formatCode>
                <c:ptCount val="52"/>
                <c:pt idx="0">
                  <c:v>0</c:v>
                </c:pt>
                <c:pt idx="1">
                  <c:v>0</c:v>
                </c:pt>
                <c:pt idx="2">
                  <c:v>841.94816517520167</c:v>
                </c:pt>
                <c:pt idx="3">
                  <c:v>841.94816517520167</c:v>
                </c:pt>
                <c:pt idx="4">
                  <c:v>2458.0887724705981</c:v>
                </c:pt>
                <c:pt idx="5">
                  <c:v>2458.0887724705981</c:v>
                </c:pt>
                <c:pt idx="6">
                  <c:v>2777.6143954020863</c:v>
                </c:pt>
                <c:pt idx="7">
                  <c:v>2777.6143954020863</c:v>
                </c:pt>
                <c:pt idx="8">
                  <c:v>2992.3593100026201</c:v>
                </c:pt>
                <c:pt idx="9">
                  <c:v>2992.3593100026201</c:v>
                </c:pt>
                <c:pt idx="10">
                  <c:v>22025.052991106826</c:v>
                </c:pt>
                <c:pt idx="11">
                  <c:v>22025.052991106826</c:v>
                </c:pt>
                <c:pt idx="12">
                  <c:v>24616.061460718091</c:v>
                </c:pt>
                <c:pt idx="13">
                  <c:v>24616.061460718091</c:v>
                </c:pt>
                <c:pt idx="14">
                  <c:v>24878.938856177363</c:v>
                </c:pt>
                <c:pt idx="15">
                  <c:v>24878.938856177363</c:v>
                </c:pt>
                <c:pt idx="16">
                  <c:v>24982.979064802796</c:v>
                </c:pt>
                <c:pt idx="17">
                  <c:v>24982.979064802796</c:v>
                </c:pt>
                <c:pt idx="18">
                  <c:v>25432.832635905637</c:v>
                </c:pt>
                <c:pt idx="19">
                  <c:v>25432.832635905637</c:v>
                </c:pt>
                <c:pt idx="20">
                  <c:v>25727.921768554996</c:v>
                </c:pt>
                <c:pt idx="21">
                  <c:v>25727.921768554996</c:v>
                </c:pt>
                <c:pt idx="22">
                  <c:v>27091.181726415627</c:v>
                </c:pt>
                <c:pt idx="23">
                  <c:v>27091.181726415627</c:v>
                </c:pt>
                <c:pt idx="24">
                  <c:v>28178.235294117647</c:v>
                </c:pt>
                <c:pt idx="25">
                  <c:v>28178.235294117647</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numCache>
            </c:numRef>
          </c:cat>
          <c:val>
            <c:numRef>
              <c:f>'Cost Curve'!$G$42:$G$93</c:f>
              <c:numCache>
                <c:formatCode>General</c:formatCode>
                <c:ptCount val="52"/>
                <c:pt idx="11" formatCode="0.00">
                  <c:v>-3.1432230896106264</c:v>
                </c:pt>
                <c:pt idx="12" formatCode="0.00">
                  <c:v>-3.1432230896106264</c:v>
                </c:pt>
              </c:numCache>
            </c:numRef>
          </c:val>
          <c:extLst>
            <c:ext xmlns:c16="http://schemas.microsoft.com/office/drawing/2014/chart" uri="{C3380CC4-5D6E-409C-BE32-E72D297353CC}">
              <c16:uniqueId val="{00000005-492B-49FD-90E0-AB2E19DD36BE}"/>
            </c:ext>
          </c:extLst>
        </c:ser>
        <c:ser>
          <c:idx val="6"/>
          <c:order val="6"/>
          <c:tx>
            <c:strRef>
              <c:f>'Cost Curve'!$H$41</c:f>
              <c:strCache>
                <c:ptCount val="1"/>
                <c:pt idx="0">
                  <c:v>Low Carbon Fuel Standard</c:v>
                </c:pt>
              </c:strCache>
            </c:strRef>
          </c:tx>
          <c:spPr>
            <a:solidFill>
              <a:schemeClr val="accent1">
                <a:lumMod val="60000"/>
              </a:schemeClr>
            </a:solidFill>
            <a:ln>
              <a:noFill/>
            </a:ln>
            <a:effectLst/>
          </c:spPr>
          <c:cat>
            <c:numRef>
              <c:f>'Cost Curve'!$A$42:$A$93</c:f>
              <c:numCache>
                <c:formatCode>0</c:formatCode>
                <c:ptCount val="52"/>
                <c:pt idx="0">
                  <c:v>0</c:v>
                </c:pt>
                <c:pt idx="1">
                  <c:v>0</c:v>
                </c:pt>
                <c:pt idx="2">
                  <c:v>841.94816517520167</c:v>
                </c:pt>
                <c:pt idx="3">
                  <c:v>841.94816517520167</c:v>
                </c:pt>
                <c:pt idx="4">
                  <c:v>2458.0887724705981</c:v>
                </c:pt>
                <c:pt idx="5">
                  <c:v>2458.0887724705981</c:v>
                </c:pt>
                <c:pt idx="6">
                  <c:v>2777.6143954020863</c:v>
                </c:pt>
                <c:pt idx="7">
                  <c:v>2777.6143954020863</c:v>
                </c:pt>
                <c:pt idx="8">
                  <c:v>2992.3593100026201</c:v>
                </c:pt>
                <c:pt idx="9">
                  <c:v>2992.3593100026201</c:v>
                </c:pt>
                <c:pt idx="10">
                  <c:v>22025.052991106826</c:v>
                </c:pt>
                <c:pt idx="11">
                  <c:v>22025.052991106826</c:v>
                </c:pt>
                <c:pt idx="12">
                  <c:v>24616.061460718091</c:v>
                </c:pt>
                <c:pt idx="13">
                  <c:v>24616.061460718091</c:v>
                </c:pt>
                <c:pt idx="14">
                  <c:v>24878.938856177363</c:v>
                </c:pt>
                <c:pt idx="15">
                  <c:v>24878.938856177363</c:v>
                </c:pt>
                <c:pt idx="16">
                  <c:v>24982.979064802796</c:v>
                </c:pt>
                <c:pt idx="17">
                  <c:v>24982.979064802796</c:v>
                </c:pt>
                <c:pt idx="18">
                  <c:v>25432.832635905637</c:v>
                </c:pt>
                <c:pt idx="19">
                  <c:v>25432.832635905637</c:v>
                </c:pt>
                <c:pt idx="20">
                  <c:v>25727.921768554996</c:v>
                </c:pt>
                <c:pt idx="21">
                  <c:v>25727.921768554996</c:v>
                </c:pt>
                <c:pt idx="22">
                  <c:v>27091.181726415627</c:v>
                </c:pt>
                <c:pt idx="23">
                  <c:v>27091.181726415627</c:v>
                </c:pt>
                <c:pt idx="24">
                  <c:v>28178.235294117647</c:v>
                </c:pt>
                <c:pt idx="25">
                  <c:v>28178.235294117647</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numCache>
            </c:numRef>
          </c:cat>
          <c:val>
            <c:numRef>
              <c:f>'Cost Curve'!$H$42:$H$93</c:f>
              <c:numCache>
                <c:formatCode>General</c:formatCode>
                <c:ptCount val="52"/>
                <c:pt idx="13" formatCode="0.00">
                  <c:v>4.4753585076414719</c:v>
                </c:pt>
                <c:pt idx="14" formatCode="0.00">
                  <c:v>4.4753585076414719</c:v>
                </c:pt>
              </c:numCache>
            </c:numRef>
          </c:val>
          <c:extLst>
            <c:ext xmlns:c16="http://schemas.microsoft.com/office/drawing/2014/chart" uri="{C3380CC4-5D6E-409C-BE32-E72D297353CC}">
              <c16:uniqueId val="{00000006-492B-49FD-90E0-AB2E19DD36BE}"/>
            </c:ext>
          </c:extLst>
        </c:ser>
        <c:ser>
          <c:idx val="7"/>
          <c:order val="7"/>
          <c:tx>
            <c:strRef>
              <c:f>'Cost Curve'!$I$41</c:f>
              <c:strCache>
                <c:ptCount val="1"/>
                <c:pt idx="0">
                  <c:v>Worker Training</c:v>
                </c:pt>
              </c:strCache>
            </c:strRef>
          </c:tx>
          <c:spPr>
            <a:solidFill>
              <a:schemeClr val="accent2">
                <a:lumMod val="60000"/>
              </a:schemeClr>
            </a:solidFill>
            <a:ln>
              <a:noFill/>
            </a:ln>
            <a:effectLst/>
          </c:spPr>
          <c:cat>
            <c:numRef>
              <c:f>'Cost Curve'!$A$42:$A$93</c:f>
              <c:numCache>
                <c:formatCode>0</c:formatCode>
                <c:ptCount val="52"/>
                <c:pt idx="0">
                  <c:v>0</c:v>
                </c:pt>
                <c:pt idx="1">
                  <c:v>0</c:v>
                </c:pt>
                <c:pt idx="2">
                  <c:v>841.94816517520167</c:v>
                </c:pt>
                <c:pt idx="3">
                  <c:v>841.94816517520167</c:v>
                </c:pt>
                <c:pt idx="4">
                  <c:v>2458.0887724705981</c:v>
                </c:pt>
                <c:pt idx="5">
                  <c:v>2458.0887724705981</c:v>
                </c:pt>
                <c:pt idx="6">
                  <c:v>2777.6143954020863</c:v>
                </c:pt>
                <c:pt idx="7">
                  <c:v>2777.6143954020863</c:v>
                </c:pt>
                <c:pt idx="8">
                  <c:v>2992.3593100026201</c:v>
                </c:pt>
                <c:pt idx="9">
                  <c:v>2992.3593100026201</c:v>
                </c:pt>
                <c:pt idx="10">
                  <c:v>22025.052991106826</c:v>
                </c:pt>
                <c:pt idx="11">
                  <c:v>22025.052991106826</c:v>
                </c:pt>
                <c:pt idx="12">
                  <c:v>24616.061460718091</c:v>
                </c:pt>
                <c:pt idx="13">
                  <c:v>24616.061460718091</c:v>
                </c:pt>
                <c:pt idx="14">
                  <c:v>24878.938856177363</c:v>
                </c:pt>
                <c:pt idx="15">
                  <c:v>24878.938856177363</c:v>
                </c:pt>
                <c:pt idx="16">
                  <c:v>24982.979064802796</c:v>
                </c:pt>
                <c:pt idx="17">
                  <c:v>24982.979064802796</c:v>
                </c:pt>
                <c:pt idx="18">
                  <c:v>25432.832635905637</c:v>
                </c:pt>
                <c:pt idx="19">
                  <c:v>25432.832635905637</c:v>
                </c:pt>
                <c:pt idx="20">
                  <c:v>25727.921768554996</c:v>
                </c:pt>
                <c:pt idx="21">
                  <c:v>25727.921768554996</c:v>
                </c:pt>
                <c:pt idx="22">
                  <c:v>27091.181726415627</c:v>
                </c:pt>
                <c:pt idx="23">
                  <c:v>27091.181726415627</c:v>
                </c:pt>
                <c:pt idx="24">
                  <c:v>28178.235294117647</c:v>
                </c:pt>
                <c:pt idx="25">
                  <c:v>28178.235294117647</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numCache>
            </c:numRef>
          </c:cat>
          <c:val>
            <c:numRef>
              <c:f>'Cost Curve'!$I$42:$I$93</c:f>
              <c:numCache>
                <c:formatCode>General</c:formatCode>
                <c:ptCount val="52"/>
                <c:pt idx="15" formatCode="0.00">
                  <c:v>4.8341038826756586</c:v>
                </c:pt>
                <c:pt idx="16" formatCode="0.00">
                  <c:v>4.8341038826756586</c:v>
                </c:pt>
              </c:numCache>
            </c:numRef>
          </c:val>
          <c:extLst>
            <c:ext xmlns:c16="http://schemas.microsoft.com/office/drawing/2014/chart" uri="{C3380CC4-5D6E-409C-BE32-E72D297353CC}">
              <c16:uniqueId val="{00000007-492B-49FD-90E0-AB2E19DD36BE}"/>
            </c:ext>
          </c:extLst>
        </c:ser>
        <c:ser>
          <c:idx val="8"/>
          <c:order val="8"/>
          <c:tx>
            <c:strRef>
              <c:f>'Cost Curve'!$J$41</c:f>
              <c:strCache>
                <c:ptCount val="1"/>
                <c:pt idx="0">
                  <c:v>Reduce F-gases</c:v>
                </c:pt>
              </c:strCache>
            </c:strRef>
          </c:tx>
          <c:spPr>
            <a:solidFill>
              <a:schemeClr val="accent3">
                <a:lumMod val="60000"/>
              </a:schemeClr>
            </a:solidFill>
            <a:ln>
              <a:noFill/>
            </a:ln>
            <a:effectLst/>
          </c:spPr>
          <c:cat>
            <c:numRef>
              <c:f>'Cost Curve'!$A$42:$A$93</c:f>
              <c:numCache>
                <c:formatCode>0</c:formatCode>
                <c:ptCount val="52"/>
                <c:pt idx="0">
                  <c:v>0</c:v>
                </c:pt>
                <c:pt idx="1">
                  <c:v>0</c:v>
                </c:pt>
                <c:pt idx="2">
                  <c:v>841.94816517520167</c:v>
                </c:pt>
                <c:pt idx="3">
                  <c:v>841.94816517520167</c:v>
                </c:pt>
                <c:pt idx="4">
                  <c:v>2458.0887724705981</c:v>
                </c:pt>
                <c:pt idx="5">
                  <c:v>2458.0887724705981</c:v>
                </c:pt>
                <c:pt idx="6">
                  <c:v>2777.6143954020863</c:v>
                </c:pt>
                <c:pt idx="7">
                  <c:v>2777.6143954020863</c:v>
                </c:pt>
                <c:pt idx="8">
                  <c:v>2992.3593100026201</c:v>
                </c:pt>
                <c:pt idx="9">
                  <c:v>2992.3593100026201</c:v>
                </c:pt>
                <c:pt idx="10">
                  <c:v>22025.052991106826</c:v>
                </c:pt>
                <c:pt idx="11">
                  <c:v>22025.052991106826</c:v>
                </c:pt>
                <c:pt idx="12">
                  <c:v>24616.061460718091</c:v>
                </c:pt>
                <c:pt idx="13">
                  <c:v>24616.061460718091</c:v>
                </c:pt>
                <c:pt idx="14">
                  <c:v>24878.938856177363</c:v>
                </c:pt>
                <c:pt idx="15">
                  <c:v>24878.938856177363</c:v>
                </c:pt>
                <c:pt idx="16">
                  <c:v>24982.979064802796</c:v>
                </c:pt>
                <c:pt idx="17">
                  <c:v>24982.979064802796</c:v>
                </c:pt>
                <c:pt idx="18">
                  <c:v>25432.832635905637</c:v>
                </c:pt>
                <c:pt idx="19">
                  <c:v>25432.832635905637</c:v>
                </c:pt>
                <c:pt idx="20">
                  <c:v>25727.921768554996</c:v>
                </c:pt>
                <c:pt idx="21">
                  <c:v>25727.921768554996</c:v>
                </c:pt>
                <c:pt idx="22">
                  <c:v>27091.181726415627</c:v>
                </c:pt>
                <c:pt idx="23">
                  <c:v>27091.181726415627</c:v>
                </c:pt>
                <c:pt idx="24">
                  <c:v>28178.235294117647</c:v>
                </c:pt>
                <c:pt idx="25">
                  <c:v>28178.235294117647</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numCache>
            </c:numRef>
          </c:cat>
          <c:val>
            <c:numRef>
              <c:f>'Cost Curve'!$J$42:$J$93</c:f>
              <c:numCache>
                <c:formatCode>General</c:formatCode>
                <c:ptCount val="52"/>
                <c:pt idx="17" formatCode="0.00">
                  <c:v>11.199722793721785</c:v>
                </c:pt>
                <c:pt idx="18" formatCode="0.00">
                  <c:v>11.199722793721785</c:v>
                </c:pt>
              </c:numCache>
            </c:numRef>
          </c:val>
          <c:extLst>
            <c:ext xmlns:c16="http://schemas.microsoft.com/office/drawing/2014/chart" uri="{C3380CC4-5D6E-409C-BE32-E72D297353CC}">
              <c16:uniqueId val="{00000008-492B-49FD-90E0-AB2E19DD36BE}"/>
            </c:ext>
          </c:extLst>
        </c:ser>
        <c:ser>
          <c:idx val="9"/>
          <c:order val="9"/>
          <c:tx>
            <c:strRef>
              <c:f>'Cost Curve'!$K$41</c:f>
              <c:strCache>
                <c:ptCount val="1"/>
                <c:pt idx="0">
                  <c:v>EV Sales Mandate</c:v>
                </c:pt>
              </c:strCache>
            </c:strRef>
          </c:tx>
          <c:spPr>
            <a:solidFill>
              <a:schemeClr val="accent4">
                <a:lumMod val="60000"/>
              </a:schemeClr>
            </a:solidFill>
            <a:ln>
              <a:noFill/>
            </a:ln>
            <a:effectLst/>
          </c:spPr>
          <c:cat>
            <c:numRef>
              <c:f>'Cost Curve'!$A$42:$A$93</c:f>
              <c:numCache>
                <c:formatCode>0</c:formatCode>
                <c:ptCount val="52"/>
                <c:pt idx="0">
                  <c:v>0</c:v>
                </c:pt>
                <c:pt idx="1">
                  <c:v>0</c:v>
                </c:pt>
                <c:pt idx="2">
                  <c:v>841.94816517520167</c:v>
                </c:pt>
                <c:pt idx="3">
                  <c:v>841.94816517520167</c:v>
                </c:pt>
                <c:pt idx="4">
                  <c:v>2458.0887724705981</c:v>
                </c:pt>
                <c:pt idx="5">
                  <c:v>2458.0887724705981</c:v>
                </c:pt>
                <c:pt idx="6">
                  <c:v>2777.6143954020863</c:v>
                </c:pt>
                <c:pt idx="7">
                  <c:v>2777.6143954020863</c:v>
                </c:pt>
                <c:pt idx="8">
                  <c:v>2992.3593100026201</c:v>
                </c:pt>
                <c:pt idx="9">
                  <c:v>2992.3593100026201</c:v>
                </c:pt>
                <c:pt idx="10">
                  <c:v>22025.052991106826</c:v>
                </c:pt>
                <c:pt idx="11">
                  <c:v>22025.052991106826</c:v>
                </c:pt>
                <c:pt idx="12">
                  <c:v>24616.061460718091</c:v>
                </c:pt>
                <c:pt idx="13">
                  <c:v>24616.061460718091</c:v>
                </c:pt>
                <c:pt idx="14">
                  <c:v>24878.938856177363</c:v>
                </c:pt>
                <c:pt idx="15">
                  <c:v>24878.938856177363</c:v>
                </c:pt>
                <c:pt idx="16">
                  <c:v>24982.979064802796</c:v>
                </c:pt>
                <c:pt idx="17">
                  <c:v>24982.979064802796</c:v>
                </c:pt>
                <c:pt idx="18">
                  <c:v>25432.832635905637</c:v>
                </c:pt>
                <c:pt idx="19">
                  <c:v>25432.832635905637</c:v>
                </c:pt>
                <c:pt idx="20">
                  <c:v>25727.921768554996</c:v>
                </c:pt>
                <c:pt idx="21">
                  <c:v>25727.921768554996</c:v>
                </c:pt>
                <c:pt idx="22">
                  <c:v>27091.181726415627</c:v>
                </c:pt>
                <c:pt idx="23">
                  <c:v>27091.181726415627</c:v>
                </c:pt>
                <c:pt idx="24">
                  <c:v>28178.235294117647</c:v>
                </c:pt>
                <c:pt idx="25">
                  <c:v>28178.235294117647</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numCache>
            </c:numRef>
          </c:cat>
          <c:val>
            <c:numRef>
              <c:f>'Cost Curve'!$K$42:$K$93</c:f>
              <c:numCache>
                <c:formatCode>General</c:formatCode>
                <c:ptCount val="52"/>
                <c:pt idx="19" formatCode="0.00">
                  <c:v>139.36965492085503</c:v>
                </c:pt>
                <c:pt idx="20" formatCode="0.00">
                  <c:v>139.36965492085503</c:v>
                </c:pt>
              </c:numCache>
            </c:numRef>
          </c:val>
          <c:extLst>
            <c:ext xmlns:c16="http://schemas.microsoft.com/office/drawing/2014/chart" uri="{C3380CC4-5D6E-409C-BE32-E72D297353CC}">
              <c16:uniqueId val="{00000009-492B-49FD-90E0-AB2E19DD36BE}"/>
            </c:ext>
          </c:extLst>
        </c:ser>
        <c:ser>
          <c:idx val="10"/>
          <c:order val="10"/>
          <c:tx>
            <c:strRef>
              <c:f>'Cost Curve'!$L$41</c:f>
              <c:strCache>
                <c:ptCount val="1"/>
                <c:pt idx="0">
                  <c:v>Industrial Electrification</c:v>
                </c:pt>
              </c:strCache>
            </c:strRef>
          </c:tx>
          <c:spPr>
            <a:solidFill>
              <a:schemeClr val="accent5">
                <a:lumMod val="60000"/>
              </a:schemeClr>
            </a:solidFill>
            <a:ln>
              <a:noFill/>
            </a:ln>
            <a:effectLst/>
          </c:spPr>
          <c:cat>
            <c:numRef>
              <c:f>'Cost Curve'!$A$42:$A$93</c:f>
              <c:numCache>
                <c:formatCode>0</c:formatCode>
                <c:ptCount val="52"/>
                <c:pt idx="0">
                  <c:v>0</c:v>
                </c:pt>
                <c:pt idx="1">
                  <c:v>0</c:v>
                </c:pt>
                <c:pt idx="2">
                  <c:v>841.94816517520167</c:v>
                </c:pt>
                <c:pt idx="3">
                  <c:v>841.94816517520167</c:v>
                </c:pt>
                <c:pt idx="4">
                  <c:v>2458.0887724705981</c:v>
                </c:pt>
                <c:pt idx="5">
                  <c:v>2458.0887724705981</c:v>
                </c:pt>
                <c:pt idx="6">
                  <c:v>2777.6143954020863</c:v>
                </c:pt>
                <c:pt idx="7">
                  <c:v>2777.6143954020863</c:v>
                </c:pt>
                <c:pt idx="8">
                  <c:v>2992.3593100026201</c:v>
                </c:pt>
                <c:pt idx="9">
                  <c:v>2992.3593100026201</c:v>
                </c:pt>
                <c:pt idx="10">
                  <c:v>22025.052991106826</c:v>
                </c:pt>
                <c:pt idx="11">
                  <c:v>22025.052991106826</c:v>
                </c:pt>
                <c:pt idx="12">
                  <c:v>24616.061460718091</c:v>
                </c:pt>
                <c:pt idx="13">
                  <c:v>24616.061460718091</c:v>
                </c:pt>
                <c:pt idx="14">
                  <c:v>24878.938856177363</c:v>
                </c:pt>
                <c:pt idx="15">
                  <c:v>24878.938856177363</c:v>
                </c:pt>
                <c:pt idx="16">
                  <c:v>24982.979064802796</c:v>
                </c:pt>
                <c:pt idx="17">
                  <c:v>24982.979064802796</c:v>
                </c:pt>
                <c:pt idx="18">
                  <c:v>25432.832635905637</c:v>
                </c:pt>
                <c:pt idx="19">
                  <c:v>25432.832635905637</c:v>
                </c:pt>
                <c:pt idx="20">
                  <c:v>25727.921768554996</c:v>
                </c:pt>
                <c:pt idx="21">
                  <c:v>25727.921768554996</c:v>
                </c:pt>
                <c:pt idx="22">
                  <c:v>27091.181726415627</c:v>
                </c:pt>
                <c:pt idx="23">
                  <c:v>27091.181726415627</c:v>
                </c:pt>
                <c:pt idx="24">
                  <c:v>28178.235294117647</c:v>
                </c:pt>
                <c:pt idx="25">
                  <c:v>28178.235294117647</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numCache>
            </c:numRef>
          </c:cat>
          <c:val>
            <c:numRef>
              <c:f>'Cost Curve'!$L$42:$L$93</c:f>
              <c:numCache>
                <c:formatCode>General</c:formatCode>
                <c:ptCount val="52"/>
                <c:pt idx="21" formatCode="0.00">
                  <c:v>225.07251912737848</c:v>
                </c:pt>
                <c:pt idx="22" formatCode="0.00">
                  <c:v>225.07251912737848</c:v>
                </c:pt>
              </c:numCache>
            </c:numRef>
          </c:val>
          <c:extLst>
            <c:ext xmlns:c16="http://schemas.microsoft.com/office/drawing/2014/chart" uri="{C3380CC4-5D6E-409C-BE32-E72D297353CC}">
              <c16:uniqueId val="{0000000A-492B-49FD-90E0-AB2E19DD36BE}"/>
            </c:ext>
          </c:extLst>
        </c:ser>
        <c:ser>
          <c:idx val="11"/>
          <c:order val="11"/>
          <c:tx>
            <c:strRef>
              <c:f>'Cost Curve'!$M$41</c:f>
              <c:strCache>
                <c:ptCount val="1"/>
                <c:pt idx="0">
                  <c:v>Building Component Electrification</c:v>
                </c:pt>
              </c:strCache>
            </c:strRef>
          </c:tx>
          <c:spPr>
            <a:solidFill>
              <a:schemeClr val="accent6">
                <a:lumMod val="60000"/>
              </a:schemeClr>
            </a:solidFill>
            <a:ln>
              <a:noFill/>
            </a:ln>
            <a:effectLst/>
          </c:spPr>
          <c:cat>
            <c:numRef>
              <c:f>'Cost Curve'!$A$42:$A$93</c:f>
              <c:numCache>
                <c:formatCode>0</c:formatCode>
                <c:ptCount val="52"/>
                <c:pt idx="0">
                  <c:v>0</c:v>
                </c:pt>
                <c:pt idx="1">
                  <c:v>0</c:v>
                </c:pt>
                <c:pt idx="2">
                  <c:v>841.94816517520167</c:v>
                </c:pt>
                <c:pt idx="3">
                  <c:v>841.94816517520167</c:v>
                </c:pt>
                <c:pt idx="4">
                  <c:v>2458.0887724705981</c:v>
                </c:pt>
                <c:pt idx="5">
                  <c:v>2458.0887724705981</c:v>
                </c:pt>
                <c:pt idx="6">
                  <c:v>2777.6143954020863</c:v>
                </c:pt>
                <c:pt idx="7">
                  <c:v>2777.6143954020863</c:v>
                </c:pt>
                <c:pt idx="8">
                  <c:v>2992.3593100026201</c:v>
                </c:pt>
                <c:pt idx="9">
                  <c:v>2992.3593100026201</c:v>
                </c:pt>
                <c:pt idx="10">
                  <c:v>22025.052991106826</c:v>
                </c:pt>
                <c:pt idx="11">
                  <c:v>22025.052991106826</c:v>
                </c:pt>
                <c:pt idx="12">
                  <c:v>24616.061460718091</c:v>
                </c:pt>
                <c:pt idx="13">
                  <c:v>24616.061460718091</c:v>
                </c:pt>
                <c:pt idx="14">
                  <c:v>24878.938856177363</c:v>
                </c:pt>
                <c:pt idx="15">
                  <c:v>24878.938856177363</c:v>
                </c:pt>
                <c:pt idx="16">
                  <c:v>24982.979064802796</c:v>
                </c:pt>
                <c:pt idx="17">
                  <c:v>24982.979064802796</c:v>
                </c:pt>
                <c:pt idx="18">
                  <c:v>25432.832635905637</c:v>
                </c:pt>
                <c:pt idx="19">
                  <c:v>25432.832635905637</c:v>
                </c:pt>
                <c:pt idx="20">
                  <c:v>25727.921768554996</c:v>
                </c:pt>
                <c:pt idx="21">
                  <c:v>25727.921768554996</c:v>
                </c:pt>
                <c:pt idx="22">
                  <c:v>27091.181726415627</c:v>
                </c:pt>
                <c:pt idx="23">
                  <c:v>27091.181726415627</c:v>
                </c:pt>
                <c:pt idx="24">
                  <c:v>28178.235294117647</c:v>
                </c:pt>
                <c:pt idx="25">
                  <c:v>28178.235294117647</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numCache>
            </c:numRef>
          </c:cat>
          <c:val>
            <c:numRef>
              <c:f>'Cost Curve'!$M$42:$M$93</c:f>
              <c:numCache>
                <c:formatCode>General</c:formatCode>
                <c:ptCount val="52"/>
                <c:pt idx="23" formatCode="0.00">
                  <c:v>350.95137214162281</c:v>
                </c:pt>
                <c:pt idx="24" formatCode="0.00">
                  <c:v>350.95137214162281</c:v>
                </c:pt>
              </c:numCache>
            </c:numRef>
          </c:val>
          <c:extLst>
            <c:ext xmlns:c16="http://schemas.microsoft.com/office/drawing/2014/chart" uri="{C3380CC4-5D6E-409C-BE32-E72D297353CC}">
              <c16:uniqueId val="{0000000B-492B-49FD-90E0-AB2E19DD36BE}"/>
            </c:ext>
          </c:extLst>
        </c:ser>
        <c:ser>
          <c:idx val="12"/>
          <c:order val="12"/>
          <c:tx>
            <c:strRef>
              <c:f>'Cost Curve'!$N$41</c:f>
              <c:strCache>
                <c:ptCount val="1"/>
              </c:strCache>
            </c:strRef>
          </c:tx>
          <c:spPr>
            <a:solidFill>
              <a:schemeClr val="accent1">
                <a:lumMod val="80000"/>
                <a:lumOff val="20000"/>
              </a:schemeClr>
            </a:solidFill>
            <a:ln>
              <a:noFill/>
            </a:ln>
            <a:effectLst/>
          </c:spPr>
          <c:cat>
            <c:numRef>
              <c:f>'Cost Curve'!$A$42:$A$93</c:f>
              <c:numCache>
                <c:formatCode>0</c:formatCode>
                <c:ptCount val="52"/>
                <c:pt idx="0">
                  <c:v>0</c:v>
                </c:pt>
                <c:pt idx="1">
                  <c:v>0</c:v>
                </c:pt>
                <c:pt idx="2">
                  <c:v>841.94816517520167</c:v>
                </c:pt>
                <c:pt idx="3">
                  <c:v>841.94816517520167</c:v>
                </c:pt>
                <c:pt idx="4">
                  <c:v>2458.0887724705981</c:v>
                </c:pt>
                <c:pt idx="5">
                  <c:v>2458.0887724705981</c:v>
                </c:pt>
                <c:pt idx="6">
                  <c:v>2777.6143954020863</c:v>
                </c:pt>
                <c:pt idx="7">
                  <c:v>2777.6143954020863</c:v>
                </c:pt>
                <c:pt idx="8">
                  <c:v>2992.3593100026201</c:v>
                </c:pt>
                <c:pt idx="9">
                  <c:v>2992.3593100026201</c:v>
                </c:pt>
                <c:pt idx="10">
                  <c:v>22025.052991106826</c:v>
                </c:pt>
                <c:pt idx="11">
                  <c:v>22025.052991106826</c:v>
                </c:pt>
                <c:pt idx="12">
                  <c:v>24616.061460718091</c:v>
                </c:pt>
                <c:pt idx="13">
                  <c:v>24616.061460718091</c:v>
                </c:pt>
                <c:pt idx="14">
                  <c:v>24878.938856177363</c:v>
                </c:pt>
                <c:pt idx="15">
                  <c:v>24878.938856177363</c:v>
                </c:pt>
                <c:pt idx="16">
                  <c:v>24982.979064802796</c:v>
                </c:pt>
                <c:pt idx="17">
                  <c:v>24982.979064802796</c:v>
                </c:pt>
                <c:pt idx="18">
                  <c:v>25432.832635905637</c:v>
                </c:pt>
                <c:pt idx="19">
                  <c:v>25432.832635905637</c:v>
                </c:pt>
                <c:pt idx="20">
                  <c:v>25727.921768554996</c:v>
                </c:pt>
                <c:pt idx="21">
                  <c:v>25727.921768554996</c:v>
                </c:pt>
                <c:pt idx="22">
                  <c:v>27091.181726415627</c:v>
                </c:pt>
                <c:pt idx="23">
                  <c:v>27091.181726415627</c:v>
                </c:pt>
                <c:pt idx="24">
                  <c:v>28178.235294117647</c:v>
                </c:pt>
                <c:pt idx="25">
                  <c:v>28178.235294117647</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numCache>
            </c:numRef>
          </c:cat>
          <c:val>
            <c:numRef>
              <c:f>'Cost Curve'!$N$42:$N$93</c:f>
              <c:numCache>
                <c:formatCode>General</c:formatCode>
                <c:ptCount val="52"/>
                <c:pt idx="25" formatCode="0.00">
                  <c:v>#N/A</c:v>
                </c:pt>
                <c:pt idx="26" formatCode="0.00">
                  <c:v>#N/A</c:v>
                </c:pt>
              </c:numCache>
            </c:numRef>
          </c:val>
          <c:extLst>
            <c:ext xmlns:c16="http://schemas.microsoft.com/office/drawing/2014/chart" uri="{C3380CC4-5D6E-409C-BE32-E72D297353CC}">
              <c16:uniqueId val="{0000000C-492B-49FD-90E0-AB2E19DD36BE}"/>
            </c:ext>
          </c:extLst>
        </c:ser>
        <c:ser>
          <c:idx val="13"/>
          <c:order val="13"/>
          <c:tx>
            <c:strRef>
              <c:f>'Cost Curve'!$O$41</c:f>
              <c:strCache>
                <c:ptCount val="1"/>
              </c:strCache>
            </c:strRef>
          </c:tx>
          <c:spPr>
            <a:solidFill>
              <a:schemeClr val="accent2">
                <a:lumMod val="80000"/>
                <a:lumOff val="20000"/>
              </a:schemeClr>
            </a:solidFill>
            <a:ln>
              <a:noFill/>
            </a:ln>
            <a:effectLst/>
          </c:spPr>
          <c:cat>
            <c:numRef>
              <c:f>'Cost Curve'!$A$42:$A$93</c:f>
              <c:numCache>
                <c:formatCode>0</c:formatCode>
                <c:ptCount val="52"/>
                <c:pt idx="0">
                  <c:v>0</c:v>
                </c:pt>
                <c:pt idx="1">
                  <c:v>0</c:v>
                </c:pt>
                <c:pt idx="2">
                  <c:v>841.94816517520167</c:v>
                </c:pt>
                <c:pt idx="3">
                  <c:v>841.94816517520167</c:v>
                </c:pt>
                <c:pt idx="4">
                  <c:v>2458.0887724705981</c:v>
                </c:pt>
                <c:pt idx="5">
                  <c:v>2458.0887724705981</c:v>
                </c:pt>
                <c:pt idx="6">
                  <c:v>2777.6143954020863</c:v>
                </c:pt>
                <c:pt idx="7">
                  <c:v>2777.6143954020863</c:v>
                </c:pt>
                <c:pt idx="8">
                  <c:v>2992.3593100026201</c:v>
                </c:pt>
                <c:pt idx="9">
                  <c:v>2992.3593100026201</c:v>
                </c:pt>
                <c:pt idx="10">
                  <c:v>22025.052991106826</c:v>
                </c:pt>
                <c:pt idx="11">
                  <c:v>22025.052991106826</c:v>
                </c:pt>
                <c:pt idx="12">
                  <c:v>24616.061460718091</c:v>
                </c:pt>
                <c:pt idx="13">
                  <c:v>24616.061460718091</c:v>
                </c:pt>
                <c:pt idx="14">
                  <c:v>24878.938856177363</c:v>
                </c:pt>
                <c:pt idx="15">
                  <c:v>24878.938856177363</c:v>
                </c:pt>
                <c:pt idx="16">
                  <c:v>24982.979064802796</c:v>
                </c:pt>
                <c:pt idx="17">
                  <c:v>24982.979064802796</c:v>
                </c:pt>
                <c:pt idx="18">
                  <c:v>25432.832635905637</c:v>
                </c:pt>
                <c:pt idx="19">
                  <c:v>25432.832635905637</c:v>
                </c:pt>
                <c:pt idx="20">
                  <c:v>25727.921768554996</c:v>
                </c:pt>
                <c:pt idx="21">
                  <c:v>25727.921768554996</c:v>
                </c:pt>
                <c:pt idx="22">
                  <c:v>27091.181726415627</c:v>
                </c:pt>
                <c:pt idx="23">
                  <c:v>27091.181726415627</c:v>
                </c:pt>
                <c:pt idx="24">
                  <c:v>28178.235294117647</c:v>
                </c:pt>
                <c:pt idx="25">
                  <c:v>28178.235294117647</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numCache>
            </c:numRef>
          </c:cat>
          <c:val>
            <c:numRef>
              <c:f>'Cost Curve'!$O$42:$O$93</c:f>
              <c:numCache>
                <c:formatCode>General</c:formatCode>
                <c:ptCount val="52"/>
                <c:pt idx="27" formatCode="0.00">
                  <c:v>#N/A</c:v>
                </c:pt>
                <c:pt idx="28" formatCode="0.00">
                  <c:v>#N/A</c:v>
                </c:pt>
              </c:numCache>
            </c:numRef>
          </c:val>
          <c:extLst>
            <c:ext xmlns:c16="http://schemas.microsoft.com/office/drawing/2014/chart" uri="{C3380CC4-5D6E-409C-BE32-E72D297353CC}">
              <c16:uniqueId val="{0000000D-492B-49FD-90E0-AB2E19DD36BE}"/>
            </c:ext>
          </c:extLst>
        </c:ser>
        <c:ser>
          <c:idx val="14"/>
          <c:order val="14"/>
          <c:tx>
            <c:strRef>
              <c:f>'Cost Curve'!$P$41</c:f>
              <c:strCache>
                <c:ptCount val="1"/>
              </c:strCache>
            </c:strRef>
          </c:tx>
          <c:spPr>
            <a:solidFill>
              <a:schemeClr val="accent3">
                <a:lumMod val="80000"/>
                <a:lumOff val="20000"/>
              </a:schemeClr>
            </a:solidFill>
            <a:ln>
              <a:noFill/>
            </a:ln>
            <a:effectLst/>
          </c:spPr>
          <c:cat>
            <c:numRef>
              <c:f>'Cost Curve'!$A$42:$A$93</c:f>
              <c:numCache>
                <c:formatCode>0</c:formatCode>
                <c:ptCount val="52"/>
                <c:pt idx="0">
                  <c:v>0</c:v>
                </c:pt>
                <c:pt idx="1">
                  <c:v>0</c:v>
                </c:pt>
                <c:pt idx="2">
                  <c:v>841.94816517520167</c:v>
                </c:pt>
                <c:pt idx="3">
                  <c:v>841.94816517520167</c:v>
                </c:pt>
                <c:pt idx="4">
                  <c:v>2458.0887724705981</c:v>
                </c:pt>
                <c:pt idx="5">
                  <c:v>2458.0887724705981</c:v>
                </c:pt>
                <c:pt idx="6">
                  <c:v>2777.6143954020863</c:v>
                </c:pt>
                <c:pt idx="7">
                  <c:v>2777.6143954020863</c:v>
                </c:pt>
                <c:pt idx="8">
                  <c:v>2992.3593100026201</c:v>
                </c:pt>
                <c:pt idx="9">
                  <c:v>2992.3593100026201</c:v>
                </c:pt>
                <c:pt idx="10">
                  <c:v>22025.052991106826</c:v>
                </c:pt>
                <c:pt idx="11">
                  <c:v>22025.052991106826</c:v>
                </c:pt>
                <c:pt idx="12">
                  <c:v>24616.061460718091</c:v>
                </c:pt>
                <c:pt idx="13">
                  <c:v>24616.061460718091</c:v>
                </c:pt>
                <c:pt idx="14">
                  <c:v>24878.938856177363</c:v>
                </c:pt>
                <c:pt idx="15">
                  <c:v>24878.938856177363</c:v>
                </c:pt>
                <c:pt idx="16">
                  <c:v>24982.979064802796</c:v>
                </c:pt>
                <c:pt idx="17">
                  <c:v>24982.979064802796</c:v>
                </c:pt>
                <c:pt idx="18">
                  <c:v>25432.832635905637</c:v>
                </c:pt>
                <c:pt idx="19">
                  <c:v>25432.832635905637</c:v>
                </c:pt>
                <c:pt idx="20">
                  <c:v>25727.921768554996</c:v>
                </c:pt>
                <c:pt idx="21">
                  <c:v>25727.921768554996</c:v>
                </c:pt>
                <c:pt idx="22">
                  <c:v>27091.181726415627</c:v>
                </c:pt>
                <c:pt idx="23">
                  <c:v>27091.181726415627</c:v>
                </c:pt>
                <c:pt idx="24">
                  <c:v>28178.235294117647</c:v>
                </c:pt>
                <c:pt idx="25">
                  <c:v>28178.235294117647</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numCache>
            </c:numRef>
          </c:cat>
          <c:val>
            <c:numRef>
              <c:f>'Cost Curve'!$P$42:$P$93</c:f>
              <c:numCache>
                <c:formatCode>General</c:formatCode>
                <c:ptCount val="52"/>
                <c:pt idx="29" formatCode="0.00">
                  <c:v>#N/A</c:v>
                </c:pt>
                <c:pt idx="30" formatCode="0.00">
                  <c:v>#N/A</c:v>
                </c:pt>
              </c:numCache>
            </c:numRef>
          </c:val>
          <c:extLst>
            <c:ext xmlns:c16="http://schemas.microsoft.com/office/drawing/2014/chart" uri="{C3380CC4-5D6E-409C-BE32-E72D297353CC}">
              <c16:uniqueId val="{0000000E-492B-49FD-90E0-AB2E19DD36BE}"/>
            </c:ext>
          </c:extLst>
        </c:ser>
        <c:ser>
          <c:idx val="15"/>
          <c:order val="15"/>
          <c:tx>
            <c:strRef>
              <c:f>'Cost Curve'!$Q$41</c:f>
              <c:strCache>
                <c:ptCount val="1"/>
              </c:strCache>
            </c:strRef>
          </c:tx>
          <c:spPr>
            <a:solidFill>
              <a:schemeClr val="accent4">
                <a:lumMod val="80000"/>
                <a:lumOff val="20000"/>
              </a:schemeClr>
            </a:solidFill>
            <a:ln>
              <a:noFill/>
            </a:ln>
            <a:effectLst/>
          </c:spPr>
          <c:cat>
            <c:numRef>
              <c:f>'Cost Curve'!$A$42:$A$93</c:f>
              <c:numCache>
                <c:formatCode>0</c:formatCode>
                <c:ptCount val="52"/>
                <c:pt idx="0">
                  <c:v>0</c:v>
                </c:pt>
                <c:pt idx="1">
                  <c:v>0</c:v>
                </c:pt>
                <c:pt idx="2">
                  <c:v>841.94816517520167</c:v>
                </c:pt>
                <c:pt idx="3">
                  <c:v>841.94816517520167</c:v>
                </c:pt>
                <c:pt idx="4">
                  <c:v>2458.0887724705981</c:v>
                </c:pt>
                <c:pt idx="5">
                  <c:v>2458.0887724705981</c:v>
                </c:pt>
                <c:pt idx="6">
                  <c:v>2777.6143954020863</c:v>
                </c:pt>
                <c:pt idx="7">
                  <c:v>2777.6143954020863</c:v>
                </c:pt>
                <c:pt idx="8">
                  <c:v>2992.3593100026201</c:v>
                </c:pt>
                <c:pt idx="9">
                  <c:v>2992.3593100026201</c:v>
                </c:pt>
                <c:pt idx="10">
                  <c:v>22025.052991106826</c:v>
                </c:pt>
                <c:pt idx="11">
                  <c:v>22025.052991106826</c:v>
                </c:pt>
                <c:pt idx="12">
                  <c:v>24616.061460718091</c:v>
                </c:pt>
                <c:pt idx="13">
                  <c:v>24616.061460718091</c:v>
                </c:pt>
                <c:pt idx="14">
                  <c:v>24878.938856177363</c:v>
                </c:pt>
                <c:pt idx="15">
                  <c:v>24878.938856177363</c:v>
                </c:pt>
                <c:pt idx="16">
                  <c:v>24982.979064802796</c:v>
                </c:pt>
                <c:pt idx="17">
                  <c:v>24982.979064802796</c:v>
                </c:pt>
                <c:pt idx="18">
                  <c:v>25432.832635905637</c:v>
                </c:pt>
                <c:pt idx="19">
                  <c:v>25432.832635905637</c:v>
                </c:pt>
                <c:pt idx="20">
                  <c:v>25727.921768554996</c:v>
                </c:pt>
                <c:pt idx="21">
                  <c:v>25727.921768554996</c:v>
                </c:pt>
                <c:pt idx="22">
                  <c:v>27091.181726415627</c:v>
                </c:pt>
                <c:pt idx="23">
                  <c:v>27091.181726415627</c:v>
                </c:pt>
                <c:pt idx="24">
                  <c:v>28178.235294117647</c:v>
                </c:pt>
                <c:pt idx="25">
                  <c:v>28178.235294117647</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numCache>
            </c:numRef>
          </c:cat>
          <c:val>
            <c:numRef>
              <c:f>'Cost Curve'!$Q$42:$Q$93</c:f>
              <c:numCache>
                <c:formatCode>General</c:formatCode>
                <c:ptCount val="52"/>
                <c:pt idx="31" formatCode="0.00">
                  <c:v>#N/A</c:v>
                </c:pt>
                <c:pt idx="32" formatCode="0.00">
                  <c:v>#N/A</c:v>
                </c:pt>
              </c:numCache>
            </c:numRef>
          </c:val>
          <c:extLst>
            <c:ext xmlns:c16="http://schemas.microsoft.com/office/drawing/2014/chart" uri="{C3380CC4-5D6E-409C-BE32-E72D297353CC}">
              <c16:uniqueId val="{0000000F-492B-49FD-90E0-AB2E19DD36BE}"/>
            </c:ext>
          </c:extLst>
        </c:ser>
        <c:ser>
          <c:idx val="16"/>
          <c:order val="16"/>
          <c:tx>
            <c:strRef>
              <c:f>'Cost Curve'!$R$41</c:f>
              <c:strCache>
                <c:ptCount val="1"/>
              </c:strCache>
            </c:strRef>
          </c:tx>
          <c:spPr>
            <a:solidFill>
              <a:schemeClr val="accent5">
                <a:lumMod val="80000"/>
                <a:lumOff val="20000"/>
              </a:schemeClr>
            </a:solidFill>
            <a:ln>
              <a:noFill/>
            </a:ln>
            <a:effectLst/>
          </c:spPr>
          <c:cat>
            <c:numRef>
              <c:f>'Cost Curve'!$A$42:$A$93</c:f>
              <c:numCache>
                <c:formatCode>0</c:formatCode>
                <c:ptCount val="52"/>
                <c:pt idx="0">
                  <c:v>0</c:v>
                </c:pt>
                <c:pt idx="1">
                  <c:v>0</c:v>
                </c:pt>
                <c:pt idx="2">
                  <c:v>841.94816517520167</c:v>
                </c:pt>
                <c:pt idx="3">
                  <c:v>841.94816517520167</c:v>
                </c:pt>
                <c:pt idx="4">
                  <c:v>2458.0887724705981</c:v>
                </c:pt>
                <c:pt idx="5">
                  <c:v>2458.0887724705981</c:v>
                </c:pt>
                <c:pt idx="6">
                  <c:v>2777.6143954020863</c:v>
                </c:pt>
                <c:pt idx="7">
                  <c:v>2777.6143954020863</c:v>
                </c:pt>
                <c:pt idx="8">
                  <c:v>2992.3593100026201</c:v>
                </c:pt>
                <c:pt idx="9">
                  <c:v>2992.3593100026201</c:v>
                </c:pt>
                <c:pt idx="10">
                  <c:v>22025.052991106826</c:v>
                </c:pt>
                <c:pt idx="11">
                  <c:v>22025.052991106826</c:v>
                </c:pt>
                <c:pt idx="12">
                  <c:v>24616.061460718091</c:v>
                </c:pt>
                <c:pt idx="13">
                  <c:v>24616.061460718091</c:v>
                </c:pt>
                <c:pt idx="14">
                  <c:v>24878.938856177363</c:v>
                </c:pt>
                <c:pt idx="15">
                  <c:v>24878.938856177363</c:v>
                </c:pt>
                <c:pt idx="16">
                  <c:v>24982.979064802796</c:v>
                </c:pt>
                <c:pt idx="17">
                  <c:v>24982.979064802796</c:v>
                </c:pt>
                <c:pt idx="18">
                  <c:v>25432.832635905637</c:v>
                </c:pt>
                <c:pt idx="19">
                  <c:v>25432.832635905637</c:v>
                </c:pt>
                <c:pt idx="20">
                  <c:v>25727.921768554996</c:v>
                </c:pt>
                <c:pt idx="21">
                  <c:v>25727.921768554996</c:v>
                </c:pt>
                <c:pt idx="22">
                  <c:v>27091.181726415627</c:v>
                </c:pt>
                <c:pt idx="23">
                  <c:v>27091.181726415627</c:v>
                </c:pt>
                <c:pt idx="24">
                  <c:v>28178.235294117647</c:v>
                </c:pt>
                <c:pt idx="25">
                  <c:v>28178.235294117647</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numCache>
            </c:numRef>
          </c:cat>
          <c:val>
            <c:numRef>
              <c:f>'Cost Curve'!$R$42:$R$93</c:f>
              <c:numCache>
                <c:formatCode>General</c:formatCode>
                <c:ptCount val="52"/>
                <c:pt idx="33">
                  <c:v>#N/A</c:v>
                </c:pt>
                <c:pt idx="34">
                  <c:v>#N/A</c:v>
                </c:pt>
              </c:numCache>
            </c:numRef>
          </c:val>
          <c:extLst>
            <c:ext xmlns:c16="http://schemas.microsoft.com/office/drawing/2014/chart" uri="{C3380CC4-5D6E-409C-BE32-E72D297353CC}">
              <c16:uniqueId val="{00000010-492B-49FD-90E0-AB2E19DD36BE}"/>
            </c:ext>
          </c:extLst>
        </c:ser>
        <c:ser>
          <c:idx val="17"/>
          <c:order val="17"/>
          <c:tx>
            <c:strRef>
              <c:f>'Cost Curve'!$S$41</c:f>
              <c:strCache>
                <c:ptCount val="1"/>
              </c:strCache>
            </c:strRef>
          </c:tx>
          <c:spPr>
            <a:solidFill>
              <a:schemeClr val="accent6">
                <a:lumMod val="80000"/>
                <a:lumOff val="20000"/>
              </a:schemeClr>
            </a:solidFill>
            <a:ln>
              <a:noFill/>
            </a:ln>
            <a:effectLst/>
          </c:spPr>
          <c:cat>
            <c:numRef>
              <c:f>'Cost Curve'!$A$42:$A$93</c:f>
              <c:numCache>
                <c:formatCode>0</c:formatCode>
                <c:ptCount val="52"/>
                <c:pt idx="0">
                  <c:v>0</c:v>
                </c:pt>
                <c:pt idx="1">
                  <c:v>0</c:v>
                </c:pt>
                <c:pt idx="2">
                  <c:v>841.94816517520167</c:v>
                </c:pt>
                <c:pt idx="3">
                  <c:v>841.94816517520167</c:v>
                </c:pt>
                <c:pt idx="4">
                  <c:v>2458.0887724705981</c:v>
                </c:pt>
                <c:pt idx="5">
                  <c:v>2458.0887724705981</c:v>
                </c:pt>
                <c:pt idx="6">
                  <c:v>2777.6143954020863</c:v>
                </c:pt>
                <c:pt idx="7">
                  <c:v>2777.6143954020863</c:v>
                </c:pt>
                <c:pt idx="8">
                  <c:v>2992.3593100026201</c:v>
                </c:pt>
                <c:pt idx="9">
                  <c:v>2992.3593100026201</c:v>
                </c:pt>
                <c:pt idx="10">
                  <c:v>22025.052991106826</c:v>
                </c:pt>
                <c:pt idx="11">
                  <c:v>22025.052991106826</c:v>
                </c:pt>
                <c:pt idx="12">
                  <c:v>24616.061460718091</c:v>
                </c:pt>
                <c:pt idx="13">
                  <c:v>24616.061460718091</c:v>
                </c:pt>
                <c:pt idx="14">
                  <c:v>24878.938856177363</c:v>
                </c:pt>
                <c:pt idx="15">
                  <c:v>24878.938856177363</c:v>
                </c:pt>
                <c:pt idx="16">
                  <c:v>24982.979064802796</c:v>
                </c:pt>
                <c:pt idx="17">
                  <c:v>24982.979064802796</c:v>
                </c:pt>
                <c:pt idx="18">
                  <c:v>25432.832635905637</c:v>
                </c:pt>
                <c:pt idx="19">
                  <c:v>25432.832635905637</c:v>
                </c:pt>
                <c:pt idx="20">
                  <c:v>25727.921768554996</c:v>
                </c:pt>
                <c:pt idx="21">
                  <c:v>25727.921768554996</c:v>
                </c:pt>
                <c:pt idx="22">
                  <c:v>27091.181726415627</c:v>
                </c:pt>
                <c:pt idx="23">
                  <c:v>27091.181726415627</c:v>
                </c:pt>
                <c:pt idx="24">
                  <c:v>28178.235294117647</c:v>
                </c:pt>
                <c:pt idx="25">
                  <c:v>28178.235294117647</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numCache>
            </c:numRef>
          </c:cat>
          <c:val>
            <c:numRef>
              <c:f>'Cost Curve'!$S$42:$S$93</c:f>
              <c:numCache>
                <c:formatCode>General</c:formatCode>
                <c:ptCount val="52"/>
                <c:pt idx="35">
                  <c:v>#N/A</c:v>
                </c:pt>
                <c:pt idx="36">
                  <c:v>#N/A</c:v>
                </c:pt>
              </c:numCache>
            </c:numRef>
          </c:val>
          <c:extLst>
            <c:ext xmlns:c16="http://schemas.microsoft.com/office/drawing/2014/chart" uri="{C3380CC4-5D6E-409C-BE32-E72D297353CC}">
              <c16:uniqueId val="{00000011-492B-49FD-90E0-AB2E19DD36BE}"/>
            </c:ext>
          </c:extLst>
        </c:ser>
        <c:ser>
          <c:idx val="18"/>
          <c:order val="18"/>
          <c:tx>
            <c:strRef>
              <c:f>'Cost Curve'!$T$41</c:f>
              <c:strCache>
                <c:ptCount val="1"/>
              </c:strCache>
            </c:strRef>
          </c:tx>
          <c:spPr>
            <a:solidFill>
              <a:schemeClr val="accent1">
                <a:lumMod val="80000"/>
              </a:schemeClr>
            </a:solidFill>
            <a:ln>
              <a:noFill/>
            </a:ln>
            <a:effectLst/>
          </c:spPr>
          <c:cat>
            <c:numRef>
              <c:f>'Cost Curve'!$A$42:$A$93</c:f>
              <c:numCache>
                <c:formatCode>0</c:formatCode>
                <c:ptCount val="52"/>
                <c:pt idx="0">
                  <c:v>0</c:v>
                </c:pt>
                <c:pt idx="1">
                  <c:v>0</c:v>
                </c:pt>
                <c:pt idx="2">
                  <c:v>841.94816517520167</c:v>
                </c:pt>
                <c:pt idx="3">
                  <c:v>841.94816517520167</c:v>
                </c:pt>
                <c:pt idx="4">
                  <c:v>2458.0887724705981</c:v>
                </c:pt>
                <c:pt idx="5">
                  <c:v>2458.0887724705981</c:v>
                </c:pt>
                <c:pt idx="6">
                  <c:v>2777.6143954020863</c:v>
                </c:pt>
                <c:pt idx="7">
                  <c:v>2777.6143954020863</c:v>
                </c:pt>
                <c:pt idx="8">
                  <c:v>2992.3593100026201</c:v>
                </c:pt>
                <c:pt idx="9">
                  <c:v>2992.3593100026201</c:v>
                </c:pt>
                <c:pt idx="10">
                  <c:v>22025.052991106826</c:v>
                </c:pt>
                <c:pt idx="11">
                  <c:v>22025.052991106826</c:v>
                </c:pt>
                <c:pt idx="12">
                  <c:v>24616.061460718091</c:v>
                </c:pt>
                <c:pt idx="13">
                  <c:v>24616.061460718091</c:v>
                </c:pt>
                <c:pt idx="14">
                  <c:v>24878.938856177363</c:v>
                </c:pt>
                <c:pt idx="15">
                  <c:v>24878.938856177363</c:v>
                </c:pt>
                <c:pt idx="16">
                  <c:v>24982.979064802796</c:v>
                </c:pt>
                <c:pt idx="17">
                  <c:v>24982.979064802796</c:v>
                </c:pt>
                <c:pt idx="18">
                  <c:v>25432.832635905637</c:v>
                </c:pt>
                <c:pt idx="19">
                  <c:v>25432.832635905637</c:v>
                </c:pt>
                <c:pt idx="20">
                  <c:v>25727.921768554996</c:v>
                </c:pt>
                <c:pt idx="21">
                  <c:v>25727.921768554996</c:v>
                </c:pt>
                <c:pt idx="22">
                  <c:v>27091.181726415627</c:v>
                </c:pt>
                <c:pt idx="23">
                  <c:v>27091.181726415627</c:v>
                </c:pt>
                <c:pt idx="24">
                  <c:v>28178.235294117647</c:v>
                </c:pt>
                <c:pt idx="25">
                  <c:v>28178.235294117647</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numCache>
            </c:numRef>
          </c:cat>
          <c:val>
            <c:numRef>
              <c:f>'Cost Curve'!$T$42:$T$93</c:f>
              <c:numCache>
                <c:formatCode>General</c:formatCode>
                <c:ptCount val="52"/>
                <c:pt idx="37">
                  <c:v>#N/A</c:v>
                </c:pt>
                <c:pt idx="38">
                  <c:v>#N/A</c:v>
                </c:pt>
              </c:numCache>
            </c:numRef>
          </c:val>
          <c:extLst>
            <c:ext xmlns:c16="http://schemas.microsoft.com/office/drawing/2014/chart" uri="{C3380CC4-5D6E-409C-BE32-E72D297353CC}">
              <c16:uniqueId val="{00000012-492B-49FD-90E0-AB2E19DD36BE}"/>
            </c:ext>
          </c:extLst>
        </c:ser>
        <c:ser>
          <c:idx val="19"/>
          <c:order val="19"/>
          <c:tx>
            <c:strRef>
              <c:f>'Cost Curve'!$U$41</c:f>
              <c:strCache>
                <c:ptCount val="1"/>
              </c:strCache>
            </c:strRef>
          </c:tx>
          <c:spPr>
            <a:solidFill>
              <a:schemeClr val="accent2">
                <a:lumMod val="80000"/>
              </a:schemeClr>
            </a:solidFill>
            <a:ln>
              <a:noFill/>
            </a:ln>
            <a:effectLst/>
          </c:spPr>
          <c:cat>
            <c:numRef>
              <c:f>'Cost Curve'!$A$42:$A$93</c:f>
              <c:numCache>
                <c:formatCode>0</c:formatCode>
                <c:ptCount val="52"/>
                <c:pt idx="0">
                  <c:v>0</c:v>
                </c:pt>
                <c:pt idx="1">
                  <c:v>0</c:v>
                </c:pt>
                <c:pt idx="2">
                  <c:v>841.94816517520167</c:v>
                </c:pt>
                <c:pt idx="3">
                  <c:v>841.94816517520167</c:v>
                </c:pt>
                <c:pt idx="4">
                  <c:v>2458.0887724705981</c:v>
                </c:pt>
                <c:pt idx="5">
                  <c:v>2458.0887724705981</c:v>
                </c:pt>
                <c:pt idx="6">
                  <c:v>2777.6143954020863</c:v>
                </c:pt>
                <c:pt idx="7">
                  <c:v>2777.6143954020863</c:v>
                </c:pt>
                <c:pt idx="8">
                  <c:v>2992.3593100026201</c:v>
                </c:pt>
                <c:pt idx="9">
                  <c:v>2992.3593100026201</c:v>
                </c:pt>
                <c:pt idx="10">
                  <c:v>22025.052991106826</c:v>
                </c:pt>
                <c:pt idx="11">
                  <c:v>22025.052991106826</c:v>
                </c:pt>
                <c:pt idx="12">
                  <c:v>24616.061460718091</c:v>
                </c:pt>
                <c:pt idx="13">
                  <c:v>24616.061460718091</c:v>
                </c:pt>
                <c:pt idx="14">
                  <c:v>24878.938856177363</c:v>
                </c:pt>
                <c:pt idx="15">
                  <c:v>24878.938856177363</c:v>
                </c:pt>
                <c:pt idx="16">
                  <c:v>24982.979064802796</c:v>
                </c:pt>
                <c:pt idx="17">
                  <c:v>24982.979064802796</c:v>
                </c:pt>
                <c:pt idx="18">
                  <c:v>25432.832635905637</c:v>
                </c:pt>
                <c:pt idx="19">
                  <c:v>25432.832635905637</c:v>
                </c:pt>
                <c:pt idx="20">
                  <c:v>25727.921768554996</c:v>
                </c:pt>
                <c:pt idx="21">
                  <c:v>25727.921768554996</c:v>
                </c:pt>
                <c:pt idx="22">
                  <c:v>27091.181726415627</c:v>
                </c:pt>
                <c:pt idx="23">
                  <c:v>27091.181726415627</c:v>
                </c:pt>
                <c:pt idx="24">
                  <c:v>28178.235294117647</c:v>
                </c:pt>
                <c:pt idx="25">
                  <c:v>28178.235294117647</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numCache>
            </c:numRef>
          </c:cat>
          <c:val>
            <c:numRef>
              <c:f>'Cost Curve'!$U$42:$U$93</c:f>
              <c:numCache>
                <c:formatCode>General</c:formatCode>
                <c:ptCount val="52"/>
                <c:pt idx="39">
                  <c:v>#N/A</c:v>
                </c:pt>
                <c:pt idx="40">
                  <c:v>#N/A</c:v>
                </c:pt>
              </c:numCache>
            </c:numRef>
          </c:val>
          <c:extLst>
            <c:ext xmlns:c16="http://schemas.microsoft.com/office/drawing/2014/chart" uri="{C3380CC4-5D6E-409C-BE32-E72D297353CC}">
              <c16:uniqueId val="{00000013-492B-49FD-90E0-AB2E19DD36BE}"/>
            </c:ext>
          </c:extLst>
        </c:ser>
        <c:ser>
          <c:idx val="20"/>
          <c:order val="20"/>
          <c:tx>
            <c:strRef>
              <c:f>'Cost Curve'!$V$41</c:f>
              <c:strCache>
                <c:ptCount val="1"/>
              </c:strCache>
            </c:strRef>
          </c:tx>
          <c:spPr>
            <a:solidFill>
              <a:schemeClr val="accent3">
                <a:lumMod val="80000"/>
              </a:schemeClr>
            </a:solidFill>
            <a:ln>
              <a:noFill/>
            </a:ln>
            <a:effectLst/>
          </c:spPr>
          <c:cat>
            <c:numRef>
              <c:f>'Cost Curve'!$A$42:$A$93</c:f>
              <c:numCache>
                <c:formatCode>0</c:formatCode>
                <c:ptCount val="52"/>
                <c:pt idx="0">
                  <c:v>0</c:v>
                </c:pt>
                <c:pt idx="1">
                  <c:v>0</c:v>
                </c:pt>
                <c:pt idx="2">
                  <c:v>841.94816517520167</c:v>
                </c:pt>
                <c:pt idx="3">
                  <c:v>841.94816517520167</c:v>
                </c:pt>
                <c:pt idx="4">
                  <c:v>2458.0887724705981</c:v>
                </c:pt>
                <c:pt idx="5">
                  <c:v>2458.0887724705981</c:v>
                </c:pt>
                <c:pt idx="6">
                  <c:v>2777.6143954020863</c:v>
                </c:pt>
                <c:pt idx="7">
                  <c:v>2777.6143954020863</c:v>
                </c:pt>
                <c:pt idx="8">
                  <c:v>2992.3593100026201</c:v>
                </c:pt>
                <c:pt idx="9">
                  <c:v>2992.3593100026201</c:v>
                </c:pt>
                <c:pt idx="10">
                  <c:v>22025.052991106826</c:v>
                </c:pt>
                <c:pt idx="11">
                  <c:v>22025.052991106826</c:v>
                </c:pt>
                <c:pt idx="12">
                  <c:v>24616.061460718091</c:v>
                </c:pt>
                <c:pt idx="13">
                  <c:v>24616.061460718091</c:v>
                </c:pt>
                <c:pt idx="14">
                  <c:v>24878.938856177363</c:v>
                </c:pt>
                <c:pt idx="15">
                  <c:v>24878.938856177363</c:v>
                </c:pt>
                <c:pt idx="16">
                  <c:v>24982.979064802796</c:v>
                </c:pt>
                <c:pt idx="17">
                  <c:v>24982.979064802796</c:v>
                </c:pt>
                <c:pt idx="18">
                  <c:v>25432.832635905637</c:v>
                </c:pt>
                <c:pt idx="19">
                  <c:v>25432.832635905637</c:v>
                </c:pt>
                <c:pt idx="20">
                  <c:v>25727.921768554996</c:v>
                </c:pt>
                <c:pt idx="21">
                  <c:v>25727.921768554996</c:v>
                </c:pt>
                <c:pt idx="22">
                  <c:v>27091.181726415627</c:v>
                </c:pt>
                <c:pt idx="23">
                  <c:v>27091.181726415627</c:v>
                </c:pt>
                <c:pt idx="24">
                  <c:v>28178.235294117647</c:v>
                </c:pt>
                <c:pt idx="25">
                  <c:v>28178.235294117647</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numCache>
            </c:numRef>
          </c:cat>
          <c:val>
            <c:numRef>
              <c:f>'Cost Curve'!$V$42:$V$93</c:f>
              <c:numCache>
                <c:formatCode>General</c:formatCode>
                <c:ptCount val="52"/>
                <c:pt idx="41" formatCode="0.00">
                  <c:v>#N/A</c:v>
                </c:pt>
                <c:pt idx="42" formatCode="0.00">
                  <c:v>#N/A</c:v>
                </c:pt>
              </c:numCache>
            </c:numRef>
          </c:val>
          <c:extLst>
            <c:ext xmlns:c16="http://schemas.microsoft.com/office/drawing/2014/chart" uri="{C3380CC4-5D6E-409C-BE32-E72D297353CC}">
              <c16:uniqueId val="{00000014-492B-49FD-90E0-AB2E19DD36BE}"/>
            </c:ext>
          </c:extLst>
        </c:ser>
        <c:ser>
          <c:idx val="21"/>
          <c:order val="21"/>
          <c:tx>
            <c:strRef>
              <c:f>'Cost Curve'!$W$41</c:f>
              <c:strCache>
                <c:ptCount val="1"/>
              </c:strCache>
            </c:strRef>
          </c:tx>
          <c:spPr>
            <a:solidFill>
              <a:schemeClr val="accent4">
                <a:lumMod val="80000"/>
              </a:schemeClr>
            </a:solidFill>
            <a:ln>
              <a:noFill/>
            </a:ln>
            <a:effectLst/>
          </c:spPr>
          <c:cat>
            <c:numRef>
              <c:f>'Cost Curve'!$A$42:$A$93</c:f>
              <c:numCache>
                <c:formatCode>0</c:formatCode>
                <c:ptCount val="52"/>
                <c:pt idx="0">
                  <c:v>0</c:v>
                </c:pt>
                <c:pt idx="1">
                  <c:v>0</c:v>
                </c:pt>
                <c:pt idx="2">
                  <c:v>841.94816517520167</c:v>
                </c:pt>
                <c:pt idx="3">
                  <c:v>841.94816517520167</c:v>
                </c:pt>
                <c:pt idx="4">
                  <c:v>2458.0887724705981</c:v>
                </c:pt>
                <c:pt idx="5">
                  <c:v>2458.0887724705981</c:v>
                </c:pt>
                <c:pt idx="6">
                  <c:v>2777.6143954020863</c:v>
                </c:pt>
                <c:pt idx="7">
                  <c:v>2777.6143954020863</c:v>
                </c:pt>
                <c:pt idx="8">
                  <c:v>2992.3593100026201</c:v>
                </c:pt>
                <c:pt idx="9">
                  <c:v>2992.3593100026201</c:v>
                </c:pt>
                <c:pt idx="10">
                  <c:v>22025.052991106826</c:v>
                </c:pt>
                <c:pt idx="11">
                  <c:v>22025.052991106826</c:v>
                </c:pt>
                <c:pt idx="12">
                  <c:v>24616.061460718091</c:v>
                </c:pt>
                <c:pt idx="13">
                  <c:v>24616.061460718091</c:v>
                </c:pt>
                <c:pt idx="14">
                  <c:v>24878.938856177363</c:v>
                </c:pt>
                <c:pt idx="15">
                  <c:v>24878.938856177363</c:v>
                </c:pt>
                <c:pt idx="16">
                  <c:v>24982.979064802796</c:v>
                </c:pt>
                <c:pt idx="17">
                  <c:v>24982.979064802796</c:v>
                </c:pt>
                <c:pt idx="18">
                  <c:v>25432.832635905637</c:v>
                </c:pt>
                <c:pt idx="19">
                  <c:v>25432.832635905637</c:v>
                </c:pt>
                <c:pt idx="20">
                  <c:v>25727.921768554996</c:v>
                </c:pt>
                <c:pt idx="21">
                  <c:v>25727.921768554996</c:v>
                </c:pt>
                <c:pt idx="22">
                  <c:v>27091.181726415627</c:v>
                </c:pt>
                <c:pt idx="23">
                  <c:v>27091.181726415627</c:v>
                </c:pt>
                <c:pt idx="24">
                  <c:v>28178.235294117647</c:v>
                </c:pt>
                <c:pt idx="25">
                  <c:v>28178.235294117647</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numCache>
            </c:numRef>
          </c:cat>
          <c:val>
            <c:numRef>
              <c:f>'Cost Curve'!$W$42:$W$93</c:f>
              <c:numCache>
                <c:formatCode>General</c:formatCode>
                <c:ptCount val="52"/>
                <c:pt idx="43" formatCode="0.00">
                  <c:v>#N/A</c:v>
                </c:pt>
                <c:pt idx="44" formatCode="0.00">
                  <c:v>#N/A</c:v>
                </c:pt>
              </c:numCache>
            </c:numRef>
          </c:val>
          <c:extLst>
            <c:ext xmlns:c16="http://schemas.microsoft.com/office/drawing/2014/chart" uri="{C3380CC4-5D6E-409C-BE32-E72D297353CC}">
              <c16:uniqueId val="{00000015-492B-49FD-90E0-AB2E19DD36BE}"/>
            </c:ext>
          </c:extLst>
        </c:ser>
        <c:ser>
          <c:idx val="22"/>
          <c:order val="22"/>
          <c:tx>
            <c:strRef>
              <c:f>'Cost Curve'!$X$41</c:f>
              <c:strCache>
                <c:ptCount val="1"/>
              </c:strCache>
            </c:strRef>
          </c:tx>
          <c:spPr>
            <a:solidFill>
              <a:schemeClr val="accent5">
                <a:lumMod val="80000"/>
              </a:schemeClr>
            </a:solidFill>
            <a:ln>
              <a:noFill/>
            </a:ln>
            <a:effectLst/>
          </c:spPr>
          <c:cat>
            <c:numRef>
              <c:f>'Cost Curve'!$A$42:$A$93</c:f>
              <c:numCache>
                <c:formatCode>0</c:formatCode>
                <c:ptCount val="52"/>
                <c:pt idx="0">
                  <c:v>0</c:v>
                </c:pt>
                <c:pt idx="1">
                  <c:v>0</c:v>
                </c:pt>
                <c:pt idx="2">
                  <c:v>841.94816517520167</c:v>
                </c:pt>
                <c:pt idx="3">
                  <c:v>841.94816517520167</c:v>
                </c:pt>
                <c:pt idx="4">
                  <c:v>2458.0887724705981</c:v>
                </c:pt>
                <c:pt idx="5">
                  <c:v>2458.0887724705981</c:v>
                </c:pt>
                <c:pt idx="6">
                  <c:v>2777.6143954020863</c:v>
                </c:pt>
                <c:pt idx="7">
                  <c:v>2777.6143954020863</c:v>
                </c:pt>
                <c:pt idx="8">
                  <c:v>2992.3593100026201</c:v>
                </c:pt>
                <c:pt idx="9">
                  <c:v>2992.3593100026201</c:v>
                </c:pt>
                <c:pt idx="10">
                  <c:v>22025.052991106826</c:v>
                </c:pt>
                <c:pt idx="11">
                  <c:v>22025.052991106826</c:v>
                </c:pt>
                <c:pt idx="12">
                  <c:v>24616.061460718091</c:v>
                </c:pt>
                <c:pt idx="13">
                  <c:v>24616.061460718091</c:v>
                </c:pt>
                <c:pt idx="14">
                  <c:v>24878.938856177363</c:v>
                </c:pt>
                <c:pt idx="15">
                  <c:v>24878.938856177363</c:v>
                </c:pt>
                <c:pt idx="16">
                  <c:v>24982.979064802796</c:v>
                </c:pt>
                <c:pt idx="17">
                  <c:v>24982.979064802796</c:v>
                </c:pt>
                <c:pt idx="18">
                  <c:v>25432.832635905637</c:v>
                </c:pt>
                <c:pt idx="19">
                  <c:v>25432.832635905637</c:v>
                </c:pt>
                <c:pt idx="20">
                  <c:v>25727.921768554996</c:v>
                </c:pt>
                <c:pt idx="21">
                  <c:v>25727.921768554996</c:v>
                </c:pt>
                <c:pt idx="22">
                  <c:v>27091.181726415627</c:v>
                </c:pt>
                <c:pt idx="23">
                  <c:v>27091.181726415627</c:v>
                </c:pt>
                <c:pt idx="24">
                  <c:v>28178.235294117647</c:v>
                </c:pt>
                <c:pt idx="25">
                  <c:v>28178.235294117647</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numCache>
            </c:numRef>
          </c:cat>
          <c:val>
            <c:numRef>
              <c:f>'Cost Curve'!$X$42:$X$93</c:f>
              <c:numCache>
                <c:formatCode>General</c:formatCode>
                <c:ptCount val="52"/>
                <c:pt idx="45" formatCode="0.00">
                  <c:v>#N/A</c:v>
                </c:pt>
                <c:pt idx="46" formatCode="0.00">
                  <c:v>#N/A</c:v>
                </c:pt>
              </c:numCache>
            </c:numRef>
          </c:val>
          <c:extLst>
            <c:ext xmlns:c16="http://schemas.microsoft.com/office/drawing/2014/chart" uri="{C3380CC4-5D6E-409C-BE32-E72D297353CC}">
              <c16:uniqueId val="{00000016-492B-49FD-90E0-AB2E19DD36BE}"/>
            </c:ext>
          </c:extLst>
        </c:ser>
        <c:ser>
          <c:idx val="23"/>
          <c:order val="23"/>
          <c:tx>
            <c:strRef>
              <c:f>'Cost Curve'!$Y$41</c:f>
              <c:strCache>
                <c:ptCount val="1"/>
              </c:strCache>
            </c:strRef>
          </c:tx>
          <c:spPr>
            <a:solidFill>
              <a:schemeClr val="accent6">
                <a:lumMod val="80000"/>
              </a:schemeClr>
            </a:solidFill>
            <a:ln>
              <a:noFill/>
            </a:ln>
            <a:effectLst/>
          </c:spPr>
          <c:cat>
            <c:numRef>
              <c:f>'Cost Curve'!$A$42:$A$93</c:f>
              <c:numCache>
                <c:formatCode>0</c:formatCode>
                <c:ptCount val="52"/>
                <c:pt idx="0">
                  <c:v>0</c:v>
                </c:pt>
                <c:pt idx="1">
                  <c:v>0</c:v>
                </c:pt>
                <c:pt idx="2">
                  <c:v>841.94816517520167</c:v>
                </c:pt>
                <c:pt idx="3">
                  <c:v>841.94816517520167</c:v>
                </c:pt>
                <c:pt idx="4">
                  <c:v>2458.0887724705981</c:v>
                </c:pt>
                <c:pt idx="5">
                  <c:v>2458.0887724705981</c:v>
                </c:pt>
                <c:pt idx="6">
                  <c:v>2777.6143954020863</c:v>
                </c:pt>
                <c:pt idx="7">
                  <c:v>2777.6143954020863</c:v>
                </c:pt>
                <c:pt idx="8">
                  <c:v>2992.3593100026201</c:v>
                </c:pt>
                <c:pt idx="9">
                  <c:v>2992.3593100026201</c:v>
                </c:pt>
                <c:pt idx="10">
                  <c:v>22025.052991106826</c:v>
                </c:pt>
                <c:pt idx="11">
                  <c:v>22025.052991106826</c:v>
                </c:pt>
                <c:pt idx="12">
                  <c:v>24616.061460718091</c:v>
                </c:pt>
                <c:pt idx="13">
                  <c:v>24616.061460718091</c:v>
                </c:pt>
                <c:pt idx="14">
                  <c:v>24878.938856177363</c:v>
                </c:pt>
                <c:pt idx="15">
                  <c:v>24878.938856177363</c:v>
                </c:pt>
                <c:pt idx="16">
                  <c:v>24982.979064802796</c:v>
                </c:pt>
                <c:pt idx="17">
                  <c:v>24982.979064802796</c:v>
                </c:pt>
                <c:pt idx="18">
                  <c:v>25432.832635905637</c:v>
                </c:pt>
                <c:pt idx="19">
                  <c:v>25432.832635905637</c:v>
                </c:pt>
                <c:pt idx="20">
                  <c:v>25727.921768554996</c:v>
                </c:pt>
                <c:pt idx="21">
                  <c:v>25727.921768554996</c:v>
                </c:pt>
                <c:pt idx="22">
                  <c:v>27091.181726415627</c:v>
                </c:pt>
                <c:pt idx="23">
                  <c:v>27091.181726415627</c:v>
                </c:pt>
                <c:pt idx="24">
                  <c:v>28178.235294117647</c:v>
                </c:pt>
                <c:pt idx="25">
                  <c:v>28178.235294117647</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numCache>
            </c:numRef>
          </c:cat>
          <c:val>
            <c:numRef>
              <c:f>'Cost Curve'!$Y$42:$Y$93</c:f>
              <c:numCache>
                <c:formatCode>General</c:formatCode>
                <c:ptCount val="52"/>
                <c:pt idx="47" formatCode="0.00">
                  <c:v>#N/A</c:v>
                </c:pt>
                <c:pt idx="48" formatCode="0.00">
                  <c:v>#N/A</c:v>
                </c:pt>
              </c:numCache>
            </c:numRef>
          </c:val>
          <c:extLst>
            <c:ext xmlns:c16="http://schemas.microsoft.com/office/drawing/2014/chart" uri="{C3380CC4-5D6E-409C-BE32-E72D297353CC}">
              <c16:uniqueId val="{00000017-492B-49FD-90E0-AB2E19DD36BE}"/>
            </c:ext>
          </c:extLst>
        </c:ser>
        <c:ser>
          <c:idx val="24"/>
          <c:order val="24"/>
          <c:tx>
            <c:strRef>
              <c:f>'Cost Curve'!$Z$41</c:f>
              <c:strCache>
                <c:ptCount val="1"/>
              </c:strCache>
            </c:strRef>
          </c:tx>
          <c:spPr>
            <a:solidFill>
              <a:schemeClr val="accent1">
                <a:lumMod val="60000"/>
                <a:lumOff val="40000"/>
              </a:schemeClr>
            </a:solidFill>
            <a:ln>
              <a:noFill/>
            </a:ln>
            <a:effectLst/>
          </c:spPr>
          <c:cat>
            <c:numRef>
              <c:f>'Cost Curve'!$A$42:$A$93</c:f>
              <c:numCache>
                <c:formatCode>0</c:formatCode>
                <c:ptCount val="52"/>
                <c:pt idx="0">
                  <c:v>0</c:v>
                </c:pt>
                <c:pt idx="1">
                  <c:v>0</c:v>
                </c:pt>
                <c:pt idx="2">
                  <c:v>841.94816517520167</c:v>
                </c:pt>
                <c:pt idx="3">
                  <c:v>841.94816517520167</c:v>
                </c:pt>
                <c:pt idx="4">
                  <c:v>2458.0887724705981</c:v>
                </c:pt>
                <c:pt idx="5">
                  <c:v>2458.0887724705981</c:v>
                </c:pt>
                <c:pt idx="6">
                  <c:v>2777.6143954020863</c:v>
                </c:pt>
                <c:pt idx="7">
                  <c:v>2777.6143954020863</c:v>
                </c:pt>
                <c:pt idx="8">
                  <c:v>2992.3593100026201</c:v>
                </c:pt>
                <c:pt idx="9">
                  <c:v>2992.3593100026201</c:v>
                </c:pt>
                <c:pt idx="10">
                  <c:v>22025.052991106826</c:v>
                </c:pt>
                <c:pt idx="11">
                  <c:v>22025.052991106826</c:v>
                </c:pt>
                <c:pt idx="12">
                  <c:v>24616.061460718091</c:v>
                </c:pt>
                <c:pt idx="13">
                  <c:v>24616.061460718091</c:v>
                </c:pt>
                <c:pt idx="14">
                  <c:v>24878.938856177363</c:v>
                </c:pt>
                <c:pt idx="15">
                  <c:v>24878.938856177363</c:v>
                </c:pt>
                <c:pt idx="16">
                  <c:v>24982.979064802796</c:v>
                </c:pt>
                <c:pt idx="17">
                  <c:v>24982.979064802796</c:v>
                </c:pt>
                <c:pt idx="18">
                  <c:v>25432.832635905637</c:v>
                </c:pt>
                <c:pt idx="19">
                  <c:v>25432.832635905637</c:v>
                </c:pt>
                <c:pt idx="20">
                  <c:v>25727.921768554996</c:v>
                </c:pt>
                <c:pt idx="21">
                  <c:v>25727.921768554996</c:v>
                </c:pt>
                <c:pt idx="22">
                  <c:v>27091.181726415627</c:v>
                </c:pt>
                <c:pt idx="23">
                  <c:v>27091.181726415627</c:v>
                </c:pt>
                <c:pt idx="24">
                  <c:v>28178.235294117647</c:v>
                </c:pt>
                <c:pt idx="25">
                  <c:v>28178.235294117647</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numCache>
            </c:numRef>
          </c:cat>
          <c:val>
            <c:numRef>
              <c:f>'Cost Curve'!$Z$42:$Z$93</c:f>
              <c:numCache>
                <c:formatCode>General</c:formatCode>
                <c:ptCount val="52"/>
                <c:pt idx="49" formatCode="0.00">
                  <c:v>#N/A</c:v>
                </c:pt>
                <c:pt idx="50" formatCode="0.00">
                  <c:v>#N/A</c:v>
                </c:pt>
              </c:numCache>
            </c:numRef>
          </c:val>
          <c:extLst>
            <c:ext xmlns:c16="http://schemas.microsoft.com/office/drawing/2014/chart" uri="{C3380CC4-5D6E-409C-BE32-E72D297353CC}">
              <c16:uniqueId val="{00000018-492B-49FD-90E0-AB2E19DD36BE}"/>
            </c:ext>
          </c:extLst>
        </c:ser>
        <c:dLbls>
          <c:showLegendKey val="0"/>
          <c:showVal val="0"/>
          <c:showCatName val="0"/>
          <c:showSerName val="0"/>
          <c:showPercent val="0"/>
          <c:showBubbleSize val="0"/>
        </c:dLbls>
        <c:axId val="68441600"/>
        <c:axId val="68443136"/>
      </c:areaChart>
      <c:dateAx>
        <c:axId val="68441600"/>
        <c:scaling>
          <c:orientation val="minMax"/>
        </c:scaling>
        <c:delete val="1"/>
        <c:axPos val="b"/>
        <c:numFmt formatCode="0" sourceLinked="1"/>
        <c:majorTickMark val="out"/>
        <c:minorTickMark val="none"/>
        <c:tickLblPos val="nextTo"/>
        <c:crossAx val="68443136"/>
        <c:crosses val="autoZero"/>
        <c:auto val="0"/>
        <c:lblOffset val="100"/>
        <c:baseTimeUnit val="days"/>
      </c:dateAx>
      <c:valAx>
        <c:axId val="684431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441600"/>
        <c:crosses val="autoZero"/>
        <c:crossBetween val="midCat"/>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152400</xdr:colOff>
      <xdr:row>2</xdr:row>
      <xdr:rowOff>1</xdr:rowOff>
    </xdr:from>
    <xdr:to>
      <xdr:col>17</xdr:col>
      <xdr:colOff>581025</xdr:colOff>
      <xdr:row>36</xdr:row>
      <xdr:rowOff>85726</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0"/>
  <sheetViews>
    <sheetView tabSelected="1" workbookViewId="0"/>
  </sheetViews>
  <sheetFormatPr defaultRowHeight="15" x14ac:dyDescent="0.25"/>
  <cols>
    <col min="1" max="1" width="102.85546875" customWidth="1"/>
  </cols>
  <sheetData>
    <row r="1" spans="1:1" x14ac:dyDescent="0.25">
      <c r="A1" s="14" t="s">
        <v>40</v>
      </c>
    </row>
    <row r="3" spans="1:1" x14ac:dyDescent="0.25">
      <c r="A3" t="s">
        <v>41</v>
      </c>
    </row>
    <row r="4" spans="1:1" x14ac:dyDescent="0.25">
      <c r="A4" t="s">
        <v>42</v>
      </c>
    </row>
    <row r="5" spans="1:1" x14ac:dyDescent="0.25">
      <c r="A5" t="s">
        <v>43</v>
      </c>
    </row>
    <row r="7" spans="1:1" x14ac:dyDescent="0.25">
      <c r="A7" t="s">
        <v>53</v>
      </c>
    </row>
    <row r="8" spans="1:1" x14ac:dyDescent="0.25">
      <c r="A8" t="s">
        <v>54</v>
      </c>
    </row>
    <row r="9" spans="1:1" x14ac:dyDescent="0.25">
      <c r="A9" t="s">
        <v>55</v>
      </c>
    </row>
    <row r="12" spans="1:1" x14ac:dyDescent="0.25">
      <c r="A12" s="14" t="s">
        <v>57</v>
      </c>
    </row>
    <row r="14" spans="1:1" x14ac:dyDescent="0.25">
      <c r="A14" t="s">
        <v>56</v>
      </c>
    </row>
    <row r="15" spans="1:1" x14ac:dyDescent="0.25">
      <c r="A15" t="s">
        <v>44</v>
      </c>
    </row>
    <row r="16" spans="1:1" x14ac:dyDescent="0.25">
      <c r="A16" t="s">
        <v>45</v>
      </c>
    </row>
    <row r="18" spans="1:1" x14ac:dyDescent="0.25">
      <c r="A18" t="s">
        <v>46</v>
      </c>
    </row>
    <row r="19" spans="1:1" x14ac:dyDescent="0.25">
      <c r="A19" t="s">
        <v>47</v>
      </c>
    </row>
    <row r="21" spans="1:1" x14ac:dyDescent="0.25">
      <c r="A21" t="s">
        <v>48</v>
      </c>
    </row>
    <row r="22" spans="1:1" x14ac:dyDescent="0.25">
      <c r="A22" t="s">
        <v>49</v>
      </c>
    </row>
    <row r="23" spans="1:1" x14ac:dyDescent="0.25">
      <c r="A23" t="s">
        <v>50</v>
      </c>
    </row>
    <row r="25" spans="1:1" x14ac:dyDescent="0.25">
      <c r="A25" t="s">
        <v>51</v>
      </c>
    </row>
    <row r="26" spans="1:1" x14ac:dyDescent="0.25">
      <c r="A26" t="s">
        <v>52</v>
      </c>
    </row>
    <row r="29" spans="1:1" x14ac:dyDescent="0.25">
      <c r="A29" s="14" t="s">
        <v>58</v>
      </c>
    </row>
    <row r="31" spans="1:1" x14ac:dyDescent="0.25">
      <c r="A31" t="s">
        <v>59</v>
      </c>
    </row>
    <row r="32" spans="1:1" x14ac:dyDescent="0.25">
      <c r="A32" t="s">
        <v>60</v>
      </c>
    </row>
    <row r="34" spans="1:1" x14ac:dyDescent="0.25">
      <c r="A34" t="s">
        <v>61</v>
      </c>
    </row>
    <row r="35" spans="1:1" x14ac:dyDescent="0.25">
      <c r="A35" s="52" t="s">
        <v>3</v>
      </c>
    </row>
    <row r="36" spans="1:1" x14ac:dyDescent="0.25">
      <c r="A36" t="s">
        <v>62</v>
      </c>
    </row>
    <row r="37" spans="1:1" x14ac:dyDescent="0.25">
      <c r="A37" s="52" t="s">
        <v>23</v>
      </c>
    </row>
    <row r="38" spans="1:1" x14ac:dyDescent="0.25">
      <c r="A38" s="52" t="s">
        <v>16</v>
      </c>
    </row>
    <row r="40" spans="1:1" x14ac:dyDescent="0.25">
      <c r="A40" t="s">
        <v>63</v>
      </c>
    </row>
    <row r="41" spans="1:1" x14ac:dyDescent="0.25">
      <c r="A41" t="s">
        <v>70</v>
      </c>
    </row>
    <row r="42" spans="1:1" x14ac:dyDescent="0.25">
      <c r="A42" t="s">
        <v>64</v>
      </c>
    </row>
    <row r="44" spans="1:1" x14ac:dyDescent="0.25">
      <c r="A44" t="s">
        <v>65</v>
      </c>
    </row>
    <row r="46" spans="1:1" x14ac:dyDescent="0.25">
      <c r="A46" t="s">
        <v>66</v>
      </c>
    </row>
    <row r="47" spans="1:1" x14ac:dyDescent="0.25">
      <c r="A47" t="s">
        <v>67</v>
      </c>
    </row>
    <row r="49" spans="1:1" x14ac:dyDescent="0.25">
      <c r="A49" t="s">
        <v>68</v>
      </c>
    </row>
    <row r="50" spans="1:1" x14ac:dyDescent="0.25">
      <c r="A50" t="s">
        <v>69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92D050"/>
  </sheetPr>
  <dimension ref="A1:N53"/>
  <sheetViews>
    <sheetView zoomScaleNormal="100" workbookViewId="0"/>
  </sheetViews>
  <sheetFormatPr defaultRowHeight="15" x14ac:dyDescent="0.25"/>
  <cols>
    <col min="1" max="1" width="31.28515625" style="13" customWidth="1"/>
    <col min="2" max="2" width="6" style="9" customWidth="1"/>
    <col min="3" max="3" width="41.7109375" customWidth="1"/>
    <col min="4" max="4" width="28.85546875" customWidth="1"/>
    <col min="5" max="5" width="32.85546875" customWidth="1"/>
    <col min="6" max="6" width="32.85546875" style="15" customWidth="1"/>
    <col min="7" max="8" width="36.85546875" customWidth="1"/>
    <col min="9" max="9" width="6" style="9" customWidth="1"/>
    <col min="10" max="10" width="26.5703125" customWidth="1"/>
    <col min="11" max="11" width="31.7109375" customWidth="1"/>
    <col min="12" max="12" width="29.42578125" customWidth="1"/>
    <col min="13" max="13" width="31.42578125" customWidth="1"/>
    <col min="14" max="14" width="9.140625" style="9"/>
  </cols>
  <sheetData>
    <row r="1" spans="1:14" x14ac:dyDescent="0.25">
      <c r="H1" s="51" t="s">
        <v>9</v>
      </c>
      <c r="M1" s="51" t="s">
        <v>12</v>
      </c>
    </row>
    <row r="2" spans="1:14" s="5" customFormat="1" ht="45" x14ac:dyDescent="0.25">
      <c r="A2" s="17" t="s">
        <v>19</v>
      </c>
      <c r="B2" s="7"/>
      <c r="C2" s="3" t="s">
        <v>8</v>
      </c>
      <c r="D2" s="4" t="s">
        <v>27</v>
      </c>
      <c r="E2" s="4" t="s">
        <v>24</v>
      </c>
      <c r="F2" s="4" t="s">
        <v>32</v>
      </c>
      <c r="G2" s="4" t="s">
        <v>25</v>
      </c>
      <c r="H2" s="4" t="s">
        <v>26</v>
      </c>
      <c r="I2" s="7"/>
      <c r="J2" s="4" t="s">
        <v>28</v>
      </c>
      <c r="K2" s="4" t="s">
        <v>29</v>
      </c>
      <c r="L2" s="4" t="s">
        <v>10</v>
      </c>
      <c r="M2" s="4" t="s">
        <v>11</v>
      </c>
      <c r="N2" s="12"/>
    </row>
    <row r="3" spans="1:14" x14ac:dyDescent="0.25">
      <c r="B3" s="8"/>
      <c r="C3" s="2" t="str">
        <f ca="1">IF(ISBLANK(INDIRECT("'" &amp; $A$5 &amp; "'!B2")),"",RIGHT(INDIRECT("'" &amp; $A$5 &amp; "'!B2"),LEN(INDIRECT("'" &amp; $A$5 &amp; "'!B2"))-20))</f>
        <v>None</v>
      </c>
      <c r="D3" s="15">
        <f ca="1">IF($C3="","",HLOOKUP($A$11,INDIRECT("'" &amp; $A$5 &amp; "'!$A:$AN"),2,FALSE))</f>
        <v>16174.8</v>
      </c>
      <c r="E3" s="15" t="str">
        <f ca="1">IF(OR(C3="All",C3="None",C3=""),"",D3-D$3)</f>
        <v/>
      </c>
      <c r="F3" s="15" t="str">
        <f t="shared" ref="F3:F5" ca="1" si="0">IF(E3&lt;$A$14*SUM(E:E),"exclude",E3)</f>
        <v/>
      </c>
      <c r="G3" s="25" t="str">
        <f t="shared" ref="G3:G27" ca="1" si="1">IF(F3="","",IF(F3="exclude","exclude",F3/SUM(F:F)*(VLOOKUP("All",C:D,2,FALSE)-D$3)))</f>
        <v/>
      </c>
      <c r="H3" s="25" t="str">
        <f t="shared" ref="H3:H27" ca="1" si="2">IF(G3="","",IF(G3="exclude","exclude",G3/$A$17))</f>
        <v/>
      </c>
      <c r="I3" s="26"/>
      <c r="J3" s="27">
        <f ca="1">IF(OR($C3="",$C3="All"),"",HLOOKUP($A$11,INDIRECT("'" &amp; $A$5 &amp; "'!$A:$AN"),3,FALSE))</f>
        <v>-403556000000</v>
      </c>
      <c r="K3" s="27" t="str">
        <f ca="1">IF(OR(C3="All",C3="None",C3=""),"",J3-J$3)</f>
        <v/>
      </c>
      <c r="L3" s="27" t="str">
        <f ca="1">IF(K3="","",-K3)</f>
        <v/>
      </c>
      <c r="M3" s="16" t="str">
        <f t="shared" ref="M3:M18" ca="1" si="3">IF(G3="","",IF(G3="exclude","exclude",L3/(G3*10^6)))</f>
        <v/>
      </c>
    </row>
    <row r="4" spans="1:14" ht="15.75" thickBot="1" x14ac:dyDescent="0.3">
      <c r="A4" s="18" t="s">
        <v>22</v>
      </c>
      <c r="B4" s="8"/>
      <c r="C4" s="2" t="str">
        <f ca="1">IF(ISBLANK(INDIRECT("'" &amp; $A$5 &amp; "'!B4")),"",RIGHT(INDIRECT("'" &amp; $A$5 &amp; "'!B4"),LEN(INDIRECT("'" &amp; $A$5 &amp; "'!B4"))-20))</f>
        <v>EV Sales Mandate</v>
      </c>
      <c r="D4" s="15">
        <f ca="1">IF($C4="","",HLOOKUP($A$11,INDIRECT("'" &amp; $A$5 &amp; "'!$A:$AN"),4,FALSE))</f>
        <v>16254.5</v>
      </c>
      <c r="E4" s="15">
        <f t="shared" ref="E4:E27" ca="1" si="4">IF(OR(C4="All",C4="None",C4=""),"",D4-D$3)</f>
        <v>79.700000000000728</v>
      </c>
      <c r="F4" s="15">
        <f t="shared" ca="1" si="0"/>
        <v>79.700000000000728</v>
      </c>
      <c r="G4" s="25">
        <f t="shared" ca="1" si="1"/>
        <v>100.33030510078136</v>
      </c>
      <c r="H4" s="25">
        <f t="shared" ca="1" si="2"/>
        <v>2.9508913264935694</v>
      </c>
      <c r="I4" s="26"/>
      <c r="J4" s="27">
        <f ca="1">IF(OR($C4="",$C4="All"),"",HLOOKUP($A$11,INDIRECT("'" &amp; $A$5 &amp; "'!$A:$AN"),5,FALSE))</f>
        <v>-417539000000</v>
      </c>
      <c r="K4" s="27">
        <f ca="1">IF(OR(C4="All",C4="None",C4=""),"",J4-J$3)</f>
        <v>-13983000000</v>
      </c>
      <c r="L4" s="27">
        <f ca="1">IF(K4="","",-K4)</f>
        <v>13983000000</v>
      </c>
      <c r="M4" s="16">
        <f t="shared" ca="1" si="3"/>
        <v>139.36965492085503</v>
      </c>
    </row>
    <row r="5" spans="1:14" ht="15.75" thickBot="1" x14ac:dyDescent="0.3">
      <c r="A5" s="19" t="s">
        <v>93</v>
      </c>
      <c r="B5" s="8"/>
      <c r="C5" s="2" t="str">
        <f ca="1">IF(ISBLANK(INDIRECT("'" &amp; $A$5 &amp; "'!B6")),"",RIGHT(INDIRECT("'" &amp; $A$5 &amp; "'!B6"),LEN(INDIRECT("'" &amp; $A$5 &amp; "'!B6"))-20))</f>
        <v>Low Carbon Fuel Standard</v>
      </c>
      <c r="D5" s="15">
        <f ca="1">IF($C5="","",HLOOKUP($A$11,INDIRECT("'" &amp; $A$5 &amp; "'!$A:$AN"),6,FALSE))</f>
        <v>16245.8</v>
      </c>
      <c r="E5" s="15">
        <f t="shared" ca="1" si="4"/>
        <v>71</v>
      </c>
      <c r="F5" s="15">
        <f t="shared" ca="1" si="0"/>
        <v>71</v>
      </c>
      <c r="G5" s="25">
        <f t="shared" ca="1" si="1"/>
        <v>89.378314456153205</v>
      </c>
      <c r="H5" s="25">
        <f t="shared" ca="1" si="2"/>
        <v>2.6287739545927415</v>
      </c>
      <c r="I5" s="26"/>
      <c r="J5" s="27">
        <f ca="1">IF(OR($C5="",$C5="All"),"",HLOOKUP($A$11,INDIRECT("'" &amp; $A$5 &amp; "'!$A:$AN"),7,FALSE))</f>
        <v>-403956000000</v>
      </c>
      <c r="K5" s="27">
        <f t="shared" ref="K5:K27" ca="1" si="5">IF(OR(C5="All",C5="None",C5=""),"",J5-J$3)</f>
        <v>-400000000</v>
      </c>
      <c r="L5" s="27">
        <f t="shared" ref="L5:L27" ca="1" si="6">IF(K5="","",-K5)</f>
        <v>400000000</v>
      </c>
      <c r="M5" s="16">
        <f t="shared" ca="1" si="3"/>
        <v>4.4753585076414719</v>
      </c>
    </row>
    <row r="6" spans="1:14" x14ac:dyDescent="0.25">
      <c r="B6" s="8"/>
      <c r="C6" s="2" t="str">
        <f ca="1">IF(ISBLANK(INDIRECT("'" &amp; $A$5 &amp; "'!B8")),"",RIGHT(INDIRECT("'" &amp; $A$5 &amp; "'!B8"),LEN(INDIRECT("'" &amp; $A$5 &amp; "'!B8"))-20))</f>
        <v>Transportation Demand Management</v>
      </c>
      <c r="D6" s="15">
        <f ca="1">IF($C6="","",HLOOKUP($A$11,INDIRECT("'" &amp; $A$5 &amp; "'!$A:$AN"),8,FALSE))</f>
        <v>16402.2</v>
      </c>
      <c r="E6" s="15">
        <f t="shared" ca="1" si="4"/>
        <v>227.40000000000146</v>
      </c>
      <c r="F6" s="15">
        <f ca="1">IF(E6&lt;$A$14*SUM(E:E),"exclude",E6)</f>
        <v>227.40000000000146</v>
      </c>
      <c r="G6" s="25">
        <f t="shared" ca="1" si="1"/>
        <v>286.26237615956859</v>
      </c>
      <c r="H6" s="25">
        <f t="shared" ca="1" si="2"/>
        <v>8.419481651752017</v>
      </c>
      <c r="I6" s="26"/>
      <c r="J6" s="27">
        <f ca="1">IF(OR($C6="",$C6="All"),"",HLOOKUP($A$11,INDIRECT("'" &amp; $A$5 &amp; "'!$A:$AN"),9,FALSE))</f>
        <v>-153328000000</v>
      </c>
      <c r="K6" s="27">
        <f t="shared" ca="1" si="5"/>
        <v>250228000000</v>
      </c>
      <c r="L6" s="27">
        <f t="shared" ca="1" si="6"/>
        <v>-250228000000</v>
      </c>
      <c r="M6" s="16">
        <f t="shared" ca="1" si="3"/>
        <v>-874.12115890674261</v>
      </c>
    </row>
    <row r="7" spans="1:14" ht="15.75" thickBot="1" x14ac:dyDescent="0.3">
      <c r="A7" s="18" t="s">
        <v>20</v>
      </c>
      <c r="B7" s="8"/>
      <c r="C7" s="2" t="str">
        <f ca="1">IF(ISBLANK(INDIRECT("'" &amp; $A$5 &amp; "'!B10")),"",RIGHT(INDIRECT("'" &amp; $A$5 &amp; "'!B10"),LEN(INDIRECT("'" &amp; $A$5 &amp; "'!B10"))-20))</f>
        <v>Building Component Electrification</v>
      </c>
      <c r="D7" s="15">
        <f ca="1">IF($C7="","",HLOOKUP($A$11,INDIRECT("'" &amp; $A$5 &amp; "'!$A:$AN"),10,FALSE))</f>
        <v>16468.400000000001</v>
      </c>
      <c r="E7" s="15">
        <f t="shared" ca="1" si="4"/>
        <v>293.60000000000218</v>
      </c>
      <c r="F7" s="15">
        <f t="shared" ref="F7:F27" ca="1" si="7">IF(E7&lt;$A$14*SUM(E:E),"exclude",E7)</f>
        <v>293.60000000000218</v>
      </c>
      <c r="G7" s="25">
        <f t="shared" ca="1" si="1"/>
        <v>369.59821301868703</v>
      </c>
      <c r="H7" s="25">
        <f t="shared" ca="1" si="2"/>
        <v>10.870535677020207</v>
      </c>
      <c r="I7" s="26"/>
      <c r="J7" s="27">
        <f ca="1">IF(OR($C7="",$C7="All"),"",HLOOKUP($A$11,INDIRECT("'" &amp; $A$5 &amp; "'!$A:$AN"),11,FALSE))</f>
        <v>-533267000000</v>
      </c>
      <c r="K7" s="27">
        <f t="shared" ca="1" si="5"/>
        <v>-129711000000</v>
      </c>
      <c r="L7" s="27">
        <f t="shared" ca="1" si="6"/>
        <v>129711000000</v>
      </c>
      <c r="M7" s="16">
        <f t="shared" ca="1" si="3"/>
        <v>350.95137214162281</v>
      </c>
    </row>
    <row r="8" spans="1:14" ht="15.75" thickBot="1" x14ac:dyDescent="0.3">
      <c r="A8" s="19">
        <v>2017</v>
      </c>
      <c r="B8" s="8"/>
      <c r="C8" s="2" t="str">
        <f ca="1">IF(ISBLANK(INDIRECT("'" &amp; $A$5 &amp; "'!B12")),"",RIGHT(INDIRECT("'" &amp; $A$5 &amp; "'!B12"),LEN(INDIRECT("'" &amp; $A$5 &amp; "'!B12"))-20))</f>
        <v>Building Energy Efficiency Standards</v>
      </c>
      <c r="D8" s="15">
        <f ca="1">IF($C8="","",HLOOKUP($A$11,INDIRECT("'" &amp; $A$5 &amp; "'!$A:$AN"),12,FALSE))</f>
        <v>16611.3</v>
      </c>
      <c r="E8" s="15">
        <f t="shared" ca="1" si="4"/>
        <v>436.5</v>
      </c>
      <c r="F8" s="15">
        <f t="shared" ca="1" si="7"/>
        <v>436.5</v>
      </c>
      <c r="G8" s="25">
        <f t="shared" ca="1" si="1"/>
        <v>549.48780648043487</v>
      </c>
      <c r="H8" s="25">
        <f t="shared" ca="1" si="2"/>
        <v>16.161406072953966</v>
      </c>
      <c r="I8" s="26"/>
      <c r="J8" s="27">
        <f ca="1">IF(OR($C8="",$C8="All"),"",HLOOKUP($A$11,INDIRECT("'" &amp; $A$5 &amp; "'!$A:$AN"),13,FALSE))</f>
        <v>-227175000000</v>
      </c>
      <c r="K8" s="27">
        <f t="shared" ca="1" si="5"/>
        <v>176381000000</v>
      </c>
      <c r="L8" s="27">
        <f t="shared" ca="1" si="6"/>
        <v>-176381000000</v>
      </c>
      <c r="M8" s="16">
        <f t="shared" ca="1" si="3"/>
        <v>-320.9916542639063</v>
      </c>
    </row>
    <row r="9" spans="1:14" x14ac:dyDescent="0.25">
      <c r="B9" s="8"/>
      <c r="C9" s="2" t="str">
        <f ca="1">IF(ISBLANK(INDIRECT("'" &amp; $A$5 &amp; "'!B14")),"",RIGHT(INDIRECT("'" &amp; $A$5 &amp; "'!B14"),LEN(INDIRECT("'" &amp; $A$5 &amp; "'!B14"))-20))</f>
        <v>Non BAU Mandated Capacity Construction</v>
      </c>
      <c r="D9" s="15">
        <f ca="1">IF($C9="","",HLOOKUP($A$11,INDIRECT("'" &amp; $A$5 &amp; "'!$A:$AN"),14,FALSE))</f>
        <v>16114.5</v>
      </c>
      <c r="E9" s="15">
        <f t="shared" ca="1" si="4"/>
        <v>-60.299999999999272</v>
      </c>
      <c r="F9" s="15" t="str">
        <f t="shared" ca="1" si="7"/>
        <v>exclude</v>
      </c>
      <c r="G9" s="25" t="str">
        <f t="shared" ca="1" si="1"/>
        <v>exclude</v>
      </c>
      <c r="H9" s="25" t="str">
        <f t="shared" ca="1" si="2"/>
        <v>exclude</v>
      </c>
      <c r="I9" s="26"/>
      <c r="J9" s="27">
        <f ca="1">IF(OR($C9="",$C9="All"),"",HLOOKUP($A$11,INDIRECT("'" &amp; $A$5 &amp; "'!$A:$AN"),15,FALSE))</f>
        <v>-412205000000</v>
      </c>
      <c r="K9" s="27">
        <f t="shared" ca="1" si="5"/>
        <v>-8649000000</v>
      </c>
      <c r="L9" s="27">
        <f t="shared" ca="1" si="6"/>
        <v>8649000000</v>
      </c>
      <c r="M9" s="16" t="str">
        <f t="shared" ca="1" si="3"/>
        <v>exclude</v>
      </c>
    </row>
    <row r="10" spans="1:14" ht="15.75" thickBot="1" x14ac:dyDescent="0.3">
      <c r="A10" s="18" t="s">
        <v>21</v>
      </c>
      <c r="B10" s="8"/>
      <c r="C10" s="2" t="str">
        <f ca="1">IF(ISBLANK(INDIRECT("'" &amp; $A$5 &amp; "'!B16")),"",RIGHT(INDIRECT("'" &amp; $A$5 &amp; "'!B16"),LEN(INDIRECT("'" &amp; $A$5 &amp; "'!B16"))-20))</f>
        <v>Early Retirement of Power Plants</v>
      </c>
      <c r="D10" s="15">
        <f ca="1">IF($C10="","",HLOOKUP($A$11,INDIRECT("'" &amp; $A$5 &amp; "'!$A:$AN"),16,FALSE))</f>
        <v>16232.8</v>
      </c>
      <c r="E10" s="15">
        <f t="shared" ca="1" si="4"/>
        <v>58</v>
      </c>
      <c r="F10" s="15">
        <f t="shared" ca="1" si="7"/>
        <v>58</v>
      </c>
      <c r="G10" s="25">
        <f t="shared" ca="1" si="1"/>
        <v>73.013270964181487</v>
      </c>
      <c r="H10" s="25">
        <f t="shared" ca="1" si="2"/>
        <v>2.147449146005338</v>
      </c>
      <c r="I10" s="26"/>
      <c r="J10" s="27">
        <f ca="1">IF(OR($C10="",$C10="All"),"",HLOOKUP($A$11,INDIRECT("'" &amp; $A$5 &amp; "'!$A:$AN"),17,FALSE))</f>
        <v>-397877000000</v>
      </c>
      <c r="K10" s="27">
        <f t="shared" ca="1" si="5"/>
        <v>5679000000</v>
      </c>
      <c r="L10" s="27">
        <f t="shared" ca="1" si="6"/>
        <v>-5679000000</v>
      </c>
      <c r="M10" s="16">
        <f t="shared" ca="1" si="3"/>
        <v>-77.78038053912114</v>
      </c>
    </row>
    <row r="11" spans="1:14" ht="15.75" thickBot="1" x14ac:dyDescent="0.3">
      <c r="A11" s="19">
        <v>2050</v>
      </c>
      <c r="B11" s="8"/>
      <c r="C11" s="2" t="str">
        <f ca="1">IF(ISBLANK(INDIRECT("'" &amp; $A$5 &amp; "'!B18")),"",RIGHT(INDIRECT("'" &amp; $A$5 &amp; "'!B18"),LEN(INDIRECT("'" &amp; $A$5 &amp; "'!B18"))-20))</f>
        <v>Improved System Design</v>
      </c>
      <c r="D11" s="15">
        <f ca="1">IF($C11="","",HLOOKUP($A$11,INDIRECT("'" &amp; $A$5 &amp; "'!$A:$AN"),18,FALSE))</f>
        <v>16261.1</v>
      </c>
      <c r="E11" s="15">
        <f t="shared" ca="1" si="4"/>
        <v>86.300000000001091</v>
      </c>
      <c r="F11" s="15">
        <f t="shared" ca="1" si="7"/>
        <v>86.300000000001091</v>
      </c>
      <c r="G11" s="25">
        <f t="shared" ca="1" si="1"/>
        <v>108.63871179670591</v>
      </c>
      <c r="H11" s="25">
        <f t="shared" ca="1" si="2"/>
        <v>3.1952562293148796</v>
      </c>
      <c r="I11" s="26"/>
      <c r="J11" s="27">
        <f ca="1">IF(OR($C11="",$C11="All"),"",HLOOKUP($A$11,INDIRECT("'" &amp; $A$5 &amp; "'!$A:$AN"),19,FALSE))</f>
        <v>-388536000000</v>
      </c>
      <c r="K11" s="27">
        <f t="shared" ca="1" si="5"/>
        <v>15020000000</v>
      </c>
      <c r="L11" s="27">
        <f t="shared" ca="1" si="6"/>
        <v>-15020000000</v>
      </c>
      <c r="M11" s="16">
        <f t="shared" ca="1" si="3"/>
        <v>-138.25642583195128</v>
      </c>
    </row>
    <row r="12" spans="1:14" x14ac:dyDescent="0.25">
      <c r="B12" s="8"/>
      <c r="C12" s="2" t="str">
        <f ca="1">IF(ISBLANK(INDIRECT("'" &amp; $A$5 &amp; "'!B20")),"",RIGHT(INDIRECT("'" &amp; $A$5 &amp; "'!B20"),LEN(INDIRECT("'" &amp; $A$5 &amp; "'!B20"))-20))</f>
        <v>Industrial Electrification</v>
      </c>
      <c r="D12" s="15">
        <f ca="1">IF($C12="","",HLOOKUP($A$11,INDIRECT("'" &amp; $A$5 &amp; "'!$A:$AN"),20,FALSE))</f>
        <v>16543</v>
      </c>
      <c r="E12" s="15">
        <f t="shared" ca="1" si="4"/>
        <v>368.20000000000073</v>
      </c>
      <c r="F12" s="15">
        <f t="shared" ca="1" si="7"/>
        <v>368.20000000000073</v>
      </c>
      <c r="G12" s="25">
        <f t="shared" ca="1" si="1"/>
        <v>463.50838567261519</v>
      </c>
      <c r="H12" s="25">
        <f t="shared" ca="1" si="2"/>
        <v>13.63259957860633</v>
      </c>
      <c r="I12" s="26"/>
      <c r="J12" s="27">
        <f ca="1">IF(OR($C12="",$C12="All"),"",HLOOKUP($A$11,INDIRECT("'" &amp; $A$5 &amp; "'!$A:$AN"),21,FALSE))</f>
        <v>-507879000000</v>
      </c>
      <c r="K12" s="27">
        <f t="shared" ca="1" si="5"/>
        <v>-104323000000</v>
      </c>
      <c r="L12" s="27">
        <f t="shared" ca="1" si="6"/>
        <v>104323000000</v>
      </c>
      <c r="M12" s="16">
        <f t="shared" ca="1" si="3"/>
        <v>225.07251912737848</v>
      </c>
    </row>
    <row r="13" spans="1:14" ht="15.75" thickBot="1" x14ac:dyDescent="0.3">
      <c r="A13" s="18" t="s">
        <v>31</v>
      </c>
      <c r="B13" s="8"/>
      <c r="C13" s="2" t="str">
        <f ca="1">IF(ISBLANK(INDIRECT("'" &amp; $A$5 &amp; "'!B22")),"",RIGHT(INDIRECT("'" &amp; $A$5 &amp; "'!B22"),LEN(INDIRECT("'" &amp; $A$5 &amp; "'!B22"))-20))</f>
        <v>Methane Capture and Destruction</v>
      </c>
      <c r="D13" s="15">
        <f ca="1">IF($C13="","",HLOOKUP($A$11,INDIRECT("'" &amp; $A$5 &amp; "'!$A:$AN"),22,FALSE))</f>
        <v>16874.599999999999</v>
      </c>
      <c r="E13" s="15">
        <f t="shared" ca="1" si="4"/>
        <v>699.79999999999927</v>
      </c>
      <c r="F13" s="15">
        <f t="shared" ca="1" si="7"/>
        <v>699.79999999999927</v>
      </c>
      <c r="G13" s="25">
        <f t="shared" ca="1" si="1"/>
        <v>880.94287966783031</v>
      </c>
      <c r="H13" s="25">
        <f t="shared" ca="1" si="2"/>
        <v>25.910084696112655</v>
      </c>
      <c r="I13" s="26"/>
      <c r="J13" s="27">
        <f ca="1">IF(OR($C13="",$C13="All"),"",HLOOKUP($A$11,INDIRECT("'" &amp; $A$5 &amp; "'!$A:$AN"),23,FALSE))</f>
        <v>-400787000000</v>
      </c>
      <c r="K13" s="27">
        <f t="shared" ca="1" si="5"/>
        <v>2769000000</v>
      </c>
      <c r="L13" s="27">
        <f t="shared" ca="1" si="6"/>
        <v>-2769000000</v>
      </c>
      <c r="M13" s="16">
        <f t="shared" ca="1" si="3"/>
        <v>-3.1432230896106264</v>
      </c>
    </row>
    <row r="14" spans="1:14" ht="15.75" thickBot="1" x14ac:dyDescent="0.3">
      <c r="A14" s="41">
        <v>3.0000000000000001E-3</v>
      </c>
      <c r="B14" s="8"/>
      <c r="C14" s="2" t="str">
        <f ca="1">IF(ISBLANK(INDIRECT("'" &amp; $A$5 &amp; "'!B24")),"",RIGHT(INDIRECT("'" &amp; $A$5 &amp; "'!B24"),LEN(INDIRECT("'" &amp; $A$5 &amp; "'!B24"))-20))</f>
        <v>Reduce F-gases</v>
      </c>
      <c r="D14" s="15">
        <f ca="1">IF($C14="","",HLOOKUP($A$11,INDIRECT("'" &amp; $A$5 &amp; "'!$A:$AN"),24,FALSE))</f>
        <v>16296.3</v>
      </c>
      <c r="E14" s="15">
        <f t="shared" ca="1" si="4"/>
        <v>121.5</v>
      </c>
      <c r="F14" s="15">
        <f t="shared" ca="1" si="7"/>
        <v>121.5</v>
      </c>
      <c r="G14" s="25">
        <f t="shared" ca="1" si="1"/>
        <v>152.95021417496639</v>
      </c>
      <c r="H14" s="25">
        <f t="shared" ca="1" si="2"/>
        <v>4.4985357110284232</v>
      </c>
      <c r="I14" s="26"/>
      <c r="J14" s="27">
        <f ca="1">IF(OR($C14="",$C14="All"),"",HLOOKUP($A$11,INDIRECT("'" &amp; $A$5 &amp; "'!$A:$AN"),25,FALSE))</f>
        <v>-405269000000</v>
      </c>
      <c r="K14" s="27">
        <f t="shared" ca="1" si="5"/>
        <v>-1713000000</v>
      </c>
      <c r="L14" s="27">
        <f t="shared" ca="1" si="6"/>
        <v>1713000000</v>
      </c>
      <c r="M14" s="16">
        <f t="shared" ca="1" si="3"/>
        <v>11.199722793721785</v>
      </c>
    </row>
    <row r="15" spans="1:14" x14ac:dyDescent="0.25">
      <c r="B15" s="8"/>
      <c r="C15" s="2" t="str">
        <f ca="1">IF(ISBLANK(INDIRECT("'" &amp; $A$5 &amp; "'!B26")),"",RIGHT(INDIRECT("'" &amp; $A$5 &amp; "'!B26"),LEN(INDIRECT("'" &amp; $A$5 &amp; "'!B26"))-20))</f>
        <v>Worker Training</v>
      </c>
      <c r="D15" s="15">
        <f ca="1">IF($C15="","",HLOOKUP($A$11,INDIRECT("'" &amp; $A$5 &amp; "'!$A:$AN"),26,FALSE))</f>
        <v>16202.9</v>
      </c>
      <c r="E15" s="15">
        <f t="shared" ca="1" si="4"/>
        <v>28.100000000000364</v>
      </c>
      <c r="F15" s="15">
        <f t="shared" ca="1" si="7"/>
        <v>28.100000000000364</v>
      </c>
      <c r="G15" s="25">
        <f t="shared" ca="1" si="1"/>
        <v>35.373670932647009</v>
      </c>
      <c r="H15" s="25">
        <f t="shared" ca="1" si="2"/>
        <v>1.0404020862543237</v>
      </c>
      <c r="I15" s="26"/>
      <c r="J15" s="27">
        <f ca="1">IF(OR($C15="",$C15="All"),"",HLOOKUP($A$11,INDIRECT("'" &amp; $A$5 &amp; "'!$A:$AN"),27,FALSE))</f>
        <v>-403727000000</v>
      </c>
      <c r="K15" s="27">
        <f t="shared" ca="1" si="5"/>
        <v>-171000000</v>
      </c>
      <c r="L15" s="27">
        <f t="shared" ca="1" si="6"/>
        <v>171000000</v>
      </c>
      <c r="M15" s="16">
        <f t="shared" ca="1" si="3"/>
        <v>4.8341038826756586</v>
      </c>
    </row>
    <row r="16" spans="1:14" x14ac:dyDescent="0.25">
      <c r="A16" s="18" t="s">
        <v>15</v>
      </c>
      <c r="B16" s="8"/>
      <c r="C16" s="2" t="str">
        <f ca="1">IF(ISBLANK(INDIRECT("'" &amp; $A$5 &amp; "'!B28")),"",RIGHT(INDIRECT("'" &amp; $A$5 &amp; "'!B28"),LEN(INDIRECT("'" &amp; $A$5 &amp; "'!B28"))-20))</f>
        <v>Carbon Tax</v>
      </c>
      <c r="D16" s="15">
        <f ca="1">IF($C16="","",HLOOKUP($A$11,INDIRECT("'" &amp; $A$5 &amp; "'!$A:$AN"),28,FALSE))</f>
        <v>21315.3</v>
      </c>
      <c r="E16" s="15">
        <f t="shared" ca="1" si="4"/>
        <v>5140.5</v>
      </c>
      <c r="F16" s="15">
        <f t="shared" ca="1" si="7"/>
        <v>5140.5</v>
      </c>
      <c r="G16" s="25">
        <f t="shared" ca="1" si="1"/>
        <v>6471.1158515754305</v>
      </c>
      <c r="H16" s="25">
        <f t="shared" ca="1" si="2"/>
        <v>190.32693681104206</v>
      </c>
      <c r="I16" s="26"/>
      <c r="J16" s="27">
        <f ca="1">IF(OR($C16="",$C16="All"),"",HLOOKUP($A$11,INDIRECT("'" &amp; $A$5 &amp; "'!$A:$AN"),29,FALSE))</f>
        <v>19217700000</v>
      </c>
      <c r="K16" s="27">
        <f t="shared" ca="1" si="5"/>
        <v>422773700000</v>
      </c>
      <c r="L16" s="27">
        <f t="shared" ca="1" si="6"/>
        <v>-422773700000</v>
      </c>
      <c r="M16" s="16">
        <f t="shared" ca="1" si="3"/>
        <v>-65.332426384712818</v>
      </c>
    </row>
    <row r="17" spans="1:13" x14ac:dyDescent="0.25">
      <c r="A17" s="13">
        <f>A11-A8+1</f>
        <v>34</v>
      </c>
      <c r="B17" s="8"/>
      <c r="C17" s="2" t="str">
        <f ca="1">IF(ISBLANK(INDIRECT("'" &amp; $A$5 &amp; "'!B30")),"",RIGHT(INDIRECT("'" &amp; $A$5 &amp; "'!B30"),LEN(INDIRECT("'" &amp; $A$5 &amp; "'!B30"))-20))</f>
        <v>End Existing Subsidies</v>
      </c>
      <c r="D17" s="15">
        <f ca="1">IF($C17="","",HLOOKUP($A$11,INDIRECT("'" &amp; $A$5 &amp; "'!$A:$AN"),30,FALSE))</f>
        <v>16191.7</v>
      </c>
      <c r="E17" s="15">
        <f t="shared" ca="1" si="4"/>
        <v>16.900000000001455</v>
      </c>
      <c r="F17" s="15" t="str">
        <f t="shared" ca="1" si="7"/>
        <v>exclude</v>
      </c>
      <c r="G17" s="25" t="str">
        <f t="shared" ca="1" si="1"/>
        <v>exclude</v>
      </c>
      <c r="H17" s="25" t="str">
        <f t="shared" ca="1" si="2"/>
        <v>exclude</v>
      </c>
      <c r="I17" s="26"/>
      <c r="J17" s="27">
        <f ca="1">IF(OR($C17="",$C17="All"),"",HLOOKUP($A$11,INDIRECT("'" &amp; $A$5 &amp; "'!$A:$AN"),31,FALSE))</f>
        <v>-418685000000</v>
      </c>
      <c r="K17" s="27">
        <f t="shared" ca="1" si="5"/>
        <v>-15129000000</v>
      </c>
      <c r="L17" s="27">
        <f t="shared" ca="1" si="6"/>
        <v>15129000000</v>
      </c>
      <c r="M17" s="16" t="str">
        <f t="shared" ca="1" si="3"/>
        <v>exclude</v>
      </c>
    </row>
    <row r="18" spans="1:13" x14ac:dyDescent="0.25">
      <c r="C18" s="2" t="str">
        <f ca="1">IF(ISBLANK(INDIRECT("'" &amp; $A$5 &amp; "'!B32")),"",RIGHT(INDIRECT("'" &amp; $A$5 &amp; "'!B32"),LEN(INDIRECT("'" &amp; $A$5 &amp; "'!B32"))-20))</f>
        <v>All</v>
      </c>
      <c r="D18" s="15">
        <f ca="1">IF($C18="","",HLOOKUP($A$11,INDIRECT("'" &amp; $A$5 &amp; "'!$A:$AN"),32,FALSE))</f>
        <v>25755.4</v>
      </c>
      <c r="E18" s="15" t="str">
        <f t="shared" ca="1" si="4"/>
        <v/>
      </c>
      <c r="F18" s="15" t="str">
        <f t="shared" ca="1" si="7"/>
        <v/>
      </c>
      <c r="G18" s="25" t="str">
        <f t="shared" ca="1" si="1"/>
        <v/>
      </c>
      <c r="H18" s="25" t="str">
        <f t="shared" ca="1" si="2"/>
        <v/>
      </c>
      <c r="I18" s="22"/>
      <c r="J18" s="27" t="str">
        <f ca="1">IF(OR($C18="",$C18="All"),"",HLOOKUP($A$11,INDIRECT("'" &amp; $A$5 &amp; "'!$A:$AN"),33,FALSE))</f>
        <v/>
      </c>
      <c r="K18" s="27" t="str">
        <f t="shared" ca="1" si="5"/>
        <v/>
      </c>
      <c r="L18" s="27" t="str">
        <f t="shared" ca="1" si="6"/>
        <v/>
      </c>
      <c r="M18" s="16" t="str">
        <f t="shared" ca="1" si="3"/>
        <v/>
      </c>
    </row>
    <row r="19" spans="1:13" x14ac:dyDescent="0.25">
      <c r="C19" s="2" t="str">
        <f ca="1">IF(ISBLANK(INDIRECT("'" &amp; $A$5 &amp; "'!B34")),"",RIGHT(INDIRECT("'" &amp; $A$5 &amp; "'!B34"),LEN(INDIRECT("'" &amp; $A$5 &amp; "'!B34"))-20))</f>
        <v/>
      </c>
      <c r="D19" s="15" t="str">
        <f ca="1">IF($C19="","",HLOOKUP($A$11,INDIRECT("'" &amp; $A$5 &amp; "'!$A:$AN"),34,FALSE))</f>
        <v/>
      </c>
      <c r="E19" s="15" t="str">
        <f t="shared" ca="1" si="4"/>
        <v/>
      </c>
      <c r="F19" s="15" t="str">
        <f t="shared" ca="1" si="7"/>
        <v/>
      </c>
      <c r="G19" s="25" t="str">
        <f t="shared" ca="1" si="1"/>
        <v/>
      </c>
      <c r="H19" s="25" t="str">
        <f t="shared" ca="1" si="2"/>
        <v/>
      </c>
      <c r="I19" s="22"/>
      <c r="J19" s="27" t="str">
        <f ca="1">IF(OR($C19="",$C19="All"),"",HLOOKUP($A$11,INDIRECT("'" &amp; $A$5 &amp; "'!$A:$AN"),35,FALSE))</f>
        <v/>
      </c>
      <c r="K19" s="27" t="str">
        <f t="shared" ca="1" si="5"/>
        <v/>
      </c>
      <c r="L19" s="27" t="str">
        <f t="shared" ca="1" si="6"/>
        <v/>
      </c>
      <c r="M19" s="16" t="str">
        <f ca="1">IF(G19="","",IF(G19="exclude","exclude",L19/(G19*10^6)))</f>
        <v/>
      </c>
    </row>
    <row r="20" spans="1:13" x14ac:dyDescent="0.25">
      <c r="C20" s="2" t="str">
        <f ca="1">IF(ISBLANK(INDIRECT("'" &amp; $A$5 &amp; "'!B36")),"",RIGHT(INDIRECT("'" &amp; $A$5 &amp; "'!B36"),LEN(INDIRECT("'" &amp; $A$5 &amp; "'!B36"))-20))</f>
        <v/>
      </c>
      <c r="D20" s="15" t="str">
        <f ca="1">IF($C20="","",HLOOKUP($A$11,INDIRECT("'" &amp; $A$5 &amp; "'!$A:$AN"),36,FALSE))</f>
        <v/>
      </c>
      <c r="E20" s="15" t="str">
        <f t="shared" ca="1" si="4"/>
        <v/>
      </c>
      <c r="F20" s="15" t="str">
        <f t="shared" ca="1" si="7"/>
        <v/>
      </c>
      <c r="G20" s="25" t="str">
        <f t="shared" ca="1" si="1"/>
        <v/>
      </c>
      <c r="H20" s="25" t="str">
        <f t="shared" ca="1" si="2"/>
        <v/>
      </c>
      <c r="I20" s="22"/>
      <c r="J20" s="27" t="str">
        <f ca="1">IF(OR($C20="",$C20="All"),"",HLOOKUP($A$11,INDIRECT("'" &amp; $A$5 &amp; "'!$A:$AN"),37,FALSE))</f>
        <v/>
      </c>
      <c r="K20" s="27" t="str">
        <f t="shared" ca="1" si="5"/>
        <v/>
      </c>
      <c r="L20" s="27" t="str">
        <f t="shared" ca="1" si="6"/>
        <v/>
      </c>
      <c r="M20" s="16" t="str">
        <f t="shared" ref="M20:M27" ca="1" si="8">IF(G20="","",IF(G20="exclude","exclude",L20/(G20*10^6)))</f>
        <v/>
      </c>
    </row>
    <row r="21" spans="1:13" x14ac:dyDescent="0.25">
      <c r="C21" s="2" t="str">
        <f ca="1">IF(ISBLANK(INDIRECT("'" &amp; $A$5 &amp; "'!B38")),"",RIGHT(INDIRECT("'" &amp; $A$5 &amp; "'!B38"),LEN(INDIRECT("'" &amp; $A$5 &amp; "'!B38"))-20))</f>
        <v/>
      </c>
      <c r="D21" s="15" t="str">
        <f ca="1">IF($C21="","",HLOOKUP($A$11,INDIRECT("'" &amp; $A$5 &amp; "'!$A:$AN"),38,FALSE))</f>
        <v/>
      </c>
      <c r="E21" s="15" t="str">
        <f t="shared" ca="1" si="4"/>
        <v/>
      </c>
      <c r="F21" s="15" t="str">
        <f t="shared" ca="1" si="7"/>
        <v/>
      </c>
      <c r="G21" s="25" t="str">
        <f t="shared" ca="1" si="1"/>
        <v/>
      </c>
      <c r="H21" s="25" t="str">
        <f t="shared" ca="1" si="2"/>
        <v/>
      </c>
      <c r="I21" s="22"/>
      <c r="J21" s="27" t="str">
        <f ca="1">IF(OR($C21="",$C21="All"),"",HLOOKUP($A$11,INDIRECT("'" &amp; $A$5 &amp; "'!$A:$AN"),39,FALSE))</f>
        <v/>
      </c>
      <c r="K21" s="27" t="str">
        <f t="shared" ca="1" si="5"/>
        <v/>
      </c>
      <c r="L21" s="27" t="str">
        <f t="shared" ca="1" si="6"/>
        <v/>
      </c>
      <c r="M21" s="16" t="str">
        <f t="shared" ca="1" si="8"/>
        <v/>
      </c>
    </row>
    <row r="22" spans="1:13" x14ac:dyDescent="0.25">
      <c r="C22" s="2" t="str">
        <f ca="1">IF(ISBLANK(INDIRECT("'" &amp; $A$5 &amp; "'!B40")),"",RIGHT(INDIRECT("'" &amp; $A$5 &amp; "'!B40"),LEN(INDIRECT("'" &amp; $A$5 &amp; "'!B40"))-20))</f>
        <v/>
      </c>
      <c r="D22" s="15" t="str">
        <f ca="1">IF($C22="","",HLOOKUP($A$11,INDIRECT("'" &amp; $A$5 &amp; "'!$A:$AN"),40,FALSE))</f>
        <v/>
      </c>
      <c r="E22" s="15" t="str">
        <f t="shared" ca="1" si="4"/>
        <v/>
      </c>
      <c r="F22" s="15" t="str">
        <f t="shared" ca="1" si="7"/>
        <v/>
      </c>
      <c r="G22" s="25" t="str">
        <f t="shared" ca="1" si="1"/>
        <v/>
      </c>
      <c r="H22" s="25" t="str">
        <f t="shared" ca="1" si="2"/>
        <v/>
      </c>
      <c r="I22" s="22"/>
      <c r="J22" s="27" t="str">
        <f ca="1">IF(OR($C22="",$C22="All"),"",HLOOKUP($A$11,INDIRECT("'" &amp; $A$5 &amp; "'!$A:$AN"),41,FALSE))</f>
        <v/>
      </c>
      <c r="K22" s="27" t="str">
        <f t="shared" ca="1" si="5"/>
        <v/>
      </c>
      <c r="L22" s="27" t="str">
        <f t="shared" ca="1" si="6"/>
        <v/>
      </c>
      <c r="M22" s="16" t="str">
        <f t="shared" ca="1" si="8"/>
        <v/>
      </c>
    </row>
    <row r="23" spans="1:13" x14ac:dyDescent="0.25">
      <c r="C23" s="2" t="str">
        <f ca="1">IF(ISBLANK(INDIRECT("'" &amp; $A$5 &amp; "'!B42")),"",RIGHT(INDIRECT("'" &amp; $A$5 &amp; "'!B42"),LEN(INDIRECT("'" &amp; $A$5 &amp; "'!B42"))-20))</f>
        <v/>
      </c>
      <c r="D23" s="15" t="str">
        <f ca="1">IF($C23="","",HLOOKUP($A$11,INDIRECT("'" &amp; $A$5 &amp; "'!$A:$AN"),42,FALSE))</f>
        <v/>
      </c>
      <c r="E23" s="15" t="str">
        <f t="shared" ca="1" si="4"/>
        <v/>
      </c>
      <c r="F23" s="15" t="str">
        <f t="shared" ca="1" si="7"/>
        <v/>
      </c>
      <c r="G23" s="25" t="str">
        <f t="shared" ca="1" si="1"/>
        <v/>
      </c>
      <c r="H23" s="25" t="str">
        <f t="shared" ca="1" si="2"/>
        <v/>
      </c>
      <c r="I23" s="22"/>
      <c r="J23" s="27" t="str">
        <f ca="1">IF(OR($C23="",$C23="All"),"",HLOOKUP($A$11,INDIRECT("'" &amp; $A$5 &amp; "'!$A:$AN"),43,FALSE))</f>
        <v/>
      </c>
      <c r="K23" s="27" t="str">
        <f t="shared" ca="1" si="5"/>
        <v/>
      </c>
      <c r="L23" s="27" t="str">
        <f t="shared" ca="1" si="6"/>
        <v/>
      </c>
      <c r="M23" s="16" t="str">
        <f t="shared" ca="1" si="8"/>
        <v/>
      </c>
    </row>
    <row r="24" spans="1:13" x14ac:dyDescent="0.25">
      <c r="C24" s="2" t="str">
        <f ca="1">IF(ISBLANK(INDIRECT("'" &amp; $A$5 &amp; "'!B44")),"",RIGHT(INDIRECT("'" &amp; $A$5 &amp; "'!B44"),LEN(INDIRECT("'" &amp; $A$5 &amp; "'!B44"))-20))</f>
        <v/>
      </c>
      <c r="D24" s="15" t="str">
        <f ca="1">IF($C24="","",HLOOKUP($A$11,INDIRECT("'" &amp; $A$5 &amp; "'!$A:$AN"),44,FALSE))</f>
        <v/>
      </c>
      <c r="E24" s="15" t="str">
        <f t="shared" ca="1" si="4"/>
        <v/>
      </c>
      <c r="F24" s="15" t="str">
        <f t="shared" ca="1" si="7"/>
        <v/>
      </c>
      <c r="G24" s="25" t="str">
        <f t="shared" ca="1" si="1"/>
        <v/>
      </c>
      <c r="H24" s="25" t="str">
        <f t="shared" ca="1" si="2"/>
        <v/>
      </c>
      <c r="I24" s="22"/>
      <c r="J24" s="27" t="str">
        <f ca="1">IF(OR($C24="",$C24="All"),"",HLOOKUP($A$11,INDIRECT("'" &amp; $A$5 &amp; "'!$A:$AN"),45,FALSE))</f>
        <v/>
      </c>
      <c r="K24" s="27" t="str">
        <f t="shared" ca="1" si="5"/>
        <v/>
      </c>
      <c r="L24" s="27" t="str">
        <f t="shared" ca="1" si="6"/>
        <v/>
      </c>
      <c r="M24" s="16" t="str">
        <f t="shared" ca="1" si="8"/>
        <v/>
      </c>
    </row>
    <row r="25" spans="1:13" x14ac:dyDescent="0.25">
      <c r="C25" s="2" t="str">
        <f ca="1">IF(ISBLANK(INDIRECT("'" &amp; $A$5 &amp; "'!B46")),"",RIGHT(INDIRECT("'" &amp; $A$5 &amp; "'!B46"),LEN(INDIRECT("'" &amp; $A$5 &amp; "'!B46"))-20))</f>
        <v/>
      </c>
      <c r="D25" s="15" t="str">
        <f ca="1">IF($C25="","",HLOOKUP($A$11,INDIRECT("'" &amp; $A$5 &amp; "'!$A:$AN"),46,FALSE))</f>
        <v/>
      </c>
      <c r="E25" s="15" t="str">
        <f t="shared" ca="1" si="4"/>
        <v/>
      </c>
      <c r="F25" s="15" t="str">
        <f t="shared" ca="1" si="7"/>
        <v/>
      </c>
      <c r="G25" s="25" t="str">
        <f t="shared" ca="1" si="1"/>
        <v/>
      </c>
      <c r="H25" s="25" t="str">
        <f t="shared" ca="1" si="2"/>
        <v/>
      </c>
      <c r="I25" s="22"/>
      <c r="J25" s="27" t="str">
        <f ca="1">IF(OR($C25="",$C25="All"),"",HLOOKUP($A$11,INDIRECT("'" &amp; $A$5 &amp; "'!$A:$AN"),47,FALSE))</f>
        <v/>
      </c>
      <c r="K25" s="27" t="str">
        <f t="shared" ca="1" si="5"/>
        <v/>
      </c>
      <c r="L25" s="27" t="str">
        <f t="shared" ca="1" si="6"/>
        <v/>
      </c>
      <c r="M25" s="16" t="str">
        <f t="shared" ca="1" si="8"/>
        <v/>
      </c>
    </row>
    <row r="26" spans="1:13" x14ac:dyDescent="0.25">
      <c r="C26" s="2" t="str">
        <f ca="1">IF(ISBLANK(INDIRECT("'" &amp; $A$5 &amp; "'!B48")),"",RIGHT(INDIRECT("'" &amp; $A$5 &amp; "'!B48"),LEN(INDIRECT("'" &amp; $A$5 &amp; "'!B48"))-20))</f>
        <v/>
      </c>
      <c r="D26" s="15" t="str">
        <f ca="1">IF($C26="","",HLOOKUP($A$11,INDIRECT("'" &amp; $A$5 &amp; "'!$A:$AN"),48,FALSE))</f>
        <v/>
      </c>
      <c r="E26" s="15" t="str">
        <f t="shared" ca="1" si="4"/>
        <v/>
      </c>
      <c r="F26" s="15" t="str">
        <f t="shared" ca="1" si="7"/>
        <v/>
      </c>
      <c r="G26" s="25" t="str">
        <f t="shared" ca="1" si="1"/>
        <v/>
      </c>
      <c r="H26" s="25" t="str">
        <f t="shared" ca="1" si="2"/>
        <v/>
      </c>
      <c r="I26" s="22"/>
      <c r="J26" s="27" t="str">
        <f ca="1">IF(OR($C26="",$C26="All"),"",HLOOKUP($A$11,INDIRECT("'" &amp; $A$5 &amp; "'!$A:$AN"),49,FALSE))</f>
        <v/>
      </c>
      <c r="K26" s="27" t="str">
        <f t="shared" ca="1" si="5"/>
        <v/>
      </c>
      <c r="L26" s="27" t="str">
        <f t="shared" ca="1" si="6"/>
        <v/>
      </c>
      <c r="M26" s="16" t="str">
        <f t="shared" ca="1" si="8"/>
        <v/>
      </c>
    </row>
    <row r="27" spans="1:13" x14ac:dyDescent="0.25">
      <c r="C27" s="2" t="str">
        <f ca="1">IF(ISBLANK(INDIRECT("'" &amp; $A$5 &amp; "'!B50")),"",RIGHT(INDIRECT("'" &amp; $A$5 &amp; "'!B50"),LEN(INDIRECT("'" &amp; $A$5 &amp; "'!B50"))-20))</f>
        <v/>
      </c>
      <c r="D27" s="15" t="str">
        <f ca="1">IF($C27="","",HLOOKUP($A$11,INDIRECT("'" &amp; $A$5 &amp; "'!$A:$AN"),50,FALSE))</f>
        <v/>
      </c>
      <c r="E27" s="15" t="str">
        <f t="shared" ca="1" si="4"/>
        <v/>
      </c>
      <c r="F27" s="15" t="str">
        <f t="shared" ca="1" si="7"/>
        <v/>
      </c>
      <c r="G27" s="25" t="str">
        <f t="shared" ca="1" si="1"/>
        <v/>
      </c>
      <c r="H27" s="25" t="str">
        <f t="shared" ca="1" si="2"/>
        <v/>
      </c>
      <c r="I27" s="22"/>
      <c r="J27" s="27" t="str">
        <f ca="1">IF(OR($C27="",$C27="All"),"",HLOOKUP($A$11,INDIRECT("'" &amp; $A$5 &amp; "'!$A:$AN"),51,FALSE))</f>
        <v/>
      </c>
      <c r="K27" s="27" t="str">
        <f t="shared" ca="1" si="5"/>
        <v/>
      </c>
      <c r="L27" s="27" t="str">
        <f t="shared" ca="1" si="6"/>
        <v/>
      </c>
      <c r="M27" s="16" t="str">
        <f t="shared" ca="1" si="8"/>
        <v/>
      </c>
    </row>
    <row r="28" spans="1:13" s="9" customFormat="1" x14ac:dyDescent="0.25">
      <c r="A28" s="21"/>
      <c r="F28" s="22"/>
      <c r="G28" s="8"/>
      <c r="H28" s="8"/>
      <c r="J28" s="23"/>
      <c r="M28" s="24"/>
    </row>
    <row r="29" spans="1:13" x14ac:dyDescent="0.25">
      <c r="A29" s="18"/>
      <c r="G29" s="6"/>
      <c r="H29" s="6"/>
      <c r="J29" s="1"/>
      <c r="K29" s="1"/>
      <c r="L29" s="1"/>
      <c r="M29" s="11"/>
    </row>
    <row r="30" spans="1:13" x14ac:dyDescent="0.25">
      <c r="G30" s="6"/>
      <c r="H30" s="6"/>
      <c r="J30" s="1"/>
      <c r="K30" s="1"/>
      <c r="L30" s="1"/>
      <c r="M30" s="11"/>
    </row>
    <row r="33" spans="1:12" x14ac:dyDescent="0.25">
      <c r="A33" s="18"/>
    </row>
    <row r="40" spans="1:12" x14ac:dyDescent="0.25">
      <c r="K40" s="10"/>
      <c r="L40" s="10"/>
    </row>
    <row r="49" spans="3:3" x14ac:dyDescent="0.25">
      <c r="C49" t="str">
        <f t="shared" ref="C49:C53" ca="1" si="9">C23</f>
        <v/>
      </c>
    </row>
    <row r="50" spans="3:3" x14ac:dyDescent="0.25">
      <c r="C50" t="str">
        <f t="shared" ca="1" si="9"/>
        <v/>
      </c>
    </row>
    <row r="51" spans="3:3" x14ac:dyDescent="0.25">
      <c r="C51" t="str">
        <f t="shared" ca="1" si="9"/>
        <v/>
      </c>
    </row>
    <row r="52" spans="3:3" x14ac:dyDescent="0.25">
      <c r="C52" t="str">
        <f t="shared" ca="1" si="9"/>
        <v/>
      </c>
    </row>
    <row r="53" spans="3:3" x14ac:dyDescent="0.25">
      <c r="C53" t="str">
        <f t="shared" ca="1" si="9"/>
        <v/>
      </c>
    </row>
  </sheetData>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A114"/>
  <sheetViews>
    <sheetView workbookViewId="0"/>
  </sheetViews>
  <sheetFormatPr defaultRowHeight="15" x14ac:dyDescent="0.25"/>
  <cols>
    <col min="1" max="1" width="53.5703125" customWidth="1"/>
    <col min="2" max="2" width="15.5703125" customWidth="1"/>
    <col min="3" max="3" width="22.42578125" customWidth="1"/>
    <col min="4" max="4" width="9.140625" customWidth="1"/>
    <col min="27" max="27" width="9.140625" style="9"/>
  </cols>
  <sheetData>
    <row r="1" spans="1:10" ht="30.75" thickBot="1" x14ac:dyDescent="0.3">
      <c r="A1" s="30" t="s">
        <v>30</v>
      </c>
      <c r="B1" s="47" t="s">
        <v>34</v>
      </c>
      <c r="C1" s="48" t="s">
        <v>33</v>
      </c>
      <c r="D1" s="32" t="s">
        <v>37</v>
      </c>
      <c r="E1" s="36"/>
      <c r="F1" s="36"/>
      <c r="G1" s="36"/>
      <c r="H1" s="36"/>
      <c r="I1" s="36"/>
      <c r="J1" s="36"/>
    </row>
    <row r="2" spans="1:10" x14ac:dyDescent="0.25">
      <c r="A2" s="28" t="str">
        <f ca="1">Calculations!C6</f>
        <v>Transportation Demand Management</v>
      </c>
      <c r="B2" s="43">
        <f ca="1">Calculations!H6</f>
        <v>8.419481651752017</v>
      </c>
      <c r="C2" s="34">
        <f ca="1">Calculations!M6</f>
        <v>-874.12115890674261</v>
      </c>
    </row>
    <row r="3" spans="1:10" x14ac:dyDescent="0.25">
      <c r="A3" s="28" t="str">
        <f ca="1">Calculations!C8</f>
        <v>Building Energy Efficiency Standards</v>
      </c>
      <c r="B3" s="43">
        <f ca="1">Calculations!H8</f>
        <v>16.161406072953966</v>
      </c>
      <c r="C3" s="34">
        <f ca="1">Calculations!M8</f>
        <v>-320.9916542639063</v>
      </c>
    </row>
    <row r="4" spans="1:10" x14ac:dyDescent="0.25">
      <c r="A4" s="28" t="str">
        <f ca="1">Calculations!C11</f>
        <v>Improved System Design</v>
      </c>
      <c r="B4" s="43">
        <f ca="1">Calculations!H11</f>
        <v>3.1952562293148796</v>
      </c>
      <c r="C4" s="34">
        <f ca="1">Calculations!M11</f>
        <v>-138.25642583195128</v>
      </c>
    </row>
    <row r="5" spans="1:10" x14ac:dyDescent="0.25">
      <c r="A5" s="28" t="str">
        <f ca="1">Calculations!C10</f>
        <v>Early Retirement of Power Plants</v>
      </c>
      <c r="B5" s="43">
        <f ca="1">Calculations!H10</f>
        <v>2.147449146005338</v>
      </c>
      <c r="C5" s="34">
        <f ca="1">Calculations!M10</f>
        <v>-77.78038053912114</v>
      </c>
    </row>
    <row r="6" spans="1:10" x14ac:dyDescent="0.25">
      <c r="A6" s="28" t="str">
        <f ca="1">Calculations!C16</f>
        <v>Carbon Tax</v>
      </c>
      <c r="B6" s="43">
        <f ca="1">Calculations!H16</f>
        <v>190.32693681104206</v>
      </c>
      <c r="C6" s="34">
        <f ca="1">Calculations!M16</f>
        <v>-65.332426384712818</v>
      </c>
    </row>
    <row r="7" spans="1:10" x14ac:dyDescent="0.25">
      <c r="A7" s="28" t="str">
        <f ca="1">Calculations!C13</f>
        <v>Methane Capture and Destruction</v>
      </c>
      <c r="B7" s="33">
        <f ca="1">Calculations!H13</f>
        <v>25.910084696112655</v>
      </c>
      <c r="C7" s="34">
        <f ca="1">Calculations!M13</f>
        <v>-3.1432230896106264</v>
      </c>
    </row>
    <row r="8" spans="1:10" x14ac:dyDescent="0.25">
      <c r="A8" s="28" t="str">
        <f ca="1">Calculations!C5</f>
        <v>Low Carbon Fuel Standard</v>
      </c>
      <c r="B8" s="43">
        <f ca="1">Calculations!H5</f>
        <v>2.6287739545927415</v>
      </c>
      <c r="C8" s="34">
        <f ca="1">Calculations!M5</f>
        <v>4.4753585076414719</v>
      </c>
    </row>
    <row r="9" spans="1:10" x14ac:dyDescent="0.25">
      <c r="A9" s="28" t="str">
        <f ca="1">Calculations!C15</f>
        <v>Worker Training</v>
      </c>
      <c r="B9" s="43">
        <f ca="1">Calculations!H15</f>
        <v>1.0404020862543237</v>
      </c>
      <c r="C9" s="34">
        <f ca="1">Calculations!M15</f>
        <v>4.8341038826756586</v>
      </c>
    </row>
    <row r="10" spans="1:10" x14ac:dyDescent="0.25">
      <c r="A10" s="28" t="str">
        <f ca="1">Calculations!C14</f>
        <v>Reduce F-gases</v>
      </c>
      <c r="B10" s="33">
        <f ca="1">Calculations!H14</f>
        <v>4.4985357110284232</v>
      </c>
      <c r="C10" s="34">
        <f ca="1">Calculations!M14</f>
        <v>11.199722793721785</v>
      </c>
    </row>
    <row r="11" spans="1:10" x14ac:dyDescent="0.25">
      <c r="A11" s="28" t="str">
        <f ca="1">Calculations!C4</f>
        <v>EV Sales Mandate</v>
      </c>
      <c r="B11" s="43">
        <f ca="1">Calculations!H4</f>
        <v>2.9508913264935694</v>
      </c>
      <c r="C11" s="34">
        <f ca="1">Calculations!M4</f>
        <v>139.36965492085503</v>
      </c>
    </row>
    <row r="12" spans="1:10" x14ac:dyDescent="0.25">
      <c r="A12" s="28" t="str">
        <f ca="1">Calculations!C12</f>
        <v>Industrial Electrification</v>
      </c>
      <c r="B12" s="33">
        <f ca="1">Calculations!H12</f>
        <v>13.63259957860633</v>
      </c>
      <c r="C12" s="34">
        <f ca="1">Calculations!M12</f>
        <v>225.07251912737848</v>
      </c>
    </row>
    <row r="13" spans="1:10" x14ac:dyDescent="0.25">
      <c r="A13" s="28" t="str">
        <f ca="1">Calculations!C7</f>
        <v>Building Component Electrification</v>
      </c>
      <c r="B13" s="43">
        <f ca="1">Calculations!H7</f>
        <v>10.870535677020207</v>
      </c>
      <c r="C13" s="34">
        <f ca="1">Calculations!M7</f>
        <v>350.95137214162281</v>
      </c>
    </row>
    <row r="14" spans="1:10" x14ac:dyDescent="0.25">
      <c r="A14" s="28" t="str">
        <f ca="1">Calculations!C19</f>
        <v/>
      </c>
      <c r="B14" s="43" t="str">
        <f ca="1">Calculations!H19</f>
        <v/>
      </c>
      <c r="C14" s="34" t="str">
        <f ca="1">Calculations!M19</f>
        <v/>
      </c>
    </row>
    <row r="15" spans="1:10" x14ac:dyDescent="0.25">
      <c r="A15" s="28" t="str">
        <f ca="1">Calculations!C18</f>
        <v>All</v>
      </c>
      <c r="B15" s="43" t="str">
        <f ca="1">Calculations!H18</f>
        <v/>
      </c>
      <c r="C15" s="34" t="str">
        <f ca="1">Calculations!M18</f>
        <v/>
      </c>
    </row>
    <row r="16" spans="1:10" x14ac:dyDescent="0.25">
      <c r="A16" s="28" t="str">
        <f ca="1">Calculations!C20</f>
        <v/>
      </c>
      <c r="B16" s="43" t="str">
        <f ca="1">Calculations!H20</f>
        <v/>
      </c>
      <c r="C16" s="34" t="str">
        <f ca="1">Calculations!M20</f>
        <v/>
      </c>
    </row>
    <row r="17" spans="1:3" x14ac:dyDescent="0.25">
      <c r="A17" s="28" t="str">
        <f ca="1">Calculations!C24</f>
        <v/>
      </c>
      <c r="B17" s="43" t="str">
        <f ca="1">Calculations!H24</f>
        <v/>
      </c>
      <c r="C17" s="34" t="str">
        <f ca="1">Calculations!M24</f>
        <v/>
      </c>
    </row>
    <row r="18" spans="1:3" x14ac:dyDescent="0.25">
      <c r="A18" s="28" t="str">
        <f ca="1">Calculations!C23</f>
        <v/>
      </c>
      <c r="B18" s="43" t="str">
        <f ca="1">Calculations!H23</f>
        <v/>
      </c>
      <c r="C18" s="34" t="str">
        <f ca="1">Calculations!M23</f>
        <v/>
      </c>
    </row>
    <row r="19" spans="1:3" x14ac:dyDescent="0.25">
      <c r="A19" s="28" t="str">
        <f ca="1">Calculations!C22</f>
        <v/>
      </c>
      <c r="B19" s="43" t="str">
        <f ca="1">Calculations!H22</f>
        <v/>
      </c>
      <c r="C19" s="34" t="str">
        <f ca="1">Calculations!M22</f>
        <v/>
      </c>
    </row>
    <row r="20" spans="1:3" x14ac:dyDescent="0.25">
      <c r="A20" s="28" t="str">
        <f ca="1">Calculations!C21</f>
        <v/>
      </c>
      <c r="B20" s="43" t="str">
        <f ca="1">Calculations!H21</f>
        <v/>
      </c>
      <c r="C20" s="34" t="str">
        <f ca="1">Calculations!M21</f>
        <v/>
      </c>
    </row>
    <row r="21" spans="1:3" x14ac:dyDescent="0.25">
      <c r="A21" s="28" t="str">
        <f ca="1">Calculations!C3</f>
        <v>None</v>
      </c>
      <c r="B21" s="33" t="str">
        <f ca="1">Calculations!H3</f>
        <v/>
      </c>
      <c r="C21" s="35" t="str">
        <f ca="1">Calculations!M3</f>
        <v/>
      </c>
    </row>
    <row r="22" spans="1:3" x14ac:dyDescent="0.25">
      <c r="A22" s="28" t="str">
        <f ca="1">Calculations!C25</f>
        <v/>
      </c>
      <c r="B22" s="33" t="str">
        <f ca="1">Calculations!H25</f>
        <v/>
      </c>
      <c r="C22" s="35" t="str">
        <f ca="1">Calculations!M25</f>
        <v/>
      </c>
    </row>
    <row r="23" spans="1:3" x14ac:dyDescent="0.25">
      <c r="A23" s="28" t="str">
        <f ca="1">Calculations!C26</f>
        <v/>
      </c>
      <c r="B23" s="33" t="str">
        <f ca="1">Calculations!H26</f>
        <v/>
      </c>
      <c r="C23" s="35" t="str">
        <f ca="1">Calculations!M26</f>
        <v/>
      </c>
    </row>
    <row r="24" spans="1:3" x14ac:dyDescent="0.25">
      <c r="A24" s="28" t="str">
        <f ca="1">Calculations!C27</f>
        <v/>
      </c>
      <c r="B24" s="33" t="str">
        <f ca="1">Calculations!H27</f>
        <v/>
      </c>
      <c r="C24" s="35" t="str">
        <f ca="1">Calculations!M27</f>
        <v/>
      </c>
    </row>
    <row r="25" spans="1:3" x14ac:dyDescent="0.25">
      <c r="A25" s="28" t="str">
        <f ca="1">Calculations!C9</f>
        <v>Non BAU Mandated Capacity Construction</v>
      </c>
      <c r="B25" s="43" t="str">
        <f ca="1">Calculations!H9</f>
        <v>exclude</v>
      </c>
      <c r="C25" s="34" t="str">
        <f ca="1">Calculations!M9</f>
        <v>exclude</v>
      </c>
    </row>
    <row r="26" spans="1:3" ht="15.75" thickBot="1" x14ac:dyDescent="0.3">
      <c r="A26" s="29" t="str">
        <f ca="1">Calculations!C17</f>
        <v>End Existing Subsidies</v>
      </c>
      <c r="B26" s="55" t="str">
        <f ca="1">Calculations!H17</f>
        <v>exclude</v>
      </c>
      <c r="C26" s="56" t="str">
        <f ca="1">Calculations!M17</f>
        <v>exclude</v>
      </c>
    </row>
    <row r="27" spans="1:3" x14ac:dyDescent="0.25">
      <c r="B27" s="6"/>
    </row>
    <row r="28" spans="1:3" x14ac:dyDescent="0.25">
      <c r="B28" s="6"/>
    </row>
    <row r="29" spans="1:3" x14ac:dyDescent="0.25">
      <c r="B29" s="6"/>
    </row>
    <row r="30" spans="1:3" x14ac:dyDescent="0.25">
      <c r="B30" s="6"/>
    </row>
    <row r="31" spans="1:3" x14ac:dyDescent="0.25">
      <c r="B31" s="6"/>
    </row>
    <row r="32" spans="1:3" x14ac:dyDescent="0.25">
      <c r="B32" s="6"/>
    </row>
    <row r="33" spans="1:27" x14ac:dyDescent="0.25">
      <c r="B33" s="6"/>
    </row>
    <row r="34" spans="1:27" x14ac:dyDescent="0.25">
      <c r="B34" s="6"/>
    </row>
    <row r="35" spans="1:27" x14ac:dyDescent="0.25">
      <c r="B35" s="6"/>
    </row>
    <row r="36" spans="1:27" x14ac:dyDescent="0.25">
      <c r="B36" s="6"/>
    </row>
    <row r="37" spans="1:27" ht="15.75" thickBot="1" x14ac:dyDescent="0.3">
      <c r="B37" s="6"/>
    </row>
    <row r="38" spans="1:27" x14ac:dyDescent="0.25">
      <c r="A38" s="45" t="s">
        <v>35</v>
      </c>
      <c r="B38" s="49" t="s">
        <v>38</v>
      </c>
    </row>
    <row r="39" spans="1:27" ht="15.75" thickBot="1" x14ac:dyDescent="0.3">
      <c r="A39" s="46">
        <v>100</v>
      </c>
      <c r="B39" s="50" t="s">
        <v>39</v>
      </c>
    </row>
    <row r="40" spans="1:27" s="9" customFormat="1" x14ac:dyDescent="0.25">
      <c r="B40" s="8"/>
      <c r="C40" s="31"/>
      <c r="D40" s="31"/>
      <c r="E40" s="31"/>
      <c r="F40" s="31"/>
      <c r="G40" s="31"/>
      <c r="H40" s="31"/>
      <c r="I40" s="31"/>
      <c r="J40" s="31"/>
      <c r="K40" s="31"/>
      <c r="L40" s="31"/>
      <c r="M40" s="31"/>
      <c r="N40" s="31"/>
      <c r="O40" s="31"/>
      <c r="P40" s="31"/>
      <c r="Q40" s="31"/>
      <c r="R40" s="31"/>
      <c r="S40" s="31"/>
      <c r="T40" s="31"/>
      <c r="U40" s="31"/>
      <c r="V40" s="31"/>
      <c r="W40" s="31"/>
      <c r="X40" s="31"/>
      <c r="Y40" s="31"/>
      <c r="Z40" s="31"/>
    </row>
    <row r="41" spans="1:27" s="2" customFormat="1" x14ac:dyDescent="0.25">
      <c r="A41" s="44" t="s">
        <v>36</v>
      </c>
      <c r="B41" s="37" t="str">
        <f ca="1">IF(ISNUMBER($B2),$A2,"")</f>
        <v>Transportation Demand Management</v>
      </c>
      <c r="C41" s="37" t="str">
        <f ca="1">IF(ISNUMBER($B3),$A3,"")</f>
        <v>Building Energy Efficiency Standards</v>
      </c>
      <c r="D41" s="37" t="str">
        <f ca="1">IF(ISNUMBER($B4),$A4,"")</f>
        <v>Improved System Design</v>
      </c>
      <c r="E41" s="37" t="str">
        <f ca="1">IF(ISNUMBER($B5),$A5,"")</f>
        <v>Early Retirement of Power Plants</v>
      </c>
      <c r="F41" s="37" t="str">
        <f ca="1">IF(ISNUMBER($B6),$A6,"")</f>
        <v>Carbon Tax</v>
      </c>
      <c r="G41" s="37" t="str">
        <f ca="1">IF(ISNUMBER($B7),$A7,"")</f>
        <v>Methane Capture and Destruction</v>
      </c>
      <c r="H41" s="37" t="str">
        <f ca="1">IF(ISNUMBER($B8),$A8,"")</f>
        <v>Low Carbon Fuel Standard</v>
      </c>
      <c r="I41" s="37" t="str">
        <f ca="1">IF(ISNUMBER($B9),$A9,"")</f>
        <v>Worker Training</v>
      </c>
      <c r="J41" s="37" t="str">
        <f ca="1">IF(ISNUMBER($B10),$A10,"")</f>
        <v>Reduce F-gases</v>
      </c>
      <c r="K41" s="37" t="str">
        <f ca="1">IF(ISNUMBER($B11),$A11,"")</f>
        <v>EV Sales Mandate</v>
      </c>
      <c r="L41" s="37" t="str">
        <f ca="1">IF(ISNUMBER($B12),$A12,"")</f>
        <v>Industrial Electrification</v>
      </c>
      <c r="M41" s="37" t="str">
        <f ca="1">IF(ISNUMBER($B13),$A13,"")</f>
        <v>Building Component Electrification</v>
      </c>
      <c r="N41" s="37" t="str">
        <f ca="1">IF(ISNUMBER($B14),$A14,"")</f>
        <v/>
      </c>
      <c r="O41" s="37" t="str">
        <f ca="1">IF(ISNUMBER($B15),$A15,"")</f>
        <v/>
      </c>
      <c r="P41" s="37" t="str">
        <f ca="1">IF(ISNUMBER($B16),$A16,"")</f>
        <v/>
      </c>
      <c r="Q41" s="37" t="str">
        <f ca="1">IF(ISNUMBER($B17),$A17,"")</f>
        <v/>
      </c>
      <c r="R41" s="37" t="str">
        <f ca="1">IF(ISNUMBER($B18),$A18,"")</f>
        <v/>
      </c>
      <c r="S41" s="37" t="str">
        <f ca="1">IF(ISNUMBER($B19),$A19,"")</f>
        <v/>
      </c>
      <c r="T41" s="37" t="str">
        <f ca="1">IF(ISNUMBER($B20),$A20,"")</f>
        <v/>
      </c>
      <c r="U41" s="37" t="str">
        <f ca="1">IF(ISNUMBER($B21),$A21,"")</f>
        <v/>
      </c>
      <c r="V41" s="37" t="str">
        <f ca="1">IF(ISNUMBER($B22),$A22,"")</f>
        <v/>
      </c>
      <c r="W41" s="37" t="str">
        <f ca="1">IF(ISNUMBER($B23),$A23,"")</f>
        <v/>
      </c>
      <c r="X41" s="37" t="str">
        <f ca="1">IF(ISNUMBER($B24),$A24,"")</f>
        <v/>
      </c>
      <c r="Y41" s="37" t="str">
        <f ca="1">IF(ISNUMBER($B25),$A25,"")</f>
        <v/>
      </c>
      <c r="Z41" s="37" t="str">
        <f ca="1">IF(ISNUMBER($B26),$A26,"")</f>
        <v/>
      </c>
      <c r="AA41" s="14"/>
    </row>
    <row r="42" spans="1:27" s="2" customFormat="1" x14ac:dyDescent="0.25">
      <c r="A42" s="42">
        <v>0</v>
      </c>
      <c r="B42" s="40"/>
      <c r="C42" s="37"/>
      <c r="D42" s="37"/>
      <c r="E42" s="37"/>
      <c r="F42" s="37"/>
      <c r="G42" s="37"/>
      <c r="H42" s="37"/>
      <c r="I42" s="37"/>
      <c r="J42" s="37"/>
      <c r="K42" s="37"/>
      <c r="L42" s="37"/>
      <c r="M42" s="37"/>
      <c r="N42" s="37"/>
      <c r="O42" s="37"/>
      <c r="P42" s="37"/>
      <c r="Q42" s="37"/>
      <c r="R42" s="37"/>
      <c r="S42" s="37"/>
      <c r="T42" s="37"/>
      <c r="U42" s="37"/>
      <c r="V42" s="37"/>
      <c r="W42" s="37"/>
      <c r="X42" s="37"/>
      <c r="Y42" s="37"/>
      <c r="Z42" s="37"/>
      <c r="AA42" s="14"/>
    </row>
    <row r="43" spans="1:27" s="2" customFormat="1" x14ac:dyDescent="0.25">
      <c r="A43" s="20">
        <f>A42</f>
        <v>0</v>
      </c>
      <c r="B43" s="38">
        <f ca="1">IF(ISNUMBER($C2),$C2,NA())</f>
        <v>-874.12115890674261</v>
      </c>
      <c r="C43"/>
      <c r="D43"/>
      <c r="E43"/>
      <c r="F43"/>
      <c r="G43"/>
      <c r="H43"/>
      <c r="I43"/>
      <c r="J43"/>
      <c r="K43"/>
      <c r="L43"/>
      <c r="M43"/>
      <c r="N43"/>
      <c r="O43"/>
      <c r="P43"/>
      <c r="Q43"/>
      <c r="R43"/>
      <c r="S43"/>
      <c r="T43"/>
      <c r="U43"/>
      <c r="V43"/>
      <c r="W43"/>
      <c r="X43"/>
      <c r="Y43"/>
      <c r="Z43"/>
      <c r="AA43" s="14"/>
    </row>
    <row r="44" spans="1:27" x14ac:dyDescent="0.25">
      <c r="A44" s="6">
        <f ca="1">IF(ISNUMBER(B2),B2*$A$39+A43,NA())</f>
        <v>841.94816517520167</v>
      </c>
      <c r="B44" s="38">
        <f ca="1">IF(ISNUMBER($C2),$C2,NA())</f>
        <v>-874.12115890674261</v>
      </c>
    </row>
    <row r="45" spans="1:27" x14ac:dyDescent="0.25">
      <c r="A45" s="20">
        <f ca="1">A44</f>
        <v>841.94816517520167</v>
      </c>
      <c r="C45" s="38">
        <f ca="1">IF(ISNUMBER($C3),$C3,NA())</f>
        <v>-320.9916542639063</v>
      </c>
    </row>
    <row r="46" spans="1:27" x14ac:dyDescent="0.25">
      <c r="A46" s="6">
        <f ca="1">IF(ISNUMBER(B3),B3*$A$39+A45,NA())</f>
        <v>2458.0887724705981</v>
      </c>
      <c r="C46" s="38">
        <f ca="1">IF(ISNUMBER($C3),$C3,NA())</f>
        <v>-320.9916542639063</v>
      </c>
    </row>
    <row r="47" spans="1:27" x14ac:dyDescent="0.25">
      <c r="A47" s="20">
        <f ca="1">A46</f>
        <v>2458.0887724705981</v>
      </c>
      <c r="D47" s="38">
        <f ca="1">IF(ISNUMBER($C4),$C4,NA())</f>
        <v>-138.25642583195128</v>
      </c>
    </row>
    <row r="48" spans="1:27" x14ac:dyDescent="0.25">
      <c r="A48" s="6">
        <f ca="1">IF(ISNUMBER(B4),B4*$A$39+A47,NA())</f>
        <v>2777.6143954020863</v>
      </c>
      <c r="D48" s="38">
        <f ca="1">IF(ISNUMBER($C4),$C4,NA())</f>
        <v>-138.25642583195128</v>
      </c>
    </row>
    <row r="49" spans="1:12" x14ac:dyDescent="0.25">
      <c r="A49" s="20">
        <f ca="1">A48</f>
        <v>2777.6143954020863</v>
      </c>
      <c r="E49" s="38">
        <f ca="1">IF(ISNUMBER($C5),$C5,NA())</f>
        <v>-77.78038053912114</v>
      </c>
    </row>
    <row r="50" spans="1:12" x14ac:dyDescent="0.25">
      <c r="A50" s="6">
        <f ca="1">IF(ISNUMBER(B5),B5*$A$39+A49,NA())</f>
        <v>2992.3593100026201</v>
      </c>
      <c r="E50" s="38">
        <f ca="1">IF(ISNUMBER($C5),$C5,NA())</f>
        <v>-77.78038053912114</v>
      </c>
    </row>
    <row r="51" spans="1:12" x14ac:dyDescent="0.25">
      <c r="A51" s="20">
        <f ca="1">A50</f>
        <v>2992.3593100026201</v>
      </c>
      <c r="F51" s="38">
        <f ca="1">IF(ISNUMBER($C6),$C6,NA())</f>
        <v>-65.332426384712818</v>
      </c>
    </row>
    <row r="52" spans="1:12" x14ac:dyDescent="0.25">
      <c r="A52" s="6">
        <f ca="1">IF(ISNUMBER(B6),B6*$A$39+A51,NA())</f>
        <v>22025.052991106826</v>
      </c>
      <c r="F52" s="38">
        <f ca="1">IF(ISNUMBER($C6),$C6,NA())</f>
        <v>-65.332426384712818</v>
      </c>
    </row>
    <row r="53" spans="1:12" x14ac:dyDescent="0.25">
      <c r="A53" s="20">
        <f t="shared" ref="A53" ca="1" si="0">A52</f>
        <v>22025.052991106826</v>
      </c>
      <c r="G53" s="38">
        <f ca="1">IF(ISNUMBER($C7),$C7,NA())</f>
        <v>-3.1432230896106264</v>
      </c>
    </row>
    <row r="54" spans="1:12" x14ac:dyDescent="0.25">
      <c r="A54" s="6">
        <f ca="1">IF(ISNUMBER(B7),B7*$A$39+A53,NA())</f>
        <v>24616.061460718091</v>
      </c>
      <c r="G54" s="38">
        <f ca="1">IF(ISNUMBER($C7),$C7,NA())</f>
        <v>-3.1432230896106264</v>
      </c>
    </row>
    <row r="55" spans="1:12" x14ac:dyDescent="0.25">
      <c r="A55" s="20">
        <f t="shared" ref="A55:A93" ca="1" si="1">A54</f>
        <v>24616.061460718091</v>
      </c>
      <c r="H55" s="38">
        <f ca="1">IF(ISNUMBER($C8),$C8,NA())</f>
        <v>4.4753585076414719</v>
      </c>
    </row>
    <row r="56" spans="1:12" x14ac:dyDescent="0.25">
      <c r="A56" s="6">
        <f ca="1">IF(ISNUMBER(B8),B8*$A$39+A55,NA())</f>
        <v>24878.938856177363</v>
      </c>
      <c r="H56" s="38">
        <f ca="1">IF(ISNUMBER($C8),$C8,NA())</f>
        <v>4.4753585076414719</v>
      </c>
    </row>
    <row r="57" spans="1:12" x14ac:dyDescent="0.25">
      <c r="A57" s="20">
        <f t="shared" ca="1" si="1"/>
        <v>24878.938856177363</v>
      </c>
      <c r="I57" s="38">
        <f ca="1">IF(ISNUMBER($C9),$C9,NA())</f>
        <v>4.8341038826756586</v>
      </c>
    </row>
    <row r="58" spans="1:12" x14ac:dyDescent="0.25">
      <c r="A58" s="6">
        <f ca="1">IF(ISNUMBER(B9),B9*$A$39+A57,NA())</f>
        <v>24982.979064802796</v>
      </c>
      <c r="I58" s="38">
        <f ca="1">IF(ISNUMBER($C9),$C9,NA())</f>
        <v>4.8341038826756586</v>
      </c>
    </row>
    <row r="59" spans="1:12" x14ac:dyDescent="0.25">
      <c r="A59" s="20">
        <f t="shared" ca="1" si="1"/>
        <v>24982.979064802796</v>
      </c>
      <c r="J59" s="38">
        <f ca="1">IF(ISNUMBER($C10),$C10,NA())</f>
        <v>11.199722793721785</v>
      </c>
    </row>
    <row r="60" spans="1:12" x14ac:dyDescent="0.25">
      <c r="A60" s="6">
        <f ca="1">IF(ISNUMBER(B10),B10*$A$39+A59,NA())</f>
        <v>25432.832635905637</v>
      </c>
      <c r="J60" s="38">
        <f ca="1">IF(ISNUMBER($C10),$C10,NA())</f>
        <v>11.199722793721785</v>
      </c>
    </row>
    <row r="61" spans="1:12" x14ac:dyDescent="0.25">
      <c r="A61" s="20">
        <f t="shared" ca="1" si="1"/>
        <v>25432.832635905637</v>
      </c>
      <c r="K61" s="38">
        <f ca="1">IF(ISNUMBER($C11),$C11,NA())</f>
        <v>139.36965492085503</v>
      </c>
    </row>
    <row r="62" spans="1:12" x14ac:dyDescent="0.25">
      <c r="A62" s="6">
        <f ca="1">IF(ISNUMBER(B11),B11*$A$39+A61,NA())</f>
        <v>25727.921768554996</v>
      </c>
      <c r="K62" s="38">
        <f ca="1">IF(ISNUMBER($C11),$C11,NA())</f>
        <v>139.36965492085503</v>
      </c>
    </row>
    <row r="63" spans="1:12" x14ac:dyDescent="0.25">
      <c r="A63" s="20">
        <f t="shared" ca="1" si="1"/>
        <v>25727.921768554996</v>
      </c>
      <c r="L63" s="38">
        <f ca="1">IF(ISNUMBER($C12),$C12,NA())</f>
        <v>225.07251912737848</v>
      </c>
    </row>
    <row r="64" spans="1:12" x14ac:dyDescent="0.25">
      <c r="A64" s="6">
        <f ca="1">IF(ISNUMBER(B12),B12*$A$39+A63,NA())</f>
        <v>27091.181726415627</v>
      </c>
      <c r="L64" s="38">
        <f ca="1">IF(ISNUMBER($C12),$C12,NA())</f>
        <v>225.07251912737848</v>
      </c>
    </row>
    <row r="65" spans="1:20" x14ac:dyDescent="0.25">
      <c r="A65" s="20">
        <f t="shared" ca="1" si="1"/>
        <v>27091.181726415627</v>
      </c>
      <c r="M65" s="38">
        <f ca="1">IF(ISNUMBER($C13),$C13,NA())</f>
        <v>350.95137214162281</v>
      </c>
    </row>
    <row r="66" spans="1:20" x14ac:dyDescent="0.25">
      <c r="A66" s="6">
        <f ca="1">IF(ISNUMBER(B13),B13*$A$39+A65,NA())</f>
        <v>28178.235294117647</v>
      </c>
      <c r="M66" s="38">
        <f ca="1">IF(ISNUMBER($C13),$C13,NA())</f>
        <v>350.95137214162281</v>
      </c>
    </row>
    <row r="67" spans="1:20" x14ac:dyDescent="0.25">
      <c r="A67" s="20">
        <f t="shared" ca="1" si="1"/>
        <v>28178.235294117647</v>
      </c>
      <c r="N67" s="38" t="e">
        <f ca="1">IF(ISNUMBER($C14),$C14,NA())</f>
        <v>#N/A</v>
      </c>
    </row>
    <row r="68" spans="1:20" x14ac:dyDescent="0.25">
      <c r="A68" s="6" t="e">
        <f ca="1">IF(ISNUMBER(B14),B14*$A$39+A67,NA())</f>
        <v>#N/A</v>
      </c>
      <c r="N68" s="38" t="e">
        <f ca="1">IF(ISNUMBER($C14),$C14,NA())</f>
        <v>#N/A</v>
      </c>
    </row>
    <row r="69" spans="1:20" x14ac:dyDescent="0.25">
      <c r="A69" s="20" t="e">
        <f t="shared" ca="1" si="1"/>
        <v>#N/A</v>
      </c>
      <c r="O69" s="38" t="e">
        <f ca="1">IF(ISNUMBER($C15),$C15,NA())</f>
        <v>#N/A</v>
      </c>
    </row>
    <row r="70" spans="1:20" x14ac:dyDescent="0.25">
      <c r="A70" s="6" t="e">
        <f ca="1">IF(ISNUMBER(B15),B15*$A$39+A69,NA())</f>
        <v>#N/A</v>
      </c>
      <c r="O70" s="38" t="e">
        <f ca="1">IF(ISNUMBER($C15),$C15,NA())</f>
        <v>#N/A</v>
      </c>
    </row>
    <row r="71" spans="1:20" x14ac:dyDescent="0.25">
      <c r="A71" s="20" t="e">
        <f t="shared" ca="1" si="1"/>
        <v>#N/A</v>
      </c>
      <c r="P71" s="38" t="e">
        <f ca="1">IF(ISNUMBER($C16),$C16,NA())</f>
        <v>#N/A</v>
      </c>
    </row>
    <row r="72" spans="1:20" x14ac:dyDescent="0.25">
      <c r="A72" s="6" t="e">
        <f ca="1">IF(ISNUMBER(B16),B16*$A$39+A71,NA())</f>
        <v>#N/A</v>
      </c>
      <c r="P72" s="38" t="e">
        <f ca="1">IF(ISNUMBER($C16),$C16,NA())</f>
        <v>#N/A</v>
      </c>
    </row>
    <row r="73" spans="1:20" x14ac:dyDescent="0.25">
      <c r="A73" s="20" t="e">
        <f t="shared" ca="1" si="1"/>
        <v>#N/A</v>
      </c>
      <c r="Q73" s="38" t="e">
        <f ca="1">IF(ISNUMBER($C17),$C17,NA())</f>
        <v>#N/A</v>
      </c>
    </row>
    <row r="74" spans="1:20" x14ac:dyDescent="0.25">
      <c r="A74" s="6" t="e">
        <f ca="1">IF(ISNUMBER(B17),B17*$A$39+A73,NA())</f>
        <v>#N/A</v>
      </c>
      <c r="Q74" s="38" t="e">
        <f ca="1">IF(ISNUMBER($C17),$C17,NA())</f>
        <v>#N/A</v>
      </c>
    </row>
    <row r="75" spans="1:20" x14ac:dyDescent="0.25">
      <c r="A75" s="20" t="e">
        <f t="shared" ca="1" si="1"/>
        <v>#N/A</v>
      </c>
      <c r="R75" s="39" t="e">
        <f ca="1">IF(ISNUMBER($C18),$C18,NA())</f>
        <v>#N/A</v>
      </c>
    </row>
    <row r="76" spans="1:20" x14ac:dyDescent="0.25">
      <c r="A76" s="6" t="e">
        <f ca="1">IF(ISNUMBER(B18),B18*$A$39+A75,NA())</f>
        <v>#N/A</v>
      </c>
      <c r="R76" s="39" t="e">
        <f ca="1">IF(ISNUMBER($C18),$C18,NA())</f>
        <v>#N/A</v>
      </c>
    </row>
    <row r="77" spans="1:20" x14ac:dyDescent="0.25">
      <c r="A77" s="20" t="e">
        <f t="shared" ca="1" si="1"/>
        <v>#N/A</v>
      </c>
      <c r="S77" s="39" t="e">
        <f ca="1">IF(ISNUMBER($C19),$C19,NA())</f>
        <v>#N/A</v>
      </c>
    </row>
    <row r="78" spans="1:20" x14ac:dyDescent="0.25">
      <c r="A78" s="6" t="e">
        <f ca="1">IF(ISNUMBER(B19),B19*$A$39+A77,NA())</f>
        <v>#N/A</v>
      </c>
      <c r="S78" s="39" t="e">
        <f ca="1">IF(ISNUMBER($C19),$C19,NA())</f>
        <v>#N/A</v>
      </c>
    </row>
    <row r="79" spans="1:20" x14ac:dyDescent="0.25">
      <c r="A79" s="20" t="e">
        <f t="shared" ca="1" si="1"/>
        <v>#N/A</v>
      </c>
      <c r="T79" s="39" t="e">
        <f ca="1">IF(ISNUMBER($C20),$C20,NA())</f>
        <v>#N/A</v>
      </c>
    </row>
    <row r="80" spans="1:20" x14ac:dyDescent="0.25">
      <c r="A80" s="6" t="e">
        <f ca="1">IF(ISNUMBER(B20),B20*$A$39+A79,NA())</f>
        <v>#N/A</v>
      </c>
      <c r="T80" s="39" t="e">
        <f ca="1">IF(ISNUMBER($C20),$C20,NA())</f>
        <v>#N/A</v>
      </c>
    </row>
    <row r="81" spans="1:26" x14ac:dyDescent="0.25">
      <c r="A81" s="20" t="e">
        <f t="shared" ca="1" si="1"/>
        <v>#N/A</v>
      </c>
      <c r="U81" s="39" t="e">
        <f ca="1">IF(ISNUMBER($C21),$C21,NA())</f>
        <v>#N/A</v>
      </c>
    </row>
    <row r="82" spans="1:26" x14ac:dyDescent="0.25">
      <c r="A82" s="6" t="e">
        <f ca="1">IF(ISNUMBER(B21),B21*$A$39+A81,NA())</f>
        <v>#N/A</v>
      </c>
      <c r="U82" s="39" t="e">
        <f ca="1">IF(ISNUMBER($C21),$C21,NA())</f>
        <v>#N/A</v>
      </c>
    </row>
    <row r="83" spans="1:26" x14ac:dyDescent="0.25">
      <c r="A83" s="20" t="e">
        <f t="shared" ca="1" si="1"/>
        <v>#N/A</v>
      </c>
      <c r="V83" s="38" t="e">
        <f ca="1">IF(ISNUMBER($C22),$C22,NA())</f>
        <v>#N/A</v>
      </c>
    </row>
    <row r="84" spans="1:26" x14ac:dyDescent="0.25">
      <c r="A84" s="6" t="e">
        <f ca="1">IF(ISNUMBER(B22),B22*$A$39+A83,NA())</f>
        <v>#N/A</v>
      </c>
      <c r="V84" s="38" t="e">
        <f ca="1">IF(ISNUMBER($C22),$C22,NA())</f>
        <v>#N/A</v>
      </c>
    </row>
    <row r="85" spans="1:26" x14ac:dyDescent="0.25">
      <c r="A85" s="20" t="e">
        <f t="shared" ca="1" si="1"/>
        <v>#N/A</v>
      </c>
      <c r="W85" s="38" t="e">
        <f ca="1">IF(ISNUMBER($C23),$C23,NA())</f>
        <v>#N/A</v>
      </c>
    </row>
    <row r="86" spans="1:26" x14ac:dyDescent="0.25">
      <c r="A86" s="6" t="e">
        <f ca="1">IF(ISNUMBER(B23),B23*$A$39+A85,NA())</f>
        <v>#N/A</v>
      </c>
      <c r="W86" s="38" t="e">
        <f ca="1">IF(ISNUMBER($C23),$C23,NA())</f>
        <v>#N/A</v>
      </c>
    </row>
    <row r="87" spans="1:26" x14ac:dyDescent="0.25">
      <c r="A87" s="20" t="e">
        <f t="shared" ca="1" si="1"/>
        <v>#N/A</v>
      </c>
      <c r="X87" s="38" t="e">
        <f ca="1">IF(ISNUMBER($C24),$C24,NA())</f>
        <v>#N/A</v>
      </c>
    </row>
    <row r="88" spans="1:26" x14ac:dyDescent="0.25">
      <c r="A88" s="6" t="e">
        <f ca="1">IF(ISNUMBER(B24),B24*$A$39+A87,NA())</f>
        <v>#N/A</v>
      </c>
      <c r="X88" s="38" t="e">
        <f ca="1">IF(ISNUMBER($C24),$C24,NA())</f>
        <v>#N/A</v>
      </c>
    </row>
    <row r="89" spans="1:26" x14ac:dyDescent="0.25">
      <c r="A89" s="20" t="e">
        <f t="shared" ca="1" si="1"/>
        <v>#N/A</v>
      </c>
      <c r="Y89" s="38" t="e">
        <f ca="1">IF(ISNUMBER($C25),$C25,NA())</f>
        <v>#N/A</v>
      </c>
    </row>
    <row r="90" spans="1:26" x14ac:dyDescent="0.25">
      <c r="A90" s="6" t="e">
        <f ca="1">IF(ISNUMBER(B25),B25*$A$39+A89,NA())</f>
        <v>#N/A</v>
      </c>
      <c r="Y90" s="38" t="e">
        <f ca="1">IF(ISNUMBER($C25),$C25,NA())</f>
        <v>#N/A</v>
      </c>
    </row>
    <row r="91" spans="1:26" x14ac:dyDescent="0.25">
      <c r="A91" s="20" t="e">
        <f t="shared" ca="1" si="1"/>
        <v>#N/A</v>
      </c>
      <c r="Z91" s="38" t="e">
        <f ca="1">IF(ISNUMBER($C26),$C26,NA())</f>
        <v>#N/A</v>
      </c>
    </row>
    <row r="92" spans="1:26" x14ac:dyDescent="0.25">
      <c r="A92" s="6" t="e">
        <f ca="1">IF(ISNUMBER(B26),B26*$A$39+A91,NA())</f>
        <v>#N/A</v>
      </c>
      <c r="Z92" s="38" t="e">
        <f ca="1">IF(ISNUMBER($C26),$C26,NA())</f>
        <v>#N/A</v>
      </c>
    </row>
    <row r="93" spans="1:26" x14ac:dyDescent="0.25">
      <c r="A93" s="20" t="e">
        <f t="shared" ca="1" si="1"/>
        <v>#N/A</v>
      </c>
    </row>
    <row r="94" spans="1:26" s="9" customFormat="1" x14ac:dyDescent="0.25"/>
    <row r="96" spans="1:26" x14ac:dyDescent="0.25">
      <c r="C96" s="37" t="str">
        <f ca="1">IF(ISNUMBER($B23),$A23,"")</f>
        <v/>
      </c>
    </row>
    <row r="97" spans="3:3" x14ac:dyDescent="0.25">
      <c r="C97" s="37" t="str">
        <f ca="1">IF(ISNUMBER($B24),$A24,"")</f>
        <v/>
      </c>
    </row>
    <row r="98" spans="3:3" x14ac:dyDescent="0.25">
      <c r="C98" s="37" t="str">
        <f ca="1">IF(ISNUMBER($B25),$A25,"")</f>
        <v/>
      </c>
    </row>
    <row r="99" spans="3:3" x14ac:dyDescent="0.25">
      <c r="C99" s="37" t="str">
        <f ca="1">IF(ISNUMBER($B26),$A26,"")</f>
        <v/>
      </c>
    </row>
    <row r="100" spans="3:3" x14ac:dyDescent="0.25">
      <c r="C100" s="37"/>
    </row>
    <row r="101" spans="3:3" x14ac:dyDescent="0.25">
      <c r="C101" s="37"/>
    </row>
    <row r="102" spans="3:3" x14ac:dyDescent="0.25">
      <c r="C102" s="37"/>
    </row>
    <row r="103" spans="3:3" x14ac:dyDescent="0.25">
      <c r="C103" s="37"/>
    </row>
    <row r="104" spans="3:3" x14ac:dyDescent="0.25">
      <c r="C104" s="37"/>
    </row>
    <row r="105" spans="3:3" x14ac:dyDescent="0.25">
      <c r="C105" s="37"/>
    </row>
    <row r="106" spans="3:3" x14ac:dyDescent="0.25">
      <c r="C106" s="37"/>
    </row>
    <row r="107" spans="3:3" x14ac:dyDescent="0.25">
      <c r="C107" s="37"/>
    </row>
    <row r="108" spans="3:3" x14ac:dyDescent="0.25">
      <c r="C108" s="37"/>
    </row>
    <row r="109" spans="3:3" x14ac:dyDescent="0.25">
      <c r="C109" s="37"/>
    </row>
    <row r="110" spans="3:3" x14ac:dyDescent="0.25">
      <c r="C110" s="37"/>
    </row>
    <row r="111" spans="3:3" x14ac:dyDescent="0.25">
      <c r="C111" s="37"/>
    </row>
    <row r="112" spans="3:3" x14ac:dyDescent="0.25">
      <c r="C112" s="37"/>
    </row>
    <row r="113" spans="3:3" x14ac:dyDescent="0.25">
      <c r="C113" s="37"/>
    </row>
    <row r="114" spans="3:3" x14ac:dyDescent="0.25">
      <c r="C114" s="37"/>
    </row>
  </sheetData>
  <autoFilter ref="A1:C26">
    <sortState ref="A2:C26">
      <sortCondition ref="C1:C26"/>
    </sortState>
  </autoFilter>
  <pageMargins left="0.7" right="0.7" top="0.75" bottom="0.75" header="0.3" footer="0.3"/>
  <pageSetup orientation="portrait" r:id="rId1"/>
  <ignoredErrors>
    <ignoredError sqref="A93" evalError="1"/>
    <ignoredError sqref="A80:A92" evalError="1" formula="1"/>
    <ignoredError sqref="A44:A79" formula="1"/>
  </ignoredError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49"/>
  <sheetViews>
    <sheetView workbookViewId="0"/>
  </sheetViews>
  <sheetFormatPr defaultRowHeight="15" x14ac:dyDescent="0.25"/>
  <cols>
    <col min="1" max="1" width="106.140625" customWidth="1"/>
    <col min="2" max="2" width="63.28515625" customWidth="1"/>
    <col min="3" max="3" width="14.140625" customWidth="1"/>
  </cols>
  <sheetData>
    <row r="1" spans="1:37" x14ac:dyDescent="0.25">
      <c r="A1" s="53" t="s">
        <v>0</v>
      </c>
      <c r="B1" s="53" t="s">
        <v>1</v>
      </c>
      <c r="C1" s="53" t="s">
        <v>2</v>
      </c>
      <c r="D1" s="53">
        <v>2017</v>
      </c>
      <c r="E1" s="53">
        <v>2018</v>
      </c>
      <c r="F1" s="53">
        <v>2019</v>
      </c>
      <c r="G1" s="53">
        <v>2020</v>
      </c>
      <c r="H1" s="53">
        <v>2021</v>
      </c>
      <c r="I1" s="53">
        <v>2022</v>
      </c>
      <c r="J1" s="53">
        <v>2023</v>
      </c>
      <c r="K1" s="53">
        <v>2024</v>
      </c>
      <c r="L1" s="53">
        <v>2025</v>
      </c>
      <c r="M1" s="53">
        <v>2026</v>
      </c>
      <c r="N1" s="53">
        <v>2027</v>
      </c>
      <c r="O1" s="53">
        <v>2028</v>
      </c>
      <c r="P1" s="53">
        <v>2029</v>
      </c>
      <c r="Q1" s="53">
        <v>2030</v>
      </c>
      <c r="R1" s="53">
        <v>2031</v>
      </c>
      <c r="S1" s="53">
        <v>2032</v>
      </c>
      <c r="T1" s="53">
        <v>2033</v>
      </c>
      <c r="U1" s="53">
        <v>2034</v>
      </c>
      <c r="V1" s="53">
        <v>2035</v>
      </c>
      <c r="W1" s="53">
        <v>2036</v>
      </c>
      <c r="X1" s="53">
        <v>2037</v>
      </c>
      <c r="Y1" s="53">
        <v>2038</v>
      </c>
      <c r="Z1" s="53">
        <v>2039</v>
      </c>
      <c r="AA1" s="53">
        <v>2040</v>
      </c>
      <c r="AB1" s="53">
        <v>2041</v>
      </c>
      <c r="AC1" s="53">
        <v>2042</v>
      </c>
      <c r="AD1" s="53">
        <v>2043</v>
      </c>
      <c r="AE1" s="53">
        <v>2044</v>
      </c>
      <c r="AF1" s="53">
        <v>2045</v>
      </c>
      <c r="AG1" s="53">
        <v>2046</v>
      </c>
      <c r="AH1" s="53">
        <v>2047</v>
      </c>
      <c r="AI1" s="53">
        <v>2048</v>
      </c>
      <c r="AJ1" s="53">
        <v>2049</v>
      </c>
      <c r="AK1">
        <v>2050</v>
      </c>
    </row>
    <row r="2" spans="1:37" x14ac:dyDescent="0.25">
      <c r="A2" s="53" t="s">
        <v>3</v>
      </c>
      <c r="B2" s="53" t="s">
        <v>1</v>
      </c>
      <c r="C2" s="53" t="s">
        <v>2</v>
      </c>
      <c r="D2" s="53">
        <v>751.74599999999998</v>
      </c>
      <c r="E2" s="53">
        <v>1504.41</v>
      </c>
      <c r="F2" s="53">
        <v>2239.1999999999998</v>
      </c>
      <c r="G2" s="53">
        <v>2950.63</v>
      </c>
      <c r="H2" s="53">
        <v>3638.19</v>
      </c>
      <c r="I2" s="53">
        <v>4305.5200000000004</v>
      </c>
      <c r="J2" s="53">
        <v>4954.6499999999996</v>
      </c>
      <c r="K2" s="53">
        <v>5584.29</v>
      </c>
      <c r="L2" s="53">
        <v>6192.43</v>
      </c>
      <c r="M2" s="53">
        <v>6780.81</v>
      </c>
      <c r="N2" s="53">
        <v>7348.77</v>
      </c>
      <c r="O2" s="53">
        <v>7895.16</v>
      </c>
      <c r="P2" s="53">
        <v>8422.83</v>
      </c>
      <c r="Q2" s="53">
        <v>8933.16</v>
      </c>
      <c r="R2" s="53">
        <v>9426.6200000000008</v>
      </c>
      <c r="S2" s="53">
        <v>9902.6200000000008</v>
      </c>
      <c r="T2" s="53">
        <v>10361.5</v>
      </c>
      <c r="U2" s="53">
        <v>10804</v>
      </c>
      <c r="V2" s="53">
        <v>11232.6</v>
      </c>
      <c r="W2" s="53">
        <v>11647</v>
      </c>
      <c r="X2" s="53">
        <v>12047.7</v>
      </c>
      <c r="Y2" s="53">
        <v>12434</v>
      </c>
      <c r="Z2" s="53">
        <v>12808.3</v>
      </c>
      <c r="AA2" s="53">
        <v>13169.9</v>
      </c>
      <c r="AB2" s="53">
        <v>13519.5</v>
      </c>
      <c r="AC2" s="53">
        <v>13857.2</v>
      </c>
      <c r="AD2" s="53">
        <v>14183.5</v>
      </c>
      <c r="AE2" s="53">
        <v>14497.9</v>
      </c>
      <c r="AF2" s="53">
        <v>14800.8</v>
      </c>
      <c r="AG2" s="53">
        <v>15093.1</v>
      </c>
      <c r="AH2" s="53">
        <v>15375.8</v>
      </c>
      <c r="AI2" s="53">
        <v>15649.8</v>
      </c>
      <c r="AJ2" s="53">
        <v>15916</v>
      </c>
      <c r="AK2">
        <v>16174.8</v>
      </c>
    </row>
    <row r="3" spans="1:37" x14ac:dyDescent="0.25">
      <c r="A3" s="53" t="s">
        <v>16</v>
      </c>
      <c r="B3" s="53" t="s">
        <v>1</v>
      </c>
      <c r="C3" s="53" t="s">
        <v>2</v>
      </c>
      <c r="D3" s="54">
        <v>-27850000</v>
      </c>
      <c r="E3" s="54">
        <v>24142000</v>
      </c>
      <c r="F3" s="54">
        <v>-143131000</v>
      </c>
      <c r="G3" s="54">
        <v>5788340</v>
      </c>
      <c r="H3" s="54">
        <v>285928000</v>
      </c>
      <c r="I3" s="54">
        <v>413700000</v>
      </c>
      <c r="J3" s="54">
        <v>268910000</v>
      </c>
      <c r="K3" s="54">
        <v>-630395000</v>
      </c>
      <c r="L3" s="54">
        <v>-2785160000</v>
      </c>
      <c r="M3" s="54">
        <v>-6334200000</v>
      </c>
      <c r="N3" s="54">
        <v>-11640800000</v>
      </c>
      <c r="O3" s="54">
        <v>-18719500000</v>
      </c>
      <c r="P3" s="54">
        <v>-27509600000</v>
      </c>
      <c r="Q3" s="54">
        <v>-38199400000</v>
      </c>
      <c r="R3" s="54">
        <v>-50732900000</v>
      </c>
      <c r="S3" s="54">
        <v>-64799300000</v>
      </c>
      <c r="T3" s="54">
        <v>-80325700000</v>
      </c>
      <c r="U3" s="54">
        <v>-96782000000</v>
      </c>
      <c r="V3" s="54">
        <v>-113549000000</v>
      </c>
      <c r="W3" s="54">
        <v>-130485000000</v>
      </c>
      <c r="X3" s="54">
        <v>-147443000000</v>
      </c>
      <c r="Y3" s="54">
        <v>-164592000000</v>
      </c>
      <c r="Z3" s="54">
        <v>-182042000000</v>
      </c>
      <c r="AA3" s="54">
        <v>-199755000000</v>
      </c>
      <c r="AB3" s="54">
        <v>-217839000000</v>
      </c>
      <c r="AC3" s="54">
        <v>-236307000000</v>
      </c>
      <c r="AD3" s="54">
        <v>-255239000000</v>
      </c>
      <c r="AE3" s="54">
        <v>-274623000000</v>
      </c>
      <c r="AF3" s="54">
        <v>-294629000000</v>
      </c>
      <c r="AG3" s="54">
        <v>-315318000000</v>
      </c>
      <c r="AH3" s="54">
        <v>-336694000000</v>
      </c>
      <c r="AI3" s="54">
        <v>-358749000000</v>
      </c>
      <c r="AJ3" s="54">
        <v>-381318000000</v>
      </c>
      <c r="AK3" s="1">
        <v>-403556000000</v>
      </c>
    </row>
    <row r="4" spans="1:37" x14ac:dyDescent="0.25">
      <c r="A4" s="53" t="s">
        <v>3</v>
      </c>
      <c r="B4" s="53" t="s">
        <v>74</v>
      </c>
      <c r="C4" s="53" t="s">
        <v>75</v>
      </c>
      <c r="D4" s="53">
        <v>751.74599999999998</v>
      </c>
      <c r="E4" s="53">
        <v>1504.41</v>
      </c>
      <c r="F4" s="53">
        <v>2239.1999999999998</v>
      </c>
      <c r="G4" s="53">
        <v>2950.56</v>
      </c>
      <c r="H4" s="53">
        <v>3637.89</v>
      </c>
      <c r="I4" s="53">
        <v>4304.78</v>
      </c>
      <c r="J4" s="53">
        <v>4953.8500000000004</v>
      </c>
      <c r="K4" s="53">
        <v>5583.48</v>
      </c>
      <c r="L4" s="53">
        <v>6191.6</v>
      </c>
      <c r="M4" s="53">
        <v>6780.09</v>
      </c>
      <c r="N4" s="53">
        <v>7348.21</v>
      </c>
      <c r="O4" s="53">
        <v>7894.83</v>
      </c>
      <c r="P4" s="53">
        <v>8422.7800000000007</v>
      </c>
      <c r="Q4" s="53">
        <v>8933.34</v>
      </c>
      <c r="R4" s="53">
        <v>9427.17</v>
      </c>
      <c r="S4" s="53">
        <v>9903.56</v>
      </c>
      <c r="T4" s="53">
        <v>10362.799999999999</v>
      </c>
      <c r="U4" s="53">
        <v>10805.7</v>
      </c>
      <c r="V4" s="53">
        <v>11235.2</v>
      </c>
      <c r="W4" s="53">
        <v>11652</v>
      </c>
      <c r="X4" s="53">
        <v>12056.3</v>
      </c>
      <c r="Y4" s="53">
        <v>12447.6</v>
      </c>
      <c r="Z4" s="53">
        <v>12826.6</v>
      </c>
      <c r="AA4" s="53">
        <v>13192.7</v>
      </c>
      <c r="AB4" s="53">
        <v>13546.8</v>
      </c>
      <c r="AC4" s="53">
        <v>13889</v>
      </c>
      <c r="AD4" s="53">
        <v>14219.6</v>
      </c>
      <c r="AE4" s="53">
        <v>14538.6</v>
      </c>
      <c r="AF4" s="53">
        <v>14846.4</v>
      </c>
      <c r="AG4" s="53">
        <v>15144</v>
      </c>
      <c r="AH4" s="53">
        <v>15432.8</v>
      </c>
      <c r="AI4" s="53">
        <v>15713.7</v>
      </c>
      <c r="AJ4" s="53">
        <v>15987.4</v>
      </c>
      <c r="AK4">
        <v>16254.5</v>
      </c>
    </row>
    <row r="5" spans="1:37" x14ac:dyDescent="0.25">
      <c r="A5" s="53" t="s">
        <v>16</v>
      </c>
      <c r="B5" s="53" t="s">
        <v>74</v>
      </c>
      <c r="C5" s="53" t="s">
        <v>75</v>
      </c>
      <c r="D5" s="54">
        <v>-27850000</v>
      </c>
      <c r="E5" s="54">
        <v>24142000</v>
      </c>
      <c r="F5" s="54">
        <v>-400956000</v>
      </c>
      <c r="G5" s="54">
        <v>-916241000</v>
      </c>
      <c r="H5" s="54">
        <v>-1629110000</v>
      </c>
      <c r="I5" s="54">
        <v>-2741380000</v>
      </c>
      <c r="J5" s="54">
        <v>-4253480000</v>
      </c>
      <c r="K5" s="54">
        <v>-6662020000</v>
      </c>
      <c r="L5" s="54">
        <v>-10391100000</v>
      </c>
      <c r="M5" s="54">
        <v>-15511600000</v>
      </c>
      <c r="N5" s="54">
        <v>-22156500000</v>
      </c>
      <c r="O5" s="54">
        <v>-30291700000</v>
      </c>
      <c r="P5" s="54">
        <v>-39814800000</v>
      </c>
      <c r="Q5" s="54">
        <v>-50907900000</v>
      </c>
      <c r="R5" s="54">
        <v>-63528200000</v>
      </c>
      <c r="S5" s="54">
        <v>-77401900000</v>
      </c>
      <c r="T5" s="54">
        <v>-92562300000</v>
      </c>
      <c r="U5" s="54">
        <v>-108654000000</v>
      </c>
      <c r="V5" s="54">
        <v>-125087000000</v>
      </c>
      <c r="W5" s="54">
        <v>-141726000000</v>
      </c>
      <c r="X5" s="54">
        <v>-158429000000</v>
      </c>
      <c r="Y5" s="54">
        <v>-175372000000</v>
      </c>
      <c r="Z5" s="54">
        <v>-192681000000</v>
      </c>
      <c r="AA5" s="54">
        <v>-210317000000</v>
      </c>
      <c r="AB5" s="54">
        <v>-228379000000</v>
      </c>
      <c r="AC5" s="54">
        <v>-246907000000</v>
      </c>
      <c r="AD5" s="54">
        <v>-266033000000</v>
      </c>
      <c r="AE5" s="54">
        <v>-285724000000</v>
      </c>
      <c r="AF5" s="54">
        <v>-306127000000</v>
      </c>
      <c r="AG5" s="54">
        <v>-327277000000</v>
      </c>
      <c r="AH5" s="54">
        <v>-349181000000</v>
      </c>
      <c r="AI5" s="54">
        <v>-371743000000</v>
      </c>
      <c r="AJ5" s="54">
        <v>-394798000000</v>
      </c>
      <c r="AK5" s="1">
        <v>-417539000000</v>
      </c>
    </row>
    <row r="6" spans="1:37" x14ac:dyDescent="0.25">
      <c r="A6" s="53" t="s">
        <v>3</v>
      </c>
      <c r="B6" s="53" t="s">
        <v>76</v>
      </c>
      <c r="C6" s="53" t="s">
        <v>77</v>
      </c>
      <c r="D6" s="53">
        <v>751.74599999999998</v>
      </c>
      <c r="E6" s="53">
        <v>1504.41</v>
      </c>
      <c r="F6" s="53">
        <v>2240.7600000000002</v>
      </c>
      <c r="G6" s="53">
        <v>2955.21</v>
      </c>
      <c r="H6" s="53">
        <v>3647.22</v>
      </c>
      <c r="I6" s="53">
        <v>4320.17</v>
      </c>
      <c r="J6" s="53">
        <v>4975.42</v>
      </c>
      <c r="K6" s="53">
        <v>5611.53</v>
      </c>
      <c r="L6" s="53">
        <v>6226.29</v>
      </c>
      <c r="M6" s="53">
        <v>6821.26</v>
      </c>
      <c r="N6" s="53">
        <v>7395.59</v>
      </c>
      <c r="O6" s="53">
        <v>7947.97</v>
      </c>
      <c r="P6" s="53">
        <v>8481.0499999999993</v>
      </c>
      <c r="Q6" s="53">
        <v>8996.09</v>
      </c>
      <c r="R6" s="53">
        <v>9493.3700000000008</v>
      </c>
      <c r="S6" s="53">
        <v>9972.17</v>
      </c>
      <c r="T6" s="53">
        <v>10432.700000000001</v>
      </c>
      <c r="U6" s="53">
        <v>10875.7</v>
      </c>
      <c r="V6" s="53">
        <v>11304.2</v>
      </c>
      <c r="W6" s="53">
        <v>11718.6</v>
      </c>
      <c r="X6" s="53">
        <v>12119.2</v>
      </c>
      <c r="Y6" s="53">
        <v>12505.5</v>
      </c>
      <c r="Z6" s="53">
        <v>12879.6</v>
      </c>
      <c r="AA6" s="53">
        <v>13241.1</v>
      </c>
      <c r="AB6" s="53">
        <v>13590.7</v>
      </c>
      <c r="AC6" s="53">
        <v>13928.4</v>
      </c>
      <c r="AD6" s="53">
        <v>14254.6</v>
      </c>
      <c r="AE6" s="53">
        <v>14569</v>
      </c>
      <c r="AF6" s="53">
        <v>14871.9</v>
      </c>
      <c r="AG6" s="53">
        <v>15164.1</v>
      </c>
      <c r="AH6" s="53">
        <v>15446.8</v>
      </c>
      <c r="AI6" s="53">
        <v>15720.9</v>
      </c>
      <c r="AJ6" s="53">
        <v>15987</v>
      </c>
      <c r="AK6">
        <v>16245.8</v>
      </c>
    </row>
    <row r="7" spans="1:37" x14ac:dyDescent="0.25">
      <c r="A7" s="53" t="s">
        <v>16</v>
      </c>
      <c r="B7" s="53" t="s">
        <v>76</v>
      </c>
      <c r="C7" s="53" t="s">
        <v>77</v>
      </c>
      <c r="D7" s="54">
        <v>-27850000</v>
      </c>
      <c r="E7" s="54">
        <v>24142000</v>
      </c>
      <c r="F7" s="54">
        <v>-142437000</v>
      </c>
      <c r="G7" s="54">
        <v>6795820</v>
      </c>
      <c r="H7" s="54">
        <v>285903000</v>
      </c>
      <c r="I7" s="54">
        <v>410194000</v>
      </c>
      <c r="J7" s="54">
        <v>257822000</v>
      </c>
      <c r="K7" s="54">
        <v>-651590000</v>
      </c>
      <c r="L7" s="54">
        <v>-2819200000</v>
      </c>
      <c r="M7" s="54">
        <v>-6383900000</v>
      </c>
      <c r="N7" s="54">
        <v>-11708100000</v>
      </c>
      <c r="O7" s="54">
        <v>-18806400000</v>
      </c>
      <c r="P7" s="54">
        <v>-27618600000</v>
      </c>
      <c r="Q7" s="54">
        <v>-38331900000</v>
      </c>
      <c r="R7" s="54">
        <v>-50891400000</v>
      </c>
      <c r="S7" s="54">
        <v>-64985200000</v>
      </c>
      <c r="T7" s="54">
        <v>-80541000000</v>
      </c>
      <c r="U7" s="54">
        <v>-97016700000</v>
      </c>
      <c r="V7" s="54">
        <v>-113806000000</v>
      </c>
      <c r="W7" s="54">
        <v>-130765000000</v>
      </c>
      <c r="X7" s="54">
        <v>-147743000000</v>
      </c>
      <c r="Y7" s="54">
        <v>-164908000000</v>
      </c>
      <c r="Z7" s="54">
        <v>-182374000000</v>
      </c>
      <c r="AA7" s="54">
        <v>-200102000000</v>
      </c>
      <c r="AB7" s="54">
        <v>-218197000000</v>
      </c>
      <c r="AC7" s="54">
        <v>-236675000000</v>
      </c>
      <c r="AD7" s="54">
        <v>-255616000000</v>
      </c>
      <c r="AE7" s="54">
        <v>-275007000000</v>
      </c>
      <c r="AF7" s="54">
        <v>-295018000000</v>
      </c>
      <c r="AG7" s="54">
        <v>-315711000000</v>
      </c>
      <c r="AH7" s="54">
        <v>-337090000000</v>
      </c>
      <c r="AI7" s="54">
        <v>-359147000000</v>
      </c>
      <c r="AJ7" s="54">
        <v>-381716000000</v>
      </c>
      <c r="AK7" s="1">
        <v>-403956000000</v>
      </c>
    </row>
    <row r="8" spans="1:37" x14ac:dyDescent="0.25">
      <c r="A8" s="53" t="s">
        <v>3</v>
      </c>
      <c r="B8" s="53" t="s">
        <v>4</v>
      </c>
      <c r="C8" s="53" t="s">
        <v>78</v>
      </c>
      <c r="D8" s="53">
        <v>751.74599999999998</v>
      </c>
      <c r="E8" s="53">
        <v>1504.41</v>
      </c>
      <c r="F8" s="53">
        <v>2239.94</v>
      </c>
      <c r="G8" s="53">
        <v>2952.82</v>
      </c>
      <c r="H8" s="53">
        <v>3642.56</v>
      </c>
      <c r="I8" s="53">
        <v>4312.75</v>
      </c>
      <c r="J8" s="53">
        <v>4965.3599999999997</v>
      </c>
      <c r="K8" s="53">
        <v>5599.1</v>
      </c>
      <c r="L8" s="53">
        <v>6211.97</v>
      </c>
      <c r="M8" s="53">
        <v>6805.63</v>
      </c>
      <c r="N8" s="53">
        <v>7379.42</v>
      </c>
      <c r="O8" s="53">
        <v>7932.14</v>
      </c>
      <c r="P8" s="53">
        <v>8466.6200000000008</v>
      </c>
      <c r="Q8" s="53">
        <v>8984.23</v>
      </c>
      <c r="R8" s="53">
        <v>9485.41</v>
      </c>
      <c r="S8" s="53">
        <v>9969.56</v>
      </c>
      <c r="T8" s="53">
        <v>10436.9</v>
      </c>
      <c r="U8" s="53">
        <v>10888.4</v>
      </c>
      <c r="V8" s="53">
        <v>11325.4</v>
      </c>
      <c r="W8" s="53">
        <v>11748.5</v>
      </c>
      <c r="X8" s="53">
        <v>12158</v>
      </c>
      <c r="Y8" s="53">
        <v>12553.1</v>
      </c>
      <c r="Z8" s="53">
        <v>12936.2</v>
      </c>
      <c r="AA8" s="53">
        <v>13306.7</v>
      </c>
      <c r="AB8" s="53">
        <v>13665.3</v>
      </c>
      <c r="AC8" s="53">
        <v>14012.4</v>
      </c>
      <c r="AD8" s="53">
        <v>14348.1</v>
      </c>
      <c r="AE8" s="53">
        <v>14672.3</v>
      </c>
      <c r="AF8" s="53">
        <v>14984.8</v>
      </c>
      <c r="AG8" s="53">
        <v>15286.3</v>
      </c>
      <c r="AH8" s="53">
        <v>15577.9</v>
      </c>
      <c r="AI8" s="53">
        <v>15860.6</v>
      </c>
      <c r="AJ8" s="53">
        <v>16135.1</v>
      </c>
      <c r="AK8">
        <v>16402.2</v>
      </c>
    </row>
    <row r="9" spans="1:37" x14ac:dyDescent="0.25">
      <c r="A9" s="53" t="s">
        <v>16</v>
      </c>
      <c r="B9" s="53" t="s">
        <v>4</v>
      </c>
      <c r="C9" s="53" t="s">
        <v>78</v>
      </c>
      <c r="D9" s="54">
        <v>-27850000</v>
      </c>
      <c r="E9" s="54">
        <v>24142000</v>
      </c>
      <c r="F9" s="54">
        <v>557480000</v>
      </c>
      <c r="G9" s="54">
        <v>2096920000</v>
      </c>
      <c r="H9" s="54">
        <v>4503160000</v>
      </c>
      <c r="I9" s="54">
        <v>7409590000</v>
      </c>
      <c r="J9" s="54">
        <v>10669000000</v>
      </c>
      <c r="K9" s="54">
        <v>13832300000</v>
      </c>
      <c r="L9" s="54">
        <v>16338000000</v>
      </c>
      <c r="M9" s="54">
        <v>18000300000</v>
      </c>
      <c r="N9" s="54">
        <v>18462600000</v>
      </c>
      <c r="O9" s="54">
        <v>17640600000</v>
      </c>
      <c r="P9" s="54">
        <v>15560500000</v>
      </c>
      <c r="Q9" s="54">
        <v>12102500000</v>
      </c>
      <c r="R9" s="54">
        <v>7180010000</v>
      </c>
      <c r="S9" s="54">
        <v>1089520000</v>
      </c>
      <c r="T9" s="54">
        <v>-6088650000</v>
      </c>
      <c r="U9" s="54">
        <v>-13868000000</v>
      </c>
      <c r="V9" s="54">
        <v>-21655000000</v>
      </c>
      <c r="W9" s="54">
        <v>-29309700000</v>
      </c>
      <c r="X9" s="54">
        <v>-36741300000</v>
      </c>
      <c r="Y9" s="54">
        <v>-44145700000</v>
      </c>
      <c r="Z9" s="54">
        <v>-51624800000</v>
      </c>
      <c r="AA9" s="54">
        <v>-59157500000</v>
      </c>
      <c r="AB9" s="54">
        <v>-66891500000</v>
      </c>
      <c r="AC9" s="54">
        <v>-74814400000</v>
      </c>
      <c r="AD9" s="54">
        <v>-83043700000</v>
      </c>
      <c r="AE9" s="54">
        <v>-91593500000</v>
      </c>
      <c r="AF9" s="54">
        <v>-100605000000</v>
      </c>
      <c r="AG9" s="54">
        <v>-110154000000</v>
      </c>
      <c r="AH9" s="54">
        <v>-120282000000</v>
      </c>
      <c r="AI9" s="54">
        <v>-131065000000</v>
      </c>
      <c r="AJ9" s="54">
        <v>-142373000000</v>
      </c>
      <c r="AK9" s="1">
        <v>-153328000000</v>
      </c>
    </row>
    <row r="10" spans="1:37" x14ac:dyDescent="0.25">
      <c r="A10" s="53" t="s">
        <v>3</v>
      </c>
      <c r="B10" s="53" t="s">
        <v>79</v>
      </c>
      <c r="C10" s="53" t="s">
        <v>80</v>
      </c>
      <c r="D10" s="53">
        <v>751.74599999999998</v>
      </c>
      <c r="E10" s="53">
        <v>1504.41</v>
      </c>
      <c r="F10" s="53">
        <v>2239.2399999999998</v>
      </c>
      <c r="G10" s="53">
        <v>2950.82</v>
      </c>
      <c r="H10" s="53">
        <v>3638.65</v>
      </c>
      <c r="I10" s="53">
        <v>4305.78</v>
      </c>
      <c r="J10" s="53">
        <v>4956.2700000000004</v>
      </c>
      <c r="K10" s="53">
        <v>5587.88</v>
      </c>
      <c r="L10" s="53">
        <v>6198.52</v>
      </c>
      <c r="M10" s="53">
        <v>6790.35</v>
      </c>
      <c r="N10" s="53">
        <v>7362.67</v>
      </c>
      <c r="O10" s="53">
        <v>7914.37</v>
      </c>
      <c r="P10" s="53">
        <v>8448.11</v>
      </c>
      <c r="Q10" s="53">
        <v>8963.98</v>
      </c>
      <c r="R10" s="53">
        <v>9463.6200000000008</v>
      </c>
      <c r="S10" s="53">
        <v>9945.91</v>
      </c>
      <c r="T10" s="53">
        <v>10411</v>
      </c>
      <c r="U10" s="53">
        <v>10860</v>
      </c>
      <c r="V10" s="53">
        <v>11296.7</v>
      </c>
      <c r="W10" s="53">
        <v>11720.2</v>
      </c>
      <c r="X10" s="53">
        <v>12130.7</v>
      </c>
      <c r="Y10" s="53">
        <v>12527.4</v>
      </c>
      <c r="Z10" s="53">
        <v>12912.5</v>
      </c>
      <c r="AA10" s="53">
        <v>13285.4</v>
      </c>
      <c r="AB10" s="53">
        <v>13646.8</v>
      </c>
      <c r="AC10" s="53">
        <v>13997.3</v>
      </c>
      <c r="AD10" s="53">
        <v>14338</v>
      </c>
      <c r="AE10" s="53">
        <v>14669.1</v>
      </c>
      <c r="AF10" s="53">
        <v>14990.8</v>
      </c>
      <c r="AG10" s="53">
        <v>15303.4</v>
      </c>
      <c r="AH10" s="53">
        <v>15607.2</v>
      </c>
      <c r="AI10" s="53">
        <v>15902.4</v>
      </c>
      <c r="AJ10" s="53">
        <v>16189.3</v>
      </c>
      <c r="AK10">
        <v>16468.400000000001</v>
      </c>
    </row>
    <row r="11" spans="1:37" x14ac:dyDescent="0.25">
      <c r="A11" s="53" t="s">
        <v>16</v>
      </c>
      <c r="B11" s="53" t="s">
        <v>79</v>
      </c>
      <c r="C11" s="53" t="s">
        <v>80</v>
      </c>
      <c r="D11" s="54">
        <v>-27850000</v>
      </c>
      <c r="E11" s="54">
        <v>24142000</v>
      </c>
      <c r="F11" s="54">
        <v>-275605000</v>
      </c>
      <c r="G11" s="54">
        <v>-444261000</v>
      </c>
      <c r="H11" s="54">
        <v>-747352000</v>
      </c>
      <c r="I11" s="54">
        <v>-1541500000</v>
      </c>
      <c r="J11" s="54">
        <v>-2807740000</v>
      </c>
      <c r="K11" s="54">
        <v>-5229800000</v>
      </c>
      <c r="L11" s="54">
        <v>-9442900000</v>
      </c>
      <c r="M11" s="54">
        <v>-15370300000</v>
      </c>
      <c r="N11" s="54">
        <v>-23395800000</v>
      </c>
      <c r="O11" s="54">
        <v>-33581800000</v>
      </c>
      <c r="P11" s="54">
        <v>-45840400000</v>
      </c>
      <c r="Q11" s="54">
        <v>-60466200000</v>
      </c>
      <c r="R11" s="54">
        <v>-77217700000</v>
      </c>
      <c r="S11" s="54">
        <v>-95759200000</v>
      </c>
      <c r="T11" s="54">
        <v>-116177000000</v>
      </c>
      <c r="U11" s="54">
        <v>-137825000000</v>
      </c>
      <c r="V11" s="54">
        <v>-159985000000</v>
      </c>
      <c r="W11" s="54">
        <v>-182626000000</v>
      </c>
      <c r="X11" s="54">
        <v>-205686000000</v>
      </c>
      <c r="Y11" s="54">
        <v>-229181000000</v>
      </c>
      <c r="Z11" s="54">
        <v>-253140000000</v>
      </c>
      <c r="AA11" s="54">
        <v>-277435000000</v>
      </c>
      <c r="AB11" s="54">
        <v>-302141000000</v>
      </c>
      <c r="AC11" s="54">
        <v>-327222000000</v>
      </c>
      <c r="AD11" s="54">
        <v>-352654000000</v>
      </c>
      <c r="AE11" s="54">
        <v>-378281000000</v>
      </c>
      <c r="AF11" s="54">
        <v>-404046000000</v>
      </c>
      <c r="AG11" s="54">
        <v>-429893000000</v>
      </c>
      <c r="AH11" s="54">
        <v>-455782000000</v>
      </c>
      <c r="AI11" s="54">
        <v>-481737000000</v>
      </c>
      <c r="AJ11" s="54">
        <v>-507807000000</v>
      </c>
      <c r="AK11" s="1">
        <v>-533267000000</v>
      </c>
    </row>
    <row r="12" spans="1:37" x14ac:dyDescent="0.25">
      <c r="A12" s="53" t="s">
        <v>3</v>
      </c>
      <c r="B12" s="53" t="s">
        <v>5</v>
      </c>
      <c r="C12" s="53" t="s">
        <v>81</v>
      </c>
      <c r="D12" s="53">
        <v>751.74599999999998</v>
      </c>
      <c r="E12" s="53">
        <v>1504.41</v>
      </c>
      <c r="F12" s="53">
        <v>2239.35</v>
      </c>
      <c r="G12" s="53">
        <v>2950.88</v>
      </c>
      <c r="H12" s="53">
        <v>3639.05</v>
      </c>
      <c r="I12" s="53">
        <v>4307.71</v>
      </c>
      <c r="J12" s="53">
        <v>4957.87</v>
      </c>
      <c r="K12" s="53">
        <v>5588.86</v>
      </c>
      <c r="L12" s="53">
        <v>6199.09</v>
      </c>
      <c r="M12" s="53">
        <v>6789.71</v>
      </c>
      <c r="N12" s="53">
        <v>7360.23</v>
      </c>
      <c r="O12" s="53">
        <v>7909.54</v>
      </c>
      <c r="P12" s="53">
        <v>8440.44</v>
      </c>
      <c r="Q12" s="53">
        <v>8954.34</v>
      </c>
      <c r="R12" s="53">
        <v>9451.73</v>
      </c>
      <c r="S12" s="53">
        <v>9932.0400000000009</v>
      </c>
      <c r="T12" s="53">
        <v>10395.5</v>
      </c>
      <c r="U12" s="53">
        <v>10843.1</v>
      </c>
      <c r="V12" s="53">
        <v>11277.2</v>
      </c>
      <c r="W12" s="53">
        <v>11697.6</v>
      </c>
      <c r="X12" s="53">
        <v>12104.7</v>
      </c>
      <c r="Y12" s="53">
        <v>12498.8</v>
      </c>
      <c r="Z12" s="53">
        <v>12883.6</v>
      </c>
      <c r="AA12" s="53">
        <v>13259.2</v>
      </c>
      <c r="AB12" s="53">
        <v>13626.5</v>
      </c>
      <c r="AC12" s="53">
        <v>13985.9</v>
      </c>
      <c r="AD12" s="53">
        <v>14338</v>
      </c>
      <c r="AE12" s="53">
        <v>14682.8</v>
      </c>
      <c r="AF12" s="53">
        <v>15020.4</v>
      </c>
      <c r="AG12" s="53">
        <v>15351.1</v>
      </c>
      <c r="AH12" s="53">
        <v>15675.2</v>
      </c>
      <c r="AI12" s="53">
        <v>15993</v>
      </c>
      <c r="AJ12" s="53">
        <v>16304.9</v>
      </c>
      <c r="AK12">
        <v>16611.3</v>
      </c>
    </row>
    <row r="13" spans="1:37" x14ac:dyDescent="0.25">
      <c r="A13" s="53" t="s">
        <v>16</v>
      </c>
      <c r="B13" s="53" t="s">
        <v>5</v>
      </c>
      <c r="C13" s="53" t="s">
        <v>81</v>
      </c>
      <c r="D13" s="54">
        <v>-27850000</v>
      </c>
      <c r="E13" s="54">
        <v>24142000</v>
      </c>
      <c r="F13" s="54">
        <v>-490614000</v>
      </c>
      <c r="G13" s="54">
        <v>-951454000</v>
      </c>
      <c r="H13" s="54">
        <v>-1413060000</v>
      </c>
      <c r="I13" s="54">
        <v>-2092660000</v>
      </c>
      <c r="J13" s="54">
        <v>-3148310000</v>
      </c>
      <c r="K13" s="54">
        <v>-4892140000</v>
      </c>
      <c r="L13" s="54">
        <v>-7683850000</v>
      </c>
      <c r="M13" s="54">
        <v>-11737900000</v>
      </c>
      <c r="N13" s="54">
        <v>-17333600000</v>
      </c>
      <c r="O13" s="54">
        <v>-24375700000</v>
      </c>
      <c r="P13" s="54">
        <v>-32811600000</v>
      </c>
      <c r="Q13" s="54">
        <v>-42777200000</v>
      </c>
      <c r="R13" s="54">
        <v>-54130600000</v>
      </c>
      <c r="S13" s="54">
        <v>-66538600000</v>
      </c>
      <c r="T13" s="54">
        <v>-79909200000</v>
      </c>
      <c r="U13" s="54">
        <v>-93687400000</v>
      </c>
      <c r="V13" s="54">
        <v>-107184000000</v>
      </c>
      <c r="W13" s="54">
        <v>-120268000000</v>
      </c>
      <c r="X13" s="54">
        <v>-132761000000</v>
      </c>
      <c r="Y13" s="54">
        <v>-144640000000</v>
      </c>
      <c r="Z13" s="54">
        <v>-155718000000</v>
      </c>
      <c r="AA13" s="54">
        <v>-165876000000</v>
      </c>
      <c r="AB13" s="54">
        <v>-175298000000</v>
      </c>
      <c r="AC13" s="54">
        <v>-183892000000</v>
      </c>
      <c r="AD13" s="54">
        <v>-191733000000</v>
      </c>
      <c r="AE13" s="54">
        <v>-198790000000</v>
      </c>
      <c r="AF13" s="54">
        <v>-205192000000</v>
      </c>
      <c r="AG13" s="54">
        <v>-210934000000</v>
      </c>
      <c r="AH13" s="54">
        <v>-216035000000</v>
      </c>
      <c r="AI13" s="54">
        <v>-220507000000</v>
      </c>
      <c r="AJ13" s="54">
        <v>-224448000000</v>
      </c>
      <c r="AK13" s="1">
        <v>-227175000000</v>
      </c>
    </row>
    <row r="14" spans="1:37" x14ac:dyDescent="0.25">
      <c r="A14" s="53" t="s">
        <v>3</v>
      </c>
      <c r="B14" s="53" t="s">
        <v>82</v>
      </c>
      <c r="C14" s="53" t="s">
        <v>83</v>
      </c>
      <c r="D14" s="53">
        <v>752.46500000000003</v>
      </c>
      <c r="E14" s="53">
        <v>1505.3</v>
      </c>
      <c r="F14" s="53">
        <v>2240.3000000000002</v>
      </c>
      <c r="G14" s="53">
        <v>2951.31</v>
      </c>
      <c r="H14" s="53">
        <v>3638.85</v>
      </c>
      <c r="I14" s="53">
        <v>4304.09</v>
      </c>
      <c r="J14" s="53">
        <v>4949.26</v>
      </c>
      <c r="K14" s="53">
        <v>5574.63</v>
      </c>
      <c r="L14" s="53">
        <v>6178.76</v>
      </c>
      <c r="M14" s="53">
        <v>6764.13</v>
      </c>
      <c r="N14" s="53">
        <v>7329.31</v>
      </c>
      <c r="O14" s="53">
        <v>7873.21</v>
      </c>
      <c r="P14" s="53">
        <v>8398.6299999999992</v>
      </c>
      <c r="Q14" s="53">
        <v>8905.52</v>
      </c>
      <c r="R14" s="53">
        <v>9395.73</v>
      </c>
      <c r="S14" s="53">
        <v>9868.64</v>
      </c>
      <c r="T14" s="53">
        <v>10324.6</v>
      </c>
      <c r="U14" s="53">
        <v>10764.3</v>
      </c>
      <c r="V14" s="53">
        <v>11190.3</v>
      </c>
      <c r="W14" s="53">
        <v>11602.3</v>
      </c>
      <c r="X14" s="53">
        <v>12000.8</v>
      </c>
      <c r="Y14" s="53">
        <v>12385</v>
      </c>
      <c r="Z14" s="53">
        <v>12757.3</v>
      </c>
      <c r="AA14" s="53">
        <v>13117.2</v>
      </c>
      <c r="AB14" s="53">
        <v>13465.1</v>
      </c>
      <c r="AC14" s="53">
        <v>13801.2</v>
      </c>
      <c r="AD14" s="53">
        <v>14126</v>
      </c>
      <c r="AE14" s="53">
        <v>14439.2</v>
      </c>
      <c r="AF14" s="53">
        <v>14741.3</v>
      </c>
      <c r="AG14" s="53">
        <v>15033.1</v>
      </c>
      <c r="AH14" s="53">
        <v>15315.6</v>
      </c>
      <c r="AI14" s="53">
        <v>15589.6</v>
      </c>
      <c r="AJ14" s="53">
        <v>15855.8</v>
      </c>
      <c r="AK14">
        <v>16114.5</v>
      </c>
    </row>
    <row r="15" spans="1:37" x14ac:dyDescent="0.25">
      <c r="A15" s="53" t="s">
        <v>16</v>
      </c>
      <c r="B15" s="53" t="s">
        <v>82</v>
      </c>
      <c r="C15" s="53" t="s">
        <v>83</v>
      </c>
      <c r="D15" s="54">
        <v>0</v>
      </c>
      <c r="E15" s="54">
        <v>0</v>
      </c>
      <c r="F15" s="54">
        <v>-207952000</v>
      </c>
      <c r="G15" s="54">
        <v>-57184200</v>
      </c>
      <c r="H15" s="54">
        <v>268199000</v>
      </c>
      <c r="I15" s="54">
        <v>287670000</v>
      </c>
      <c r="J15" s="54">
        <v>-117329000</v>
      </c>
      <c r="K15" s="54">
        <v>-1130780000</v>
      </c>
      <c r="L15" s="54">
        <v>-3361170000</v>
      </c>
      <c r="M15" s="54">
        <v>-7102980000</v>
      </c>
      <c r="N15" s="54">
        <v>-12668500000</v>
      </c>
      <c r="O15" s="54">
        <v>-20063800000</v>
      </c>
      <c r="P15" s="54">
        <v>-29198300000</v>
      </c>
      <c r="Q15" s="54">
        <v>-40361200000</v>
      </c>
      <c r="R15" s="54">
        <v>-53358400000</v>
      </c>
      <c r="S15" s="54">
        <v>-67785700000</v>
      </c>
      <c r="T15" s="54">
        <v>-83717300000</v>
      </c>
      <c r="U15" s="54">
        <v>-100612000000</v>
      </c>
      <c r="V15" s="54">
        <v>-117829000000</v>
      </c>
      <c r="W15" s="54">
        <v>-135213000000</v>
      </c>
      <c r="X15" s="54">
        <v>-152609000000</v>
      </c>
      <c r="Y15" s="54">
        <v>-170182000000</v>
      </c>
      <c r="Z15" s="54">
        <v>-188040000000</v>
      </c>
      <c r="AA15" s="54">
        <v>-206142000000</v>
      </c>
      <c r="AB15" s="54">
        <v>-224603000000</v>
      </c>
      <c r="AC15" s="54">
        <v>-243437000000</v>
      </c>
      <c r="AD15" s="54">
        <v>-262704000000</v>
      </c>
      <c r="AE15" s="54">
        <v>-282393000000</v>
      </c>
      <c r="AF15" s="54">
        <v>-302679000000</v>
      </c>
      <c r="AG15" s="54">
        <v>-323615000000</v>
      </c>
      <c r="AH15" s="54">
        <v>-345217000000</v>
      </c>
      <c r="AI15" s="54">
        <v>-367374000000</v>
      </c>
      <c r="AJ15" s="54">
        <v>-389958000000</v>
      </c>
      <c r="AK15" s="1">
        <v>-412205000000</v>
      </c>
    </row>
    <row r="16" spans="1:37" x14ac:dyDescent="0.25">
      <c r="A16" s="53" t="s">
        <v>3</v>
      </c>
      <c r="B16" s="53" t="s">
        <v>17</v>
      </c>
      <c r="C16" s="53" t="s">
        <v>71</v>
      </c>
      <c r="D16" s="53">
        <v>751.74599999999998</v>
      </c>
      <c r="E16" s="53">
        <v>1504.41</v>
      </c>
      <c r="F16" s="53">
        <v>2240.98</v>
      </c>
      <c r="G16" s="53">
        <v>2955.73</v>
      </c>
      <c r="H16" s="53">
        <v>3647.43</v>
      </c>
      <c r="I16" s="53">
        <v>4319.04</v>
      </c>
      <c r="J16" s="53">
        <v>4974.88</v>
      </c>
      <c r="K16" s="53">
        <v>5612.12</v>
      </c>
      <c r="L16" s="53">
        <v>6228.48</v>
      </c>
      <c r="M16" s="53">
        <v>6823.96</v>
      </c>
      <c r="N16" s="53">
        <v>7397.82</v>
      </c>
      <c r="O16" s="53">
        <v>7949.05</v>
      </c>
      <c r="P16" s="53">
        <v>8479.68</v>
      </c>
      <c r="Q16" s="53">
        <v>8992.6200000000008</v>
      </c>
      <c r="R16" s="53">
        <v>9488.2800000000007</v>
      </c>
      <c r="S16" s="53">
        <v>9966.1</v>
      </c>
      <c r="T16" s="53">
        <v>10426.4</v>
      </c>
      <c r="U16" s="53">
        <v>10869.9</v>
      </c>
      <c r="V16" s="53">
        <v>11298.7</v>
      </c>
      <c r="W16" s="53">
        <v>11713</v>
      </c>
      <c r="X16" s="53">
        <v>12112.8</v>
      </c>
      <c r="Y16" s="53">
        <v>12498.3</v>
      </c>
      <c r="Z16" s="53">
        <v>12871.6</v>
      </c>
      <c r="AA16" s="53">
        <v>13232.4</v>
      </c>
      <c r="AB16" s="53">
        <v>13581.2</v>
      </c>
      <c r="AC16" s="53">
        <v>13918.1</v>
      </c>
      <c r="AD16" s="53">
        <v>14243.6</v>
      </c>
      <c r="AE16" s="53">
        <v>14557.3</v>
      </c>
      <c r="AF16" s="53">
        <v>14859.5</v>
      </c>
      <c r="AG16" s="53">
        <v>15151.5</v>
      </c>
      <c r="AH16" s="53">
        <v>15434</v>
      </c>
      <c r="AI16" s="53">
        <v>15708</v>
      </c>
      <c r="AJ16" s="53">
        <v>15974.1</v>
      </c>
      <c r="AK16">
        <v>16232.8</v>
      </c>
    </row>
    <row r="17" spans="1:37" x14ac:dyDescent="0.25">
      <c r="A17" s="53" t="s">
        <v>16</v>
      </c>
      <c r="B17" s="53" t="s">
        <v>17</v>
      </c>
      <c r="C17" s="53" t="s">
        <v>71</v>
      </c>
      <c r="D17" s="54">
        <v>-27850000</v>
      </c>
      <c r="E17" s="54">
        <v>24142000</v>
      </c>
      <c r="F17" s="54">
        <v>-102524000</v>
      </c>
      <c r="G17" s="54">
        <v>39992700</v>
      </c>
      <c r="H17" s="54">
        <v>190700000</v>
      </c>
      <c r="I17" s="54">
        <v>141600000</v>
      </c>
      <c r="J17" s="54">
        <v>23515400</v>
      </c>
      <c r="K17" s="54">
        <v>-866164000</v>
      </c>
      <c r="L17" s="54">
        <v>-3129360000</v>
      </c>
      <c r="M17" s="54">
        <v>-6569570000</v>
      </c>
      <c r="N17" s="54">
        <v>-11585900000</v>
      </c>
      <c r="O17" s="54">
        <v>-18333900000</v>
      </c>
      <c r="P17" s="54">
        <v>-27004500000</v>
      </c>
      <c r="Q17" s="54">
        <v>-37318000000</v>
      </c>
      <c r="R17" s="54">
        <v>-49146200000</v>
      </c>
      <c r="S17" s="54">
        <v>-62523400000</v>
      </c>
      <c r="T17" s="54">
        <v>-77422900000</v>
      </c>
      <c r="U17" s="54">
        <v>-93295500000</v>
      </c>
      <c r="V17" s="54">
        <v>-109545000000</v>
      </c>
      <c r="W17" s="54">
        <v>-126032000000</v>
      </c>
      <c r="X17" s="54">
        <v>-142605000000</v>
      </c>
      <c r="Y17" s="54">
        <v>-159425000000</v>
      </c>
      <c r="Z17" s="54">
        <v>-176598000000</v>
      </c>
      <c r="AA17" s="54">
        <v>-194118000000</v>
      </c>
      <c r="AB17" s="54">
        <v>-212076000000</v>
      </c>
      <c r="AC17" s="54">
        <v>-230471000000</v>
      </c>
      <c r="AD17" s="54">
        <v>-249376000000</v>
      </c>
      <c r="AE17" s="54">
        <v>-268767000000</v>
      </c>
      <c r="AF17" s="54">
        <v>-288810000000</v>
      </c>
      <c r="AG17" s="54">
        <v>-309555000000</v>
      </c>
      <c r="AH17" s="54">
        <v>-331000000000</v>
      </c>
      <c r="AI17" s="54">
        <v>-353076000000</v>
      </c>
      <c r="AJ17" s="54">
        <v>-375638000000</v>
      </c>
      <c r="AK17" s="1">
        <v>-397877000000</v>
      </c>
    </row>
    <row r="18" spans="1:37" x14ac:dyDescent="0.25">
      <c r="A18" s="53" t="s">
        <v>3</v>
      </c>
      <c r="B18" s="53" t="s">
        <v>84</v>
      </c>
      <c r="C18" s="53" t="s">
        <v>85</v>
      </c>
      <c r="D18" s="53">
        <v>751.74599999999998</v>
      </c>
      <c r="E18" s="53">
        <v>1504.41</v>
      </c>
      <c r="F18" s="53">
        <v>2239.1999999999998</v>
      </c>
      <c r="G18" s="53">
        <v>2950.63</v>
      </c>
      <c r="H18" s="53">
        <v>3638.19</v>
      </c>
      <c r="I18" s="53">
        <v>4305.5200000000004</v>
      </c>
      <c r="J18" s="53">
        <v>4954.6499999999996</v>
      </c>
      <c r="K18" s="53">
        <v>5584.29</v>
      </c>
      <c r="L18" s="53">
        <v>6193.47</v>
      </c>
      <c r="M18" s="53">
        <v>6784.07</v>
      </c>
      <c r="N18" s="53">
        <v>7355.09</v>
      </c>
      <c r="O18" s="53">
        <v>7905.21</v>
      </c>
      <c r="P18" s="53">
        <v>8437.1</v>
      </c>
      <c r="Q18" s="53">
        <v>8951.98</v>
      </c>
      <c r="R18" s="53">
        <v>9450.27</v>
      </c>
      <c r="S18" s="53">
        <v>9931.32</v>
      </c>
      <c r="T18" s="53">
        <v>10395.299999999999</v>
      </c>
      <c r="U18" s="53">
        <v>10842.9</v>
      </c>
      <c r="V18" s="53">
        <v>11276.6</v>
      </c>
      <c r="W18" s="53">
        <v>11696.1</v>
      </c>
      <c r="X18" s="53">
        <v>12101.6</v>
      </c>
      <c r="Y18" s="53">
        <v>12492.6</v>
      </c>
      <c r="Z18" s="53">
        <v>12871.2</v>
      </c>
      <c r="AA18" s="53">
        <v>13236.8</v>
      </c>
      <c r="AB18" s="53">
        <v>13590.3</v>
      </c>
      <c r="AC18" s="53">
        <v>13931.4</v>
      </c>
      <c r="AD18" s="53">
        <v>14260.7</v>
      </c>
      <c r="AE18" s="53">
        <v>14577.7</v>
      </c>
      <c r="AF18" s="53">
        <v>14882.8</v>
      </c>
      <c r="AG18" s="53">
        <v>15176.8</v>
      </c>
      <c r="AH18" s="53">
        <v>15460.8</v>
      </c>
      <c r="AI18" s="53">
        <v>15735.8</v>
      </c>
      <c r="AJ18" s="53">
        <v>16002.4</v>
      </c>
      <c r="AK18">
        <v>16261.1</v>
      </c>
    </row>
    <row r="19" spans="1:37" x14ac:dyDescent="0.25">
      <c r="A19" s="53" t="s">
        <v>16</v>
      </c>
      <c r="B19" s="53" t="s">
        <v>84</v>
      </c>
      <c r="C19" s="53" t="s">
        <v>85</v>
      </c>
      <c r="D19" s="54">
        <v>-27850000</v>
      </c>
      <c r="E19" s="54">
        <v>24142000</v>
      </c>
      <c r="F19" s="54">
        <v>-143131000</v>
      </c>
      <c r="G19" s="54">
        <v>5788340</v>
      </c>
      <c r="H19" s="54">
        <v>285928000</v>
      </c>
      <c r="I19" s="54">
        <v>413700000</v>
      </c>
      <c r="J19" s="54">
        <v>268910000</v>
      </c>
      <c r="K19" s="54">
        <v>-630395000</v>
      </c>
      <c r="L19" s="54">
        <v>-2610230000</v>
      </c>
      <c r="M19" s="54">
        <v>-5758050000</v>
      </c>
      <c r="N19" s="54">
        <v>-10451000000</v>
      </c>
      <c r="O19" s="54">
        <v>-16762400000</v>
      </c>
      <c r="P19" s="54">
        <v>-24673500000</v>
      </c>
      <c r="Q19" s="54">
        <v>-34419400000</v>
      </c>
      <c r="R19" s="54">
        <v>-45964100000</v>
      </c>
      <c r="S19" s="54">
        <v>-59015800000</v>
      </c>
      <c r="T19" s="54">
        <v>-73527400000</v>
      </c>
      <c r="U19" s="54">
        <v>-88994800000</v>
      </c>
      <c r="V19" s="54">
        <v>-104804000000</v>
      </c>
      <c r="W19" s="54">
        <v>-120826000000</v>
      </c>
      <c r="X19" s="54">
        <v>-136925000000</v>
      </c>
      <c r="Y19" s="54">
        <v>-153281000000</v>
      </c>
      <c r="Z19" s="54">
        <v>-170011000000</v>
      </c>
      <c r="AA19" s="54">
        <v>-187081000000</v>
      </c>
      <c r="AB19" s="54">
        <v>-204584000000</v>
      </c>
      <c r="AC19" s="54">
        <v>-222545000000</v>
      </c>
      <c r="AD19" s="54">
        <v>-241044000000</v>
      </c>
      <c r="AE19" s="54">
        <v>-260075000000</v>
      </c>
      <c r="AF19" s="54">
        <v>-279813000000</v>
      </c>
      <c r="AG19" s="54">
        <v>-300324000000</v>
      </c>
      <c r="AH19" s="54">
        <v>-321616000000</v>
      </c>
      <c r="AI19" s="54">
        <v>-343632000000</v>
      </c>
      <c r="AJ19" s="54">
        <v>-366209000000</v>
      </c>
      <c r="AK19" s="1">
        <v>-388536000000</v>
      </c>
    </row>
    <row r="20" spans="1:37" x14ac:dyDescent="0.25">
      <c r="A20" s="53" t="s">
        <v>3</v>
      </c>
      <c r="B20" s="53" t="s">
        <v>86</v>
      </c>
      <c r="C20" s="53" t="s">
        <v>87</v>
      </c>
      <c r="D20" s="53">
        <v>751.74599999999998</v>
      </c>
      <c r="E20" s="53">
        <v>1504.41</v>
      </c>
      <c r="F20" s="53">
        <v>2240.54</v>
      </c>
      <c r="G20" s="53">
        <v>2954.58</v>
      </c>
      <c r="H20" s="53">
        <v>3645.39</v>
      </c>
      <c r="I20" s="53">
        <v>4314.87</v>
      </c>
      <c r="J20" s="53">
        <v>4967.92</v>
      </c>
      <c r="K20" s="53">
        <v>5601.86</v>
      </c>
      <c r="L20" s="53">
        <v>6217.45</v>
      </c>
      <c r="M20" s="53">
        <v>6814.33</v>
      </c>
      <c r="N20" s="53">
        <v>7391.66</v>
      </c>
      <c r="O20" s="53">
        <v>7948.15</v>
      </c>
      <c r="P20" s="53">
        <v>8486.51</v>
      </c>
      <c r="Q20" s="53">
        <v>9007.42</v>
      </c>
      <c r="R20" s="53">
        <v>9512.6299999999992</v>
      </c>
      <c r="S20" s="53">
        <v>10000.700000000001</v>
      </c>
      <c r="T20" s="53">
        <v>10471.799999999999</v>
      </c>
      <c r="U20" s="53">
        <v>10926.9</v>
      </c>
      <c r="V20" s="53">
        <v>11368.5</v>
      </c>
      <c r="W20" s="53">
        <v>11796.3</v>
      </c>
      <c r="X20" s="53">
        <v>12210.8</v>
      </c>
      <c r="Y20" s="53">
        <v>12611.3</v>
      </c>
      <c r="Z20" s="53">
        <v>13000.1</v>
      </c>
      <c r="AA20" s="53">
        <v>13376.5</v>
      </c>
      <c r="AB20" s="53">
        <v>13740.7</v>
      </c>
      <c r="AC20" s="53">
        <v>14093</v>
      </c>
      <c r="AD20" s="53">
        <v>14433.6</v>
      </c>
      <c r="AE20" s="53">
        <v>14762.8</v>
      </c>
      <c r="AF20" s="53">
        <v>15081.4</v>
      </c>
      <c r="AG20" s="53">
        <v>15390.4</v>
      </c>
      <c r="AH20" s="53">
        <v>15690.5</v>
      </c>
      <c r="AI20" s="53">
        <v>15982.3</v>
      </c>
      <c r="AJ20" s="53">
        <v>16266.3</v>
      </c>
      <c r="AK20">
        <v>16543</v>
      </c>
    </row>
    <row r="21" spans="1:37" x14ac:dyDescent="0.25">
      <c r="A21" s="53" t="s">
        <v>16</v>
      </c>
      <c r="B21" s="53" t="s">
        <v>86</v>
      </c>
      <c r="C21" s="53" t="s">
        <v>87</v>
      </c>
      <c r="D21" s="53">
        <v>-27850000</v>
      </c>
      <c r="E21" s="53">
        <v>24142000</v>
      </c>
      <c r="F21" s="54">
        <v>-645372000</v>
      </c>
      <c r="G21" s="54">
        <v>-1802740000</v>
      </c>
      <c r="H21" s="54">
        <v>-3813760000</v>
      </c>
      <c r="I21" s="54">
        <v>-6734980000</v>
      </c>
      <c r="J21" s="54">
        <v>-10173700000</v>
      </c>
      <c r="K21" s="54">
        <v>-14732400000</v>
      </c>
      <c r="L21" s="54">
        <v>-20839700000</v>
      </c>
      <c r="M21" s="54">
        <v>-28621500000</v>
      </c>
      <c r="N21" s="54">
        <v>-38494700000</v>
      </c>
      <c r="O21" s="54">
        <v>-50143700000</v>
      </c>
      <c r="P21" s="54">
        <v>-63340200000</v>
      </c>
      <c r="Q21" s="54">
        <v>-78378500000</v>
      </c>
      <c r="R21" s="54">
        <v>-95045600000</v>
      </c>
      <c r="S21" s="54">
        <v>-113051000000</v>
      </c>
      <c r="T21" s="54">
        <v>-132407000000</v>
      </c>
      <c r="U21" s="54">
        <v>-152486000000</v>
      </c>
      <c r="V21" s="54">
        <v>-172764000000</v>
      </c>
      <c r="W21" s="54">
        <v>-193154000000</v>
      </c>
      <c r="X21" s="54">
        <v>-213536000000</v>
      </c>
      <c r="Y21" s="54">
        <v>-234060000000</v>
      </c>
      <c r="Z21" s="54">
        <v>-254855000000</v>
      </c>
      <c r="AA21" s="54">
        <v>-275867000000</v>
      </c>
      <c r="AB21" s="54">
        <v>-297200000000</v>
      </c>
      <c r="AC21" s="54">
        <v>-318884000000</v>
      </c>
      <c r="AD21" s="54">
        <v>-340949000000</v>
      </c>
      <c r="AE21" s="54">
        <v>-363404000000</v>
      </c>
      <c r="AF21" s="54">
        <v>-386414000000</v>
      </c>
      <c r="AG21" s="54">
        <v>-410008000000</v>
      </c>
      <c r="AH21" s="54">
        <v>-434150000000</v>
      </c>
      <c r="AI21" s="54">
        <v>-458658000000</v>
      </c>
      <c r="AJ21" s="54">
        <v>-483461000000</v>
      </c>
      <c r="AK21" s="1">
        <v>-507879000000</v>
      </c>
    </row>
    <row r="22" spans="1:37" x14ac:dyDescent="0.25">
      <c r="A22" s="53" t="s">
        <v>3</v>
      </c>
      <c r="B22" s="53" t="s">
        <v>7</v>
      </c>
      <c r="C22" s="53" t="s">
        <v>88</v>
      </c>
      <c r="D22" s="53">
        <v>751.74599999999998</v>
      </c>
      <c r="E22" s="53">
        <v>1504.41</v>
      </c>
      <c r="F22" s="53">
        <v>2240.54</v>
      </c>
      <c r="G22" s="53">
        <v>2954.6</v>
      </c>
      <c r="H22" s="53">
        <v>3646.24</v>
      </c>
      <c r="I22" s="53">
        <v>4319.12</v>
      </c>
      <c r="J22" s="53">
        <v>4975.3500000000004</v>
      </c>
      <c r="K22" s="53">
        <v>5613.69</v>
      </c>
      <c r="L22" s="53">
        <v>6232.16</v>
      </c>
      <c r="M22" s="53">
        <v>6832.53</v>
      </c>
      <c r="N22" s="53">
        <v>7414.18</v>
      </c>
      <c r="O22" s="53">
        <v>7975.98</v>
      </c>
      <c r="P22" s="53">
        <v>8520.77</v>
      </c>
      <c r="Q22" s="53">
        <v>9049.94</v>
      </c>
      <c r="R22" s="53">
        <v>9563.5</v>
      </c>
      <c r="S22" s="53">
        <v>10060.799999999999</v>
      </c>
      <c r="T22" s="53">
        <v>10542.2</v>
      </c>
      <c r="U22" s="53">
        <v>11008.4</v>
      </c>
      <c r="V22" s="53">
        <v>11461.7</v>
      </c>
      <c r="W22" s="53">
        <v>11901.9</v>
      </c>
      <c r="X22" s="53">
        <v>12329.4</v>
      </c>
      <c r="Y22" s="53">
        <v>12743.5</v>
      </c>
      <c r="Z22" s="53">
        <v>13146.4</v>
      </c>
      <c r="AA22" s="53">
        <v>13537.4</v>
      </c>
      <c r="AB22" s="53">
        <v>13917.4</v>
      </c>
      <c r="AC22" s="53">
        <v>14286.2</v>
      </c>
      <c r="AD22" s="53">
        <v>14644.3</v>
      </c>
      <c r="AE22" s="53">
        <v>14991.2</v>
      </c>
      <c r="AF22" s="53">
        <v>15327.2</v>
      </c>
      <c r="AG22" s="53">
        <v>15653.2</v>
      </c>
      <c r="AH22" s="53">
        <v>15970.1</v>
      </c>
      <c r="AI22" s="53">
        <v>16278.9</v>
      </c>
      <c r="AJ22" s="53">
        <v>16580.2</v>
      </c>
      <c r="AK22">
        <v>16874.599999999999</v>
      </c>
    </row>
    <row r="23" spans="1:37" x14ac:dyDescent="0.25">
      <c r="A23" s="53" t="s">
        <v>16</v>
      </c>
      <c r="B23" s="53" t="s">
        <v>7</v>
      </c>
      <c r="C23" s="53" t="s">
        <v>88</v>
      </c>
      <c r="D23" s="54">
        <v>-27850000</v>
      </c>
      <c r="E23" s="54">
        <v>24142000</v>
      </c>
      <c r="F23" s="54">
        <v>-102437000</v>
      </c>
      <c r="G23" s="54">
        <v>119073000</v>
      </c>
      <c r="H23" s="54">
        <v>505667000</v>
      </c>
      <c r="I23" s="54">
        <v>771866000</v>
      </c>
      <c r="J23" s="54">
        <v>796659000</v>
      </c>
      <c r="K23" s="54">
        <v>96778400</v>
      </c>
      <c r="L23" s="54">
        <v>-1829460000</v>
      </c>
      <c r="M23" s="54">
        <v>-5122790000</v>
      </c>
      <c r="N23" s="54">
        <v>-10147500000</v>
      </c>
      <c r="O23" s="54">
        <v>-16919900000</v>
      </c>
      <c r="P23" s="54">
        <v>-25382100000</v>
      </c>
      <c r="Q23" s="54">
        <v>-35724200000</v>
      </c>
      <c r="R23" s="54">
        <v>-47911600000</v>
      </c>
      <c r="S23" s="54">
        <v>-61633000000</v>
      </c>
      <c r="T23" s="54">
        <v>-76820000000</v>
      </c>
      <c r="U23" s="54">
        <v>-92944700000</v>
      </c>
      <c r="V23" s="54">
        <v>-109390000000</v>
      </c>
      <c r="W23" s="54">
        <v>-126019000000</v>
      </c>
      <c r="X23" s="54">
        <v>-142683000000</v>
      </c>
      <c r="Y23" s="54">
        <v>-159552000000</v>
      </c>
      <c r="Z23" s="54">
        <v>-176760000000</v>
      </c>
      <c r="AA23" s="54">
        <v>-194280000000</v>
      </c>
      <c r="AB23" s="54">
        <v>-212244000000</v>
      </c>
      <c r="AC23" s="54">
        <v>-230665000000</v>
      </c>
      <c r="AD23" s="54">
        <v>-249619000000</v>
      </c>
      <c r="AE23" s="54">
        <v>-269092000000</v>
      </c>
      <c r="AF23" s="54">
        <v>-289252000000</v>
      </c>
      <c r="AG23" s="54">
        <v>-310160000000</v>
      </c>
      <c r="AH23" s="54">
        <v>-331839000000</v>
      </c>
      <c r="AI23" s="54">
        <v>-354291000000</v>
      </c>
      <c r="AJ23" s="54">
        <v>-377347000000</v>
      </c>
      <c r="AK23" s="1">
        <v>-400787000000</v>
      </c>
    </row>
    <row r="24" spans="1:37" x14ac:dyDescent="0.25">
      <c r="A24" s="53" t="s">
        <v>3</v>
      </c>
      <c r="B24" s="53" t="s">
        <v>6</v>
      </c>
      <c r="C24" s="53" t="s">
        <v>72</v>
      </c>
      <c r="D24" s="53">
        <v>751.74599999999998</v>
      </c>
      <c r="E24" s="53">
        <v>1504.41</v>
      </c>
      <c r="F24" s="53">
        <v>2239.52</v>
      </c>
      <c r="G24" s="53">
        <v>2951.61</v>
      </c>
      <c r="H24" s="53">
        <v>3640.19</v>
      </c>
      <c r="I24" s="53">
        <v>4308.93</v>
      </c>
      <c r="J24" s="53">
        <v>4959.87</v>
      </c>
      <c r="K24" s="53">
        <v>5591.73</v>
      </c>
      <c r="L24" s="53">
        <v>6202.51</v>
      </c>
      <c r="M24" s="53">
        <v>6793.9</v>
      </c>
      <c r="N24" s="53">
        <v>7365.46</v>
      </c>
      <c r="O24" s="53">
        <v>7915.69</v>
      </c>
      <c r="P24" s="53">
        <v>8447.36</v>
      </c>
      <c r="Q24" s="53">
        <v>8961.7199999999993</v>
      </c>
      <c r="R24" s="53">
        <v>9459.68</v>
      </c>
      <c r="S24" s="53">
        <v>9940.61</v>
      </c>
      <c r="T24" s="53">
        <v>10404.4</v>
      </c>
      <c r="U24" s="53">
        <v>10851.9</v>
      </c>
      <c r="V24" s="53">
        <v>11285.4</v>
      </c>
      <c r="W24" s="53">
        <v>11704.7</v>
      </c>
      <c r="X24" s="53">
        <v>12110.4</v>
      </c>
      <c r="Y24" s="53">
        <v>12500.7</v>
      </c>
      <c r="Z24" s="53">
        <v>12878.9</v>
      </c>
      <c r="AA24" s="53">
        <v>13244.5</v>
      </c>
      <c r="AB24" s="53">
        <v>13598.3</v>
      </c>
      <c r="AC24" s="53">
        <v>13940.2</v>
      </c>
      <c r="AD24" s="53">
        <v>14270.9</v>
      </c>
      <c r="AE24" s="53">
        <v>14589.8</v>
      </c>
      <c r="AF24" s="53">
        <v>14897.3</v>
      </c>
      <c r="AG24" s="53">
        <v>15194.4</v>
      </c>
      <c r="AH24" s="53">
        <v>15481.9</v>
      </c>
      <c r="AI24" s="53">
        <v>15761</v>
      </c>
      <c r="AJ24" s="53">
        <v>16032.2</v>
      </c>
      <c r="AK24">
        <v>16296.3</v>
      </c>
    </row>
    <row r="25" spans="1:37" x14ac:dyDescent="0.25">
      <c r="A25" s="53" t="s">
        <v>16</v>
      </c>
      <c r="B25" s="53" t="s">
        <v>6</v>
      </c>
      <c r="C25" s="53" t="s">
        <v>72</v>
      </c>
      <c r="D25" s="54">
        <v>-27850000</v>
      </c>
      <c r="E25" s="54">
        <v>24142000</v>
      </c>
      <c r="F25" s="54">
        <v>-141061000</v>
      </c>
      <c r="G25" s="54">
        <v>10478000</v>
      </c>
      <c r="H25" s="54">
        <v>293163000</v>
      </c>
      <c r="I25" s="54">
        <v>425181000</v>
      </c>
      <c r="J25" s="54">
        <v>284855000</v>
      </c>
      <c r="K25" s="54">
        <v>-612757000</v>
      </c>
      <c r="L25" s="54">
        <v>-2769560000</v>
      </c>
      <c r="M25" s="54">
        <v>-6324100000</v>
      </c>
      <c r="N25" s="54">
        <v>-11637800000</v>
      </c>
      <c r="O25" s="54">
        <v>-18731000000</v>
      </c>
      <c r="P25" s="54">
        <v>-27545200000</v>
      </c>
      <c r="Q25" s="54">
        <v>-38270800000</v>
      </c>
      <c r="R25" s="54">
        <v>-50845900000</v>
      </c>
      <c r="S25" s="54">
        <v>-64960900000</v>
      </c>
      <c r="T25" s="54">
        <v>-80544500000</v>
      </c>
      <c r="U25" s="54">
        <v>-97066300000</v>
      </c>
      <c r="V25" s="54">
        <v>-113904000000</v>
      </c>
      <c r="W25" s="54">
        <v>-130916000000</v>
      </c>
      <c r="X25" s="54">
        <v>-147952000000</v>
      </c>
      <c r="Y25" s="54">
        <v>-165180000000</v>
      </c>
      <c r="Z25" s="54">
        <v>-182705000000</v>
      </c>
      <c r="AA25" s="54">
        <v>-200493000000</v>
      </c>
      <c r="AB25" s="54">
        <v>-218650000000</v>
      </c>
      <c r="AC25" s="54">
        <v>-237197000000</v>
      </c>
      <c r="AD25" s="54">
        <v>-256213000000</v>
      </c>
      <c r="AE25" s="54">
        <v>-275684000000</v>
      </c>
      <c r="AF25" s="54">
        <v>-295782000000</v>
      </c>
      <c r="AG25" s="54">
        <v>-316570000000</v>
      </c>
      <c r="AH25" s="54">
        <v>-338053000000</v>
      </c>
      <c r="AI25" s="54">
        <v>-360221000000</v>
      </c>
      <c r="AJ25" s="54">
        <v>-382907000000</v>
      </c>
      <c r="AK25" s="1">
        <v>-405269000000</v>
      </c>
    </row>
    <row r="26" spans="1:37" x14ac:dyDescent="0.25">
      <c r="A26" s="53" t="s">
        <v>3</v>
      </c>
      <c r="B26" s="53" t="s">
        <v>89</v>
      </c>
      <c r="C26" s="53" t="s">
        <v>90</v>
      </c>
      <c r="D26" s="53">
        <v>751.74599999999998</v>
      </c>
      <c r="E26" s="53">
        <v>1504.41</v>
      </c>
      <c r="F26" s="53">
        <v>2239.4299999999998</v>
      </c>
      <c r="G26" s="53">
        <v>2951.29</v>
      </c>
      <c r="H26" s="53">
        <v>3639.46</v>
      </c>
      <c r="I26" s="53">
        <v>4307.5200000000004</v>
      </c>
      <c r="J26" s="53">
        <v>4957.4799999999996</v>
      </c>
      <c r="K26" s="53">
        <v>5588.01</v>
      </c>
      <c r="L26" s="53">
        <v>6197.1</v>
      </c>
      <c r="M26" s="53">
        <v>6786.45</v>
      </c>
      <c r="N26" s="53">
        <v>7355.37</v>
      </c>
      <c r="O26" s="53">
        <v>7902.72</v>
      </c>
      <c r="P26" s="53">
        <v>8431.2999999999993</v>
      </c>
      <c r="Q26" s="53">
        <v>8942.5</v>
      </c>
      <c r="R26" s="53">
        <v>9436.8700000000008</v>
      </c>
      <c r="S26" s="53">
        <v>9913.82</v>
      </c>
      <c r="T26" s="53">
        <v>10373.6</v>
      </c>
      <c r="U26" s="53">
        <v>10817.2</v>
      </c>
      <c r="V26" s="53">
        <v>11246.7</v>
      </c>
      <c r="W26" s="53">
        <v>11662.2</v>
      </c>
      <c r="X26" s="53">
        <v>12064</v>
      </c>
      <c r="Y26" s="53">
        <v>12451.3</v>
      </c>
      <c r="Z26" s="53">
        <v>12826.6</v>
      </c>
      <c r="AA26" s="53">
        <v>13189.2</v>
      </c>
      <c r="AB26" s="53">
        <v>13539.9</v>
      </c>
      <c r="AC26" s="53">
        <v>13878.6</v>
      </c>
      <c r="AD26" s="53">
        <v>14205.8</v>
      </c>
      <c r="AE26" s="53">
        <v>14521.2</v>
      </c>
      <c r="AF26" s="53">
        <v>14825</v>
      </c>
      <c r="AG26" s="53">
        <v>15118.2</v>
      </c>
      <c r="AH26" s="53">
        <v>15401.7</v>
      </c>
      <c r="AI26" s="53">
        <v>15676.5</v>
      </c>
      <c r="AJ26" s="53">
        <v>15943.4</v>
      </c>
      <c r="AK26">
        <v>16202.9</v>
      </c>
    </row>
    <row r="27" spans="1:37" x14ac:dyDescent="0.25">
      <c r="A27" s="53" t="s">
        <v>16</v>
      </c>
      <c r="B27" s="53" t="s">
        <v>89</v>
      </c>
      <c r="C27" s="53" t="s">
        <v>90</v>
      </c>
      <c r="D27" s="54">
        <v>-27850000</v>
      </c>
      <c r="E27" s="54">
        <v>24142000</v>
      </c>
      <c r="F27" s="54">
        <v>-141296000</v>
      </c>
      <c r="G27" s="54">
        <v>11057900</v>
      </c>
      <c r="H27" s="54">
        <v>295028000</v>
      </c>
      <c r="I27" s="54">
        <v>426022000</v>
      </c>
      <c r="J27" s="54">
        <v>283441000</v>
      </c>
      <c r="K27" s="54">
        <v>-614602000</v>
      </c>
      <c r="L27" s="54">
        <v>-2768780000</v>
      </c>
      <c r="M27" s="54">
        <v>-6318690000</v>
      </c>
      <c r="N27" s="54">
        <v>-11627400000</v>
      </c>
      <c r="O27" s="54">
        <v>-18708000000</v>
      </c>
      <c r="P27" s="54">
        <v>-27501600000</v>
      </c>
      <c r="Q27" s="54">
        <v>-38198400000</v>
      </c>
      <c r="R27" s="54">
        <v>-50738300000</v>
      </c>
      <c r="S27" s="54">
        <v>-64811900000</v>
      </c>
      <c r="T27" s="54">
        <v>-80346000000</v>
      </c>
      <c r="U27" s="54">
        <v>-96811000000</v>
      </c>
      <c r="V27" s="54">
        <v>-113586000000</v>
      </c>
      <c r="W27" s="54">
        <v>-130533000000</v>
      </c>
      <c r="X27" s="54">
        <v>-147501000000</v>
      </c>
      <c r="Y27" s="54">
        <v>-164659000000</v>
      </c>
      <c r="Z27" s="54">
        <v>-182120000000</v>
      </c>
      <c r="AA27" s="54">
        <v>-199844000000</v>
      </c>
      <c r="AB27" s="54">
        <v>-217937000000</v>
      </c>
      <c r="AC27" s="54">
        <v>-236416000000</v>
      </c>
      <c r="AD27" s="54">
        <v>-255358000000</v>
      </c>
      <c r="AE27" s="54">
        <v>-274751000000</v>
      </c>
      <c r="AF27" s="54">
        <v>-294766000000</v>
      </c>
      <c r="AG27" s="54">
        <v>-315463000000</v>
      </c>
      <c r="AH27" s="54">
        <v>-336847000000</v>
      </c>
      <c r="AI27" s="54">
        <v>-358909000000</v>
      </c>
      <c r="AJ27" s="54">
        <v>-381484000000</v>
      </c>
      <c r="AK27" s="1">
        <v>-403727000000</v>
      </c>
    </row>
    <row r="28" spans="1:37" x14ac:dyDescent="0.25">
      <c r="A28" s="53" t="s">
        <v>3</v>
      </c>
      <c r="B28" s="53" t="s">
        <v>18</v>
      </c>
      <c r="C28" s="53" t="s">
        <v>73</v>
      </c>
      <c r="D28" s="53">
        <v>751.74599999999998</v>
      </c>
      <c r="E28" s="53">
        <v>1504.41</v>
      </c>
      <c r="F28" s="53">
        <v>2256.89</v>
      </c>
      <c r="G28" s="53">
        <v>3003.91</v>
      </c>
      <c r="H28" s="53">
        <v>3744.49</v>
      </c>
      <c r="I28" s="53">
        <v>4481.71</v>
      </c>
      <c r="J28" s="53">
        <v>5215.26</v>
      </c>
      <c r="K28" s="53">
        <v>5943.52</v>
      </c>
      <c r="L28" s="53">
        <v>6663.81</v>
      </c>
      <c r="M28" s="53">
        <v>7373.75</v>
      </c>
      <c r="N28" s="53">
        <v>8071.26</v>
      </c>
      <c r="O28" s="53">
        <v>8752.94</v>
      </c>
      <c r="P28" s="53">
        <v>9419.2099999999991</v>
      </c>
      <c r="Q28" s="53">
        <v>10078.200000000001</v>
      </c>
      <c r="R28" s="53">
        <v>10729.3</v>
      </c>
      <c r="S28" s="53">
        <v>11371.6</v>
      </c>
      <c r="T28" s="53">
        <v>12005.2</v>
      </c>
      <c r="U28" s="53">
        <v>12629.9</v>
      </c>
      <c r="V28" s="53">
        <v>13245.4</v>
      </c>
      <c r="W28" s="53">
        <v>13850.8</v>
      </c>
      <c r="X28" s="53">
        <v>14445.9</v>
      </c>
      <c r="Y28" s="53">
        <v>15029.7</v>
      </c>
      <c r="Z28" s="53">
        <v>15604.4</v>
      </c>
      <c r="AA28" s="53">
        <v>16169.1</v>
      </c>
      <c r="AB28" s="53">
        <v>16724.3</v>
      </c>
      <c r="AC28" s="53">
        <v>17270.400000000001</v>
      </c>
      <c r="AD28" s="53">
        <v>17807.900000000001</v>
      </c>
      <c r="AE28" s="53">
        <v>18336.7</v>
      </c>
      <c r="AF28" s="53">
        <v>18856.900000000001</v>
      </c>
      <c r="AG28" s="53">
        <v>19368</v>
      </c>
      <c r="AH28" s="53">
        <v>19869.8</v>
      </c>
      <c r="AI28" s="53">
        <v>20361.7</v>
      </c>
      <c r="AJ28" s="53">
        <v>20843.7</v>
      </c>
      <c r="AK28">
        <v>21315.3</v>
      </c>
    </row>
    <row r="29" spans="1:37" x14ac:dyDescent="0.25">
      <c r="A29" s="53" t="s">
        <v>16</v>
      </c>
      <c r="B29" s="53" t="s">
        <v>18</v>
      </c>
      <c r="C29" s="53" t="s">
        <v>73</v>
      </c>
      <c r="D29" s="54">
        <v>-27850000</v>
      </c>
      <c r="E29" s="54">
        <v>24142000</v>
      </c>
      <c r="F29" s="54">
        <v>683290000</v>
      </c>
      <c r="G29" s="54">
        <v>2500880000</v>
      </c>
      <c r="H29" s="54">
        <v>5663010000</v>
      </c>
      <c r="I29" s="54">
        <v>9910010000</v>
      </c>
      <c r="J29" s="54">
        <v>14905000000</v>
      </c>
      <c r="K29" s="54">
        <v>20317100000</v>
      </c>
      <c r="L29" s="54">
        <v>25902600000</v>
      </c>
      <c r="M29" s="54">
        <v>31543800000</v>
      </c>
      <c r="N29" s="54">
        <v>36797700000</v>
      </c>
      <c r="O29" s="54">
        <v>41671900000</v>
      </c>
      <c r="P29" s="54">
        <v>45984800000</v>
      </c>
      <c r="Q29" s="54">
        <v>49708900000</v>
      </c>
      <c r="R29" s="54">
        <v>52823500000</v>
      </c>
      <c r="S29" s="54">
        <v>55251900000</v>
      </c>
      <c r="T29" s="54">
        <v>57058500000</v>
      </c>
      <c r="U29" s="54">
        <v>58396100000</v>
      </c>
      <c r="V29" s="54">
        <v>59329600000</v>
      </c>
      <c r="W29" s="54">
        <v>59781500000</v>
      </c>
      <c r="X29" s="54">
        <v>59834700000</v>
      </c>
      <c r="Y29" s="54">
        <v>59482900000</v>
      </c>
      <c r="Z29" s="54">
        <v>58760300000</v>
      </c>
      <c r="AA29" s="54">
        <v>57617100000</v>
      </c>
      <c r="AB29" s="54">
        <v>55976400000</v>
      </c>
      <c r="AC29" s="54">
        <v>53828100000</v>
      </c>
      <c r="AD29" s="54">
        <v>51105900000</v>
      </c>
      <c r="AE29" s="54">
        <v>47827100000</v>
      </c>
      <c r="AF29" s="54">
        <v>43940800000</v>
      </c>
      <c r="AG29" s="54">
        <v>39402500000</v>
      </c>
      <c r="AH29" s="54">
        <v>34342800000</v>
      </c>
      <c r="AI29" s="54">
        <v>28870000000</v>
      </c>
      <c r="AJ29" s="54">
        <v>23075300000</v>
      </c>
      <c r="AK29" s="1">
        <v>19217700000</v>
      </c>
    </row>
    <row r="30" spans="1:37" x14ac:dyDescent="0.25">
      <c r="A30" s="53" t="s">
        <v>3</v>
      </c>
      <c r="B30" s="53" t="s">
        <v>91</v>
      </c>
      <c r="C30" s="53" t="s">
        <v>92</v>
      </c>
      <c r="D30" s="53">
        <v>751.74599999999998</v>
      </c>
      <c r="E30" s="53">
        <v>1504.41</v>
      </c>
      <c r="F30" s="53">
        <v>2239.2800000000002</v>
      </c>
      <c r="G30" s="53">
        <v>2950.86</v>
      </c>
      <c r="H30" s="53">
        <v>3638.66</v>
      </c>
      <c r="I30" s="53">
        <v>4306.28</v>
      </c>
      <c r="J30" s="53">
        <v>4955.7700000000004</v>
      </c>
      <c r="K30" s="53">
        <v>5585.83</v>
      </c>
      <c r="L30" s="53">
        <v>6194.45</v>
      </c>
      <c r="M30" s="53">
        <v>6783.36</v>
      </c>
      <c r="N30" s="53">
        <v>7351.88</v>
      </c>
      <c r="O30" s="53">
        <v>7898.84</v>
      </c>
      <c r="P30" s="53">
        <v>8427.1</v>
      </c>
      <c r="Q30" s="53">
        <v>8938.02</v>
      </c>
      <c r="R30" s="53">
        <v>9432.09</v>
      </c>
      <c r="S30" s="53">
        <v>9908.7099999999991</v>
      </c>
      <c r="T30" s="53">
        <v>10368.1</v>
      </c>
      <c r="U30" s="53">
        <v>10811.3</v>
      </c>
      <c r="V30" s="53">
        <v>11240.5</v>
      </c>
      <c r="W30" s="53">
        <v>11655.6</v>
      </c>
      <c r="X30" s="53">
        <v>12057</v>
      </c>
      <c r="Y30" s="53">
        <v>12444</v>
      </c>
      <c r="Z30" s="53">
        <v>12819</v>
      </c>
      <c r="AA30" s="53">
        <v>13181.2</v>
      </c>
      <c r="AB30" s="53">
        <v>13531.6</v>
      </c>
      <c r="AC30" s="53">
        <v>13870</v>
      </c>
      <c r="AD30" s="53">
        <v>14197</v>
      </c>
      <c r="AE30" s="53">
        <v>14512.1</v>
      </c>
      <c r="AF30" s="53">
        <v>14815.6</v>
      </c>
      <c r="AG30" s="53">
        <v>15108.4</v>
      </c>
      <c r="AH30" s="53">
        <v>15391.5</v>
      </c>
      <c r="AI30" s="53">
        <v>15666</v>
      </c>
      <c r="AJ30" s="53">
        <v>15932.5</v>
      </c>
      <c r="AK30">
        <v>16191.7</v>
      </c>
    </row>
    <row r="31" spans="1:37" x14ac:dyDescent="0.25">
      <c r="A31" s="53" t="s">
        <v>16</v>
      </c>
      <c r="B31" s="53" t="s">
        <v>91</v>
      </c>
      <c r="C31" s="53" t="s">
        <v>92</v>
      </c>
      <c r="D31" s="54">
        <v>-27850000</v>
      </c>
      <c r="E31" s="54">
        <v>24142000</v>
      </c>
      <c r="F31" s="54">
        <v>-242468000</v>
      </c>
      <c r="G31" s="54">
        <v>-287762000</v>
      </c>
      <c r="H31" s="54">
        <v>-285647000</v>
      </c>
      <c r="I31" s="54">
        <v>-508892000</v>
      </c>
      <c r="J31" s="54">
        <v>-1067310000</v>
      </c>
      <c r="K31" s="54">
        <v>-2432980000</v>
      </c>
      <c r="L31" s="54">
        <v>-5093930000</v>
      </c>
      <c r="M31" s="54">
        <v>-9180090000</v>
      </c>
      <c r="N31" s="54">
        <v>-15044400000</v>
      </c>
      <c r="O31" s="54">
        <v>-22696900000</v>
      </c>
      <c r="P31" s="54">
        <v>-32070600000</v>
      </c>
      <c r="Q31" s="54">
        <v>-43349300000</v>
      </c>
      <c r="R31" s="54">
        <v>-56477000000</v>
      </c>
      <c r="S31" s="54">
        <v>-71135500000</v>
      </c>
      <c r="T31" s="54">
        <v>-87249200000</v>
      </c>
      <c r="U31" s="54">
        <v>-104303000000</v>
      </c>
      <c r="V31" s="54">
        <v>-121664000000</v>
      </c>
      <c r="W31" s="54">
        <v>-139188000000</v>
      </c>
      <c r="X31" s="54">
        <v>-156721000000</v>
      </c>
      <c r="Y31" s="54">
        <v>-174431000000</v>
      </c>
      <c r="Z31" s="54">
        <v>-192430000000</v>
      </c>
      <c r="AA31" s="54">
        <v>-210675000000</v>
      </c>
      <c r="AB31" s="54">
        <v>-229274000000</v>
      </c>
      <c r="AC31" s="54">
        <v>-248219000000</v>
      </c>
      <c r="AD31" s="54">
        <v>-267610000000</v>
      </c>
      <c r="AE31" s="54">
        <v>-287432000000</v>
      </c>
      <c r="AF31" s="54">
        <v>-307853000000</v>
      </c>
      <c r="AG31" s="54">
        <v>-328939000000</v>
      </c>
      <c r="AH31" s="54">
        <v>-350693000000</v>
      </c>
      <c r="AI31" s="54">
        <v>-373132000000</v>
      </c>
      <c r="AJ31" s="54">
        <v>-396080000000</v>
      </c>
      <c r="AK31" s="1">
        <v>-418685000000</v>
      </c>
    </row>
    <row r="32" spans="1:37" x14ac:dyDescent="0.25">
      <c r="A32" s="53" t="s">
        <v>3</v>
      </c>
      <c r="B32" s="53" t="s">
        <v>13</v>
      </c>
      <c r="C32" s="53" t="s">
        <v>14</v>
      </c>
      <c r="D32" s="53">
        <v>752.46500000000003</v>
      </c>
      <c r="E32" s="53">
        <v>1505.3</v>
      </c>
      <c r="F32" s="53">
        <v>2265.2199999999998</v>
      </c>
      <c r="G32" s="53">
        <v>3026.74</v>
      </c>
      <c r="H32" s="53">
        <v>3788.84</v>
      </c>
      <c r="I32" s="53">
        <v>4553.96</v>
      </c>
      <c r="J32" s="53">
        <v>5322.89</v>
      </c>
      <c r="K32" s="53">
        <v>6095.5</v>
      </c>
      <c r="L32" s="53">
        <v>6869.83</v>
      </c>
      <c r="M32" s="53">
        <v>7645.56</v>
      </c>
      <c r="N32" s="53">
        <v>8420.3799999999992</v>
      </c>
      <c r="O32" s="53">
        <v>9190.09</v>
      </c>
      <c r="P32" s="53">
        <v>9954.15</v>
      </c>
      <c r="Q32" s="53">
        <v>10717.4</v>
      </c>
      <c r="R32" s="53">
        <v>11481.8</v>
      </c>
      <c r="S32" s="53">
        <v>12245.7</v>
      </c>
      <c r="T32" s="53">
        <v>13009.5</v>
      </c>
      <c r="U32" s="53">
        <v>13771.4</v>
      </c>
      <c r="V32" s="53">
        <v>14530.7</v>
      </c>
      <c r="W32" s="53">
        <v>15287.8</v>
      </c>
      <c r="X32" s="53">
        <v>16041.5</v>
      </c>
      <c r="Y32" s="53">
        <v>16790.8</v>
      </c>
      <c r="Z32" s="53">
        <v>17539.3</v>
      </c>
      <c r="AA32" s="53">
        <v>18285.8</v>
      </c>
      <c r="AB32" s="53">
        <v>19031.5</v>
      </c>
      <c r="AC32" s="53">
        <v>19776.599999999999</v>
      </c>
      <c r="AD32" s="53">
        <v>20522</v>
      </c>
      <c r="AE32" s="53">
        <v>21267.3</v>
      </c>
      <c r="AF32" s="53">
        <v>22012.9</v>
      </c>
      <c r="AG32" s="53">
        <v>22759.1</v>
      </c>
      <c r="AH32" s="53">
        <v>23506</v>
      </c>
      <c r="AI32" s="53">
        <v>24254.1</v>
      </c>
      <c r="AJ32" s="53">
        <v>25003.8</v>
      </c>
      <c r="AK32">
        <v>25755.4</v>
      </c>
    </row>
    <row r="33" spans="1:37" x14ac:dyDescent="0.25">
      <c r="A33" s="53" t="s">
        <v>16</v>
      </c>
      <c r="B33" s="53" t="s">
        <v>13</v>
      </c>
      <c r="C33" s="53" t="s">
        <v>14</v>
      </c>
      <c r="D33" s="54">
        <v>0</v>
      </c>
      <c r="E33" s="54">
        <v>0</v>
      </c>
      <c r="F33" s="54">
        <v>0</v>
      </c>
      <c r="G33" s="54">
        <v>0</v>
      </c>
      <c r="H33" s="54">
        <v>0</v>
      </c>
      <c r="I33" s="54">
        <v>0</v>
      </c>
      <c r="J33" s="54">
        <v>0</v>
      </c>
      <c r="K33" s="54">
        <v>0</v>
      </c>
      <c r="L33" s="54">
        <v>0</v>
      </c>
      <c r="M33" s="54">
        <v>0</v>
      </c>
      <c r="N33" s="54">
        <v>0</v>
      </c>
      <c r="O33" s="54">
        <v>0</v>
      </c>
      <c r="P33" s="54">
        <v>0</v>
      </c>
      <c r="Q33" s="54">
        <v>0</v>
      </c>
      <c r="R33" s="54">
        <v>0</v>
      </c>
      <c r="S33" s="54">
        <v>0</v>
      </c>
      <c r="T33" s="54">
        <v>0</v>
      </c>
      <c r="U33" s="54">
        <v>0</v>
      </c>
      <c r="V33" s="54">
        <v>0</v>
      </c>
      <c r="W33" s="54">
        <v>0</v>
      </c>
      <c r="X33" s="54">
        <v>0</v>
      </c>
      <c r="Y33" s="54">
        <v>0</v>
      </c>
      <c r="Z33" s="54">
        <v>0</v>
      </c>
      <c r="AA33" s="54">
        <v>0</v>
      </c>
      <c r="AB33" s="54">
        <v>0</v>
      </c>
      <c r="AC33" s="54">
        <v>0</v>
      </c>
      <c r="AD33" s="54">
        <v>0</v>
      </c>
      <c r="AE33" s="54">
        <v>0</v>
      </c>
      <c r="AF33" s="54">
        <v>0</v>
      </c>
      <c r="AG33" s="54">
        <v>0</v>
      </c>
      <c r="AH33" s="54">
        <v>0</v>
      </c>
      <c r="AI33" s="54">
        <v>0</v>
      </c>
      <c r="AJ33" s="54">
        <v>0</v>
      </c>
      <c r="AK33" s="1">
        <v>0</v>
      </c>
    </row>
    <row r="34" spans="1:37" x14ac:dyDescent="0.25">
      <c r="A34" s="53"/>
      <c r="B34" s="53"/>
      <c r="C34" s="53"/>
      <c r="D34" s="53"/>
      <c r="E34" s="53"/>
      <c r="F34" s="53"/>
      <c r="G34" s="53"/>
      <c r="H34" s="53"/>
      <c r="I34" s="53"/>
      <c r="J34" s="53"/>
      <c r="K34" s="53"/>
      <c r="L34" s="53"/>
      <c r="M34" s="53"/>
      <c r="N34" s="53"/>
      <c r="O34" s="53"/>
      <c r="P34" s="53"/>
      <c r="Q34" s="53"/>
      <c r="R34" s="53"/>
      <c r="S34" s="53"/>
      <c r="T34" s="53"/>
      <c r="U34" s="53"/>
      <c r="V34" s="53"/>
      <c r="W34" s="53"/>
      <c r="X34" s="53"/>
      <c r="Y34" s="53"/>
      <c r="Z34" s="53"/>
      <c r="AA34" s="53"/>
      <c r="AB34" s="53"/>
      <c r="AC34" s="53"/>
      <c r="AD34" s="53"/>
      <c r="AE34" s="53"/>
      <c r="AF34" s="53"/>
      <c r="AG34" s="53"/>
      <c r="AH34" s="53"/>
      <c r="AI34" s="53"/>
      <c r="AJ34" s="53"/>
    </row>
    <row r="35" spans="1:37" x14ac:dyDescent="0.25">
      <c r="A35" s="53"/>
      <c r="B35" s="53"/>
      <c r="C35" s="53"/>
      <c r="D35" s="54"/>
      <c r="E35" s="54"/>
      <c r="F35" s="54"/>
      <c r="G35" s="54"/>
      <c r="H35" s="54"/>
      <c r="I35" s="54"/>
      <c r="J35" s="54"/>
      <c r="K35" s="54"/>
      <c r="L35" s="54"/>
      <c r="M35" s="54"/>
      <c r="N35" s="54"/>
      <c r="O35" s="54"/>
      <c r="P35" s="54"/>
      <c r="Q35" s="54"/>
      <c r="R35" s="54"/>
      <c r="S35" s="54"/>
      <c r="T35" s="54"/>
      <c r="U35" s="54"/>
      <c r="V35" s="54"/>
      <c r="W35" s="54"/>
      <c r="X35" s="54"/>
      <c r="Y35" s="54"/>
      <c r="Z35" s="54"/>
      <c r="AA35" s="54"/>
      <c r="AB35" s="54"/>
      <c r="AC35" s="54"/>
      <c r="AD35" s="54"/>
      <c r="AE35" s="54"/>
      <c r="AF35" s="54"/>
      <c r="AG35" s="54"/>
      <c r="AH35" s="54"/>
      <c r="AI35" s="54"/>
      <c r="AJ35" s="54"/>
      <c r="AK35" s="1"/>
    </row>
    <row r="36" spans="1:37" x14ac:dyDescent="0.25">
      <c r="A36" s="53"/>
      <c r="B36" s="53"/>
      <c r="C36" s="53"/>
      <c r="D36" s="53"/>
      <c r="E36" s="53"/>
      <c r="F36" s="53"/>
      <c r="G36" s="53"/>
      <c r="H36" s="53"/>
      <c r="I36" s="53"/>
      <c r="J36" s="53"/>
      <c r="K36" s="53"/>
      <c r="L36" s="53"/>
      <c r="M36" s="53"/>
      <c r="N36" s="53"/>
      <c r="O36" s="53"/>
      <c r="P36" s="53"/>
      <c r="Q36" s="53"/>
      <c r="R36" s="53"/>
      <c r="S36" s="53"/>
      <c r="T36" s="53"/>
      <c r="U36" s="53"/>
      <c r="V36" s="53"/>
      <c r="W36" s="53"/>
      <c r="X36" s="53"/>
      <c r="Y36" s="53"/>
      <c r="Z36" s="53"/>
      <c r="AA36" s="53"/>
      <c r="AB36" s="53"/>
      <c r="AC36" s="53"/>
      <c r="AD36" s="53"/>
      <c r="AE36" s="53"/>
      <c r="AF36" s="53"/>
      <c r="AG36" s="53"/>
      <c r="AH36" s="53"/>
      <c r="AI36" s="53"/>
      <c r="AJ36" s="53"/>
    </row>
    <row r="37" spans="1:37" x14ac:dyDescent="0.25">
      <c r="A37" s="53"/>
      <c r="B37" s="53"/>
      <c r="C37" s="53"/>
      <c r="D37" s="53"/>
      <c r="E37" s="53"/>
      <c r="F37" s="53"/>
      <c r="G37" s="53"/>
      <c r="H37" s="53"/>
      <c r="I37" s="53"/>
      <c r="J37" s="53"/>
      <c r="K37" s="53"/>
      <c r="L37" s="53"/>
      <c r="M37" s="53"/>
      <c r="N37" s="53"/>
      <c r="O37" s="53"/>
      <c r="P37" s="53"/>
      <c r="Q37" s="53"/>
      <c r="R37" s="53"/>
      <c r="S37" s="53"/>
      <c r="T37" s="53"/>
      <c r="U37" s="53"/>
      <c r="V37" s="53"/>
      <c r="W37" s="53"/>
      <c r="X37" s="53"/>
      <c r="Y37" s="53"/>
      <c r="Z37" s="53"/>
      <c r="AA37" s="53"/>
      <c r="AB37" s="53"/>
      <c r="AC37" s="53"/>
      <c r="AD37" s="53"/>
      <c r="AE37" s="53"/>
      <c r="AF37" s="53"/>
      <c r="AG37" s="53"/>
      <c r="AH37" s="53"/>
      <c r="AI37" s="53"/>
      <c r="AJ37" s="53"/>
      <c r="AK37" s="1"/>
    </row>
    <row r="39" spans="1:37" x14ac:dyDescent="0.25">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row>
    <row r="41" spans="1:37" x14ac:dyDescent="0.25">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row>
    <row r="43" spans="1:37" x14ac:dyDescent="0.25">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row>
    <row r="45" spans="1:37" x14ac:dyDescent="0.25">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row>
    <row r="47" spans="1:37" x14ac:dyDescent="0.25">
      <c r="D47" s="1"/>
      <c r="E47" s="1"/>
      <c r="F47" s="1"/>
      <c r="G47" s="1"/>
      <c r="H47" s="1"/>
      <c r="I47" s="1"/>
      <c r="J47" s="1"/>
      <c r="K47" s="1"/>
      <c r="L47" s="1"/>
      <c r="M47" s="1"/>
      <c r="N47" s="1"/>
      <c r="O47" s="1"/>
      <c r="P47" s="1"/>
      <c r="Q47" s="1"/>
      <c r="R47" s="1"/>
      <c r="S47" s="1"/>
      <c r="T47" s="1"/>
      <c r="U47" s="1"/>
      <c r="V47" s="1"/>
      <c r="W47" s="1"/>
      <c r="X47" s="1"/>
      <c r="Y47" s="1"/>
      <c r="Z47" s="1"/>
      <c r="AA47" s="1"/>
      <c r="AB47" s="1"/>
      <c r="AC47" s="1"/>
      <c r="AD47" s="1"/>
      <c r="AE47" s="1"/>
      <c r="AF47" s="1"/>
      <c r="AG47" s="1"/>
      <c r="AH47" s="1"/>
      <c r="AI47" s="1"/>
      <c r="AJ47" s="1"/>
      <c r="AK47" s="1"/>
    </row>
    <row r="49" spans="4:37" x14ac:dyDescent="0.25">
      <c r="D49" s="1"/>
      <c r="E49" s="1"/>
      <c r="F49" s="1"/>
      <c r="G49" s="1"/>
      <c r="H49" s="1"/>
      <c r="I49" s="1"/>
      <c r="J49" s="1"/>
      <c r="K49" s="1"/>
      <c r="L49" s="1"/>
      <c r="M49" s="1"/>
      <c r="N49" s="1"/>
      <c r="O49" s="1"/>
      <c r="P49" s="1"/>
      <c r="Q49" s="1"/>
      <c r="R49" s="1"/>
      <c r="S49" s="1"/>
      <c r="T49" s="1"/>
      <c r="U49" s="1"/>
      <c r="V49" s="1"/>
      <c r="W49" s="1"/>
      <c r="X49" s="1"/>
      <c r="Y49" s="1"/>
      <c r="Z49" s="1"/>
      <c r="AA49" s="1"/>
      <c r="AB49" s="1"/>
      <c r="AC49" s="1"/>
      <c r="AD49" s="1"/>
      <c r="AE49" s="1"/>
      <c r="AF49" s="1"/>
      <c r="AG49" s="1"/>
      <c r="AH49" s="1"/>
      <c r="AI49" s="1"/>
      <c r="AJ49" s="1"/>
      <c r="AK49"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About</vt:lpstr>
      <vt:lpstr>Calculations</vt:lpstr>
      <vt:lpstr>Cost Curve</vt:lpstr>
      <vt:lpstr>1.4.3-ca-PCFExt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jeff-nonadmin</dc:creator>
  <cp:lastModifiedBy>Jeffrey Rissman</cp:lastModifiedBy>
  <dcterms:created xsi:type="dcterms:W3CDTF">2017-03-20T18:51:30Z</dcterms:created>
  <dcterms:modified xsi:type="dcterms:W3CDTF">2019-06-05T01:36:37Z</dcterms:modified>
</cp:coreProperties>
</file>