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Robbie\Dropbox (Energy InNovation)\My Documents\Policy Solutions Project\Canada\Models\"/>
    </mc:Choice>
  </mc:AlternateContent>
  <bookViews>
    <workbookView xWindow="200" yWindow="460" windowWidth="25400" windowHeight="14060"/>
  </bookViews>
  <sheets>
    <sheet name="About" sheetId="1" r:id="rId1"/>
    <sheet name="NEB data" sheetId="10" r:id="rId2"/>
    <sheet name="USA ETP data" sheetId="12" r:id="rId3"/>
    <sheet name="Calculations" sheetId="11" r:id="rId4"/>
    <sheet name="CSA-BTCS" sheetId="5" r:id="rId5"/>
    <sheet name="CSA-ACP" sheetId="6" r:id="rId6"/>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2" i="6" l="1"/>
  <c r="F2" i="6" s="1"/>
  <c r="G2" i="6" s="1"/>
  <c r="H2" i="6" s="1"/>
  <c r="I2" i="6" s="1"/>
  <c r="J2" i="6" s="1"/>
  <c r="K2" i="6" s="1"/>
  <c r="L2" i="6" s="1"/>
  <c r="M2" i="6" s="1"/>
  <c r="N2" i="6" s="1"/>
  <c r="O2" i="6" s="1"/>
  <c r="P2" i="6" s="1"/>
  <c r="Q2" i="6" s="1"/>
  <c r="R2" i="6" s="1"/>
  <c r="S2" i="6" s="1"/>
  <c r="T2" i="6" s="1"/>
  <c r="U2" i="6" s="1"/>
  <c r="V2" i="6" s="1"/>
  <c r="W2" i="6" s="1"/>
  <c r="X2" i="6" s="1"/>
  <c r="Y2" i="6" s="1"/>
  <c r="Z2" i="6" s="1"/>
  <c r="AA2" i="6" s="1"/>
  <c r="AB2" i="6" s="1"/>
  <c r="AC2" i="6" s="1"/>
  <c r="AD2" i="6" s="1"/>
  <c r="AE2" i="6" s="1"/>
  <c r="AF2" i="6" s="1"/>
  <c r="AG2" i="6" s="1"/>
  <c r="AH2" i="6" s="1"/>
  <c r="AI2" i="6" s="1"/>
  <c r="AJ2" i="6" s="1"/>
  <c r="D2" i="6"/>
  <c r="AK2" i="6" l="1"/>
  <c r="C4" i="11"/>
  <c r="C2" i="5" s="1"/>
  <c r="E3" i="11"/>
  <c r="E4" i="11"/>
  <c r="E5" i="11"/>
  <c r="E2" i="5"/>
  <c r="F3" i="11"/>
  <c r="F4" i="11"/>
  <c r="F5" i="11"/>
  <c r="F6" i="11"/>
  <c r="F2" i="5" s="1"/>
  <c r="G3" i="11"/>
  <c r="G4" i="11"/>
  <c r="G5" i="11"/>
  <c r="H5" i="11" s="1"/>
  <c r="I5" i="11" s="1"/>
  <c r="J5" i="11" s="1"/>
  <c r="G6" i="11"/>
  <c r="H3" i="11"/>
  <c r="H4" i="11"/>
  <c r="H6" i="11"/>
  <c r="I3" i="11"/>
  <c r="I4" i="11"/>
  <c r="I6" i="11"/>
  <c r="J3" i="11"/>
  <c r="J4" i="11"/>
  <c r="J6" i="11"/>
  <c r="K3" i="11"/>
  <c r="K4" i="11"/>
  <c r="K6" i="11"/>
  <c r="L3" i="11"/>
  <c r="L4" i="11"/>
  <c r="L6" i="11"/>
  <c r="M3" i="11"/>
  <c r="M4" i="11"/>
  <c r="M6" i="11"/>
  <c r="N3" i="11"/>
  <c r="N4" i="11"/>
  <c r="N6" i="11"/>
  <c r="O3" i="11"/>
  <c r="O4" i="11"/>
  <c r="O6" i="11"/>
  <c r="P3" i="11"/>
  <c r="P4" i="11"/>
  <c r="P6" i="11"/>
  <c r="Q3" i="11"/>
  <c r="Q4" i="11"/>
  <c r="Q6" i="11"/>
  <c r="R3" i="11"/>
  <c r="R6" i="11"/>
  <c r="S3" i="11"/>
  <c r="S6" i="11"/>
  <c r="T3" i="11"/>
  <c r="U3" i="11"/>
  <c r="V3" i="11"/>
  <c r="W3" i="11"/>
  <c r="X3" i="11"/>
  <c r="Y3" i="11"/>
  <c r="Z3" i="11"/>
  <c r="Z2" i="5"/>
  <c r="AA3" i="11"/>
  <c r="AA2" i="5"/>
  <c r="AB3" i="11"/>
  <c r="AB2" i="5"/>
  <c r="AC3" i="11"/>
  <c r="AC2" i="5"/>
  <c r="AD3" i="11"/>
  <c r="AD2" i="5"/>
  <c r="AE3" i="11"/>
  <c r="AE2" i="5"/>
  <c r="AF3" i="11"/>
  <c r="AF2" i="5"/>
  <c r="AG3" i="11"/>
  <c r="AG2" i="5"/>
  <c r="AH3" i="11"/>
  <c r="AH2" i="5"/>
  <c r="AI3" i="11"/>
  <c r="AI2" i="5"/>
  <c r="AJ3" i="11"/>
  <c r="AJ2" i="5"/>
  <c r="AK3" i="11"/>
  <c r="AK2" i="5"/>
  <c r="B2" i="5"/>
  <c r="A5" i="11"/>
  <c r="D5" i="10"/>
  <c r="L4" i="12"/>
  <c r="K4" i="12"/>
  <c r="J4" i="12"/>
  <c r="I4" i="12"/>
  <c r="H4" i="12"/>
  <c r="G4" i="12"/>
  <c r="F4" i="12"/>
  <c r="E4" i="12"/>
  <c r="H2" i="5" l="1"/>
  <c r="J2" i="5"/>
  <c r="K5" i="11"/>
  <c r="I2" i="5"/>
  <c r="D4" i="11"/>
  <c r="D2" i="5" s="1"/>
  <c r="G2" i="5"/>
  <c r="L5" i="11" l="1"/>
  <c r="K2" i="5"/>
  <c r="M5" i="11" l="1"/>
  <c r="L2" i="5"/>
  <c r="M2" i="5" l="1"/>
  <c r="N5" i="11"/>
  <c r="N2" i="5" l="1"/>
  <c r="O5" i="11"/>
  <c r="P5" i="11" l="1"/>
  <c r="O2" i="5"/>
  <c r="Q5" i="11" l="1"/>
  <c r="P2" i="5"/>
  <c r="Q2" i="5" l="1"/>
  <c r="R5" i="11"/>
  <c r="S5" i="11" l="1"/>
  <c r="R2" i="5"/>
  <c r="T5" i="11" l="1"/>
  <c r="S2" i="5"/>
  <c r="U5" i="11" l="1"/>
  <c r="T2" i="5"/>
  <c r="V5" i="11" l="1"/>
  <c r="U2" i="5"/>
  <c r="V2" i="5" l="1"/>
  <c r="W5" i="11"/>
  <c r="X5" i="11" l="1"/>
  <c r="W2" i="5"/>
  <c r="Y5" i="11" l="1"/>
  <c r="Y2" i="5" s="1"/>
  <c r="X2" i="5"/>
</calcChain>
</file>

<file path=xl/sharedStrings.xml><?xml version="1.0" encoding="utf-8"?>
<sst xmlns="http://schemas.openxmlformats.org/spreadsheetml/2006/main" count="87" uniqueCount="70">
  <si>
    <t>Source:</t>
  </si>
  <si>
    <t>Year</t>
  </si>
  <si>
    <t>BAU CO2 Stored (tons/yr)</t>
  </si>
  <si>
    <t>CSA BAU Tons CO2 Sequestered</t>
  </si>
  <si>
    <t>CSA Additional CCS Potential</t>
  </si>
  <si>
    <t>Notes on BAU Tons CO2 Sequestered:</t>
  </si>
  <si>
    <t>Notes on Additional CCS Potential:</t>
  </si>
  <si>
    <t>Additional Potential CO2 Stored (tons/yr)</t>
  </si>
  <si>
    <t>Project</t>
  </si>
  <si>
    <t>In Alberta, the Quest Project captures CO2 from Shell’s Scotford upgrader and transports it by pipeline for permanent storage underground. The project is designed to capture up to 1.1 MT of CO2 per year</t>
  </si>
  <si>
    <t>Under development is the Alberta Carbon Trunk Line, a 240 km pipeline that will transport CO2 from an industrial area north of Edmonton to EOR projects in central Alberta. Starting in 2018 the project will transport 1.7 MT CO2 per year captured from two facilities: the Sturgeon Refinery (currently under construction) and an Agrium fertilizer plant. The pipeline has a capacity of nearly 15 MT per year to allow for future CCS projects.</t>
  </si>
  <si>
    <t>The Boundary Dam power station in Saskatchewan began operations in 2014. The 115 MW coal-fired power plant is capable of capturing 1.3 MT of CO2 per year.  as of May 2017, it has captured 1.6 MT of CO2</t>
  </si>
  <si>
    <t>https://www.neb-one.gc.ca/nrg/ntgrtd/ftr/2017/2017nrgftr-eng.pdf</t>
  </si>
  <si>
    <t>Saskatchewan</t>
  </si>
  <si>
    <t>Boundary Dam</t>
  </si>
  <si>
    <t xml:space="preserve">MT CO2/year </t>
  </si>
  <si>
    <t>Alberta</t>
  </si>
  <si>
    <t>Quest Project</t>
  </si>
  <si>
    <t>Carbon Trunk line</t>
  </si>
  <si>
    <t>http://www.saskpower.com/about-us/blog/bd3-status-update-november-2017/</t>
  </si>
  <si>
    <t>Carbon Trunk Line</t>
  </si>
  <si>
    <t>Weyburn-Midale</t>
  </si>
  <si>
    <t xml:space="preserve">Weyburn-Midale - takes carbon from Boundary Dam, but also stores ~8000ton/day from Dakota Gasification </t>
  </si>
  <si>
    <t>MT CO2/year</t>
  </si>
  <si>
    <t xml:space="preserve">Additional capacity </t>
  </si>
  <si>
    <t>https://www.globalccsinstitute.com/projects/quest</t>
  </si>
  <si>
    <t xml:space="preserve"> </t>
  </si>
  <si>
    <t>Page 68, CCS Technology</t>
  </si>
  <si>
    <t>Canada's Enegy Future 2017</t>
  </si>
  <si>
    <t>National Energy Board</t>
  </si>
  <si>
    <t xml:space="preserve">From NEB Energy Futures 2017 Report: </t>
  </si>
  <si>
    <t xml:space="preserve">Province </t>
  </si>
  <si>
    <t xml:space="preserve">Capacity </t>
  </si>
  <si>
    <t>Unit</t>
  </si>
  <si>
    <t xml:space="preserve">Notes </t>
  </si>
  <si>
    <t>Region</t>
  </si>
  <si>
    <t>Technology</t>
  </si>
  <si>
    <t>Bottom Scenario ID</t>
  </si>
  <si>
    <t>Top Scenario ID</t>
  </si>
  <si>
    <t>United States</t>
  </si>
  <si>
    <t>Carbon capture and storage</t>
  </si>
  <si>
    <t>2DS</t>
  </si>
  <si>
    <t>4DS</t>
  </si>
  <si>
    <t>6DS</t>
  </si>
  <si>
    <t>BAU CCS Amounts</t>
  </si>
  <si>
    <t>Additional sources for BAU CCS Amounts</t>
  </si>
  <si>
    <t>Additional CCS Potential</t>
  </si>
  <si>
    <t>We use data from existing and planned CCS projects in Canada.</t>
  </si>
  <si>
    <t>Start Year</t>
  </si>
  <si>
    <t>Units 4 and 5 will come online in 2021, unit 6 in 2029</t>
  </si>
  <si>
    <t>Pipeline capacity of 15MT allows for future CCS expansion, but no specific plans to expand sequestration amount</t>
  </si>
  <si>
    <t>Historical data in yellow for Boundary Dam reflect actual amount sequestered, not capacity.  (Capacity was 1.3 MT/year throughout this period.)</t>
  </si>
  <si>
    <t>BAU Tons CO2 Sequestered</t>
  </si>
  <si>
    <t>Notes</t>
  </si>
  <si>
    <t>Weyburn-Midale project has been removed from the list because it stores in Canada emissions that have been captured in the US (North Dakota). Source: https://en.wikipedia.org/wiki/Weyburn-Midale_Carbon_Dioxide_Project</t>
  </si>
  <si>
    <t>http://www.energy.alberta.ca/CCS/3822.asp</t>
  </si>
  <si>
    <t>Project lifetime (yrs)</t>
  </si>
  <si>
    <t xml:space="preserve">Units 3 has a total of 1 MT capacity, so we assume units 4 and 5 will be an additional (1*2) 2 MT – https://www.saskwind.ca/blogbackend/2014/12/19/1ntqsww266rdipigty7lfw2nplyl8t </t>
  </si>
  <si>
    <t>Added a lifetime to each project (source in NEB data tab)</t>
  </si>
  <si>
    <t>CO2 stored by Weyburn comes from North Dakota – SO PROJECT SHOULD NOT BE ACCOUNTED FOR IN THIS VARIABLE</t>
  </si>
  <si>
    <t xml:space="preserve">Spectra Energy's Fort Nelson CCS Project
</t>
  </si>
  <si>
    <t>BC</t>
  </si>
  <si>
    <t>Spectra Energy's Fort Nelson CCS Project</t>
  </si>
  <si>
    <t>https://www.neb-one.gc.ca/nrg/ntgrtd/mrkt/snpsht/2016/09-01cndncrbncptr-eng.html</t>
  </si>
  <si>
    <t>Assume 20 yrs</t>
  </si>
  <si>
    <t>https://www.nrcan.gc.ca/sites/www.nrcan.gc.ca/files/www/pdf/com/resoress/publications/fosfos/fosfos-eng.pdf</t>
  </si>
  <si>
    <t>Page 17</t>
  </si>
  <si>
    <t>Task Force on Carbon Capture and Storage</t>
  </si>
  <si>
    <t>Canada's Fossil Energy Future: The Way Forward on Carbon Capture and Storage</t>
  </si>
  <si>
    <t>We use the lower bound estimate of 100 MT/year potential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</si>
</sst>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1"/>
      <color rgb="FF000000"/>
      <name val="Calibri"/>
      <family val="2"/>
      <scheme val="minor"/>
    </font>
    <font>
      <b/>
      <sz val="12"/>
      <color rgb="FF000000"/>
      <name val="Calibri"/>
      <family val="2"/>
      <scheme val="minor"/>
    </font>
    <font>
      <b/>
      <sz val="12"/>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auto="1"/>
      </left>
      <right/>
      <top/>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1" fillId="0" borderId="0" xfId="0" applyFont="1"/>
    <xf numFmtId="0" fontId="0" fillId="0" borderId="0" xfId="0" applyFill="1"/>
    <xf numFmtId="0" fontId="1" fillId="0" borderId="0" xfId="0" applyFont="1" applyFill="1"/>
    <xf numFmtId="1" fontId="0" fillId="0" borderId="0" xfId="0" applyNumberFormat="1" applyFill="1"/>
    <xf numFmtId="11" fontId="0" fillId="0" borderId="0" xfId="0" applyNumberFormat="1"/>
    <xf numFmtId="0" fontId="2" fillId="0" borderId="0" xfId="1"/>
    <xf numFmtId="0" fontId="1" fillId="2" borderId="0" xfId="0" applyFont="1" applyFill="1"/>
    <xf numFmtId="0" fontId="0" fillId="3" borderId="0" xfId="0" applyFill="1"/>
    <xf numFmtId="0" fontId="0" fillId="0" borderId="0" xfId="0" applyAlignment="1">
      <alignment wrapText="1"/>
    </xf>
    <xf numFmtId="0" fontId="0" fillId="0" borderId="0" xfId="0" applyFont="1" applyFill="1"/>
    <xf numFmtId="0" fontId="5" fillId="0" borderId="0" xfId="0" applyFont="1" applyAlignment="1">
      <alignment wrapText="1"/>
    </xf>
    <xf numFmtId="0" fontId="5" fillId="0" borderId="0" xfId="0" applyFont="1" applyFill="1"/>
    <xf numFmtId="0" fontId="5" fillId="0" borderId="0" xfId="0" applyFont="1" applyFill="1" applyAlignment="1">
      <alignment horizontal="left"/>
    </xf>
    <xf numFmtId="0" fontId="6" fillId="0" borderId="1" xfId="0" applyFont="1" applyBorder="1"/>
    <xf numFmtId="0" fontId="7" fillId="0" borderId="0" xfId="0" applyFont="1"/>
    <xf numFmtId="0" fontId="6" fillId="0" borderId="0" xfId="0" applyFont="1" applyBorder="1"/>
    <xf numFmtId="0" fontId="6" fillId="0" borderId="0" xfId="0" applyFont="1"/>
    <xf numFmtId="2" fontId="0" fillId="0" borderId="0" xfId="0" applyNumberFormat="1" applyFont="1"/>
    <xf numFmtId="0" fontId="8" fillId="0" borderId="0" xfId="0" applyFont="1"/>
    <xf numFmtId="2" fontId="8" fillId="0" borderId="0" xfId="0" applyNumberFormat="1" applyFont="1"/>
    <xf numFmtId="0" fontId="1" fillId="0" borderId="0" xfId="0" applyFont="1" applyAlignment="1">
      <alignment horizontal="left"/>
    </xf>
    <xf numFmtId="0" fontId="0" fillId="0" borderId="0" xfId="0" applyAlignment="1">
      <alignment horizontal="left"/>
    </xf>
    <xf numFmtId="2" fontId="0" fillId="0" borderId="0" xfId="0" applyNumberFormat="1" applyAlignment="1">
      <alignment horizontal="left"/>
    </xf>
    <xf numFmtId="0" fontId="4" fillId="0" borderId="0" xfId="0" applyFont="1" applyAlignment="1">
      <alignment wrapText="1"/>
    </xf>
    <xf numFmtId="0" fontId="0" fillId="0" borderId="0" xfId="0" applyFont="1" applyAlignment="1">
      <alignment vertical="center" wrapText="1"/>
    </xf>
    <xf numFmtId="0" fontId="0" fillId="0" borderId="0" xfId="0" applyFill="1" applyAlignment="1">
      <alignment wrapText="1"/>
    </xf>
    <xf numFmtId="1" fontId="0" fillId="0" borderId="0" xfId="0" applyNumberFormat="1"/>
    <xf numFmtId="0" fontId="0" fillId="2" borderId="0" xfId="0" applyFill="1"/>
  </cellXfs>
  <cellStyles count="3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1" builtinId="8"/>
    <cellStyle name="Normal" xfId="0" builtinId="0"/>
  </cellStyles>
  <dxfs count="0"/>
  <tableStyles count="0" defaultTableStyle="TableStyleMedium2" defaultPivotStyle="PivotStyleLight16"/>
  <colors>
    <mruColors>
      <color rgb="FF93A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neb-one.gc.ca/nrg/ntgrtd/mrkt/snpsht/2016/09-01cndncrbncptr-e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abSelected="1" workbookViewId="0">
      <selection activeCell="A28" sqref="A28:XFD36"/>
    </sheetView>
  </sheetViews>
  <sheetFormatPr defaultColWidth="8.81640625" defaultRowHeight="14.5" x14ac:dyDescent="0.35"/>
  <cols>
    <col min="2" max="2" width="81" customWidth="1"/>
    <col min="3" max="3" width="17.1796875" customWidth="1"/>
    <col min="4" max="4" width="22.1796875" customWidth="1"/>
    <col min="5" max="5" width="18.1796875" customWidth="1"/>
  </cols>
  <sheetData>
    <row r="1" spans="1:2" x14ac:dyDescent="0.35">
      <c r="A1" s="1" t="s">
        <v>3</v>
      </c>
    </row>
    <row r="2" spans="1:2" x14ac:dyDescent="0.35">
      <c r="A2" s="1" t="s">
        <v>4</v>
      </c>
    </row>
    <row r="4" spans="1:2" x14ac:dyDescent="0.35">
      <c r="A4" s="1" t="s">
        <v>0</v>
      </c>
      <c r="B4" s="7" t="s">
        <v>44</v>
      </c>
    </row>
    <row r="5" spans="1:2" x14ac:dyDescent="0.35">
      <c r="B5" s="10" t="s">
        <v>29</v>
      </c>
    </row>
    <row r="6" spans="1:2" x14ac:dyDescent="0.35">
      <c r="B6" t="s">
        <v>28</v>
      </c>
    </row>
    <row r="7" spans="1:2" x14ac:dyDescent="0.35">
      <c r="B7" s="9" t="s">
        <v>12</v>
      </c>
    </row>
    <row r="8" spans="1:2" x14ac:dyDescent="0.35">
      <c r="B8" t="s">
        <v>27</v>
      </c>
    </row>
    <row r="10" spans="1:2" x14ac:dyDescent="0.35">
      <c r="B10" s="7" t="s">
        <v>45</v>
      </c>
    </row>
    <row r="11" spans="1:2" x14ac:dyDescent="0.35">
      <c r="B11" t="s">
        <v>19</v>
      </c>
    </row>
    <row r="12" spans="1:2" x14ac:dyDescent="0.35">
      <c r="B12" t="s">
        <v>25</v>
      </c>
    </row>
    <row r="14" spans="1:2" x14ac:dyDescent="0.35">
      <c r="B14" s="7" t="s">
        <v>46</v>
      </c>
    </row>
    <row r="15" spans="1:2" x14ac:dyDescent="0.35">
      <c r="B15" t="s">
        <v>67</v>
      </c>
    </row>
    <row r="16" spans="1:2" x14ac:dyDescent="0.35">
      <c r="B16" s="22">
        <v>2008</v>
      </c>
    </row>
    <row r="17" spans="1:2" x14ac:dyDescent="0.35">
      <c r="B17" s="12" t="s">
        <v>68</v>
      </c>
    </row>
    <row r="18" spans="1:2" x14ac:dyDescent="0.35">
      <c r="B18" s="12" t="s">
        <v>65</v>
      </c>
    </row>
    <row r="19" spans="1:2" x14ac:dyDescent="0.35">
      <c r="B19" s="13" t="s">
        <v>66</v>
      </c>
    </row>
    <row r="21" spans="1:2" x14ac:dyDescent="0.35">
      <c r="A21" s="3" t="s">
        <v>5</v>
      </c>
    </row>
    <row r="22" spans="1:2" x14ac:dyDescent="0.35">
      <c r="A22" t="s">
        <v>47</v>
      </c>
    </row>
    <row r="24" spans="1:2" x14ac:dyDescent="0.35">
      <c r="A24" s="3" t="s">
        <v>6</v>
      </c>
      <c r="B24" s="6"/>
    </row>
    <row r="25" spans="1:2" x14ac:dyDescent="0.35">
      <c r="A25" t="s">
        <v>69</v>
      </c>
    </row>
    <row r="28" spans="1:2" s="2" customFormat="1" x14ac:dyDescent="0.35"/>
    <row r="29" spans="1:2" s="2" customFormat="1" x14ac:dyDescent="0.35"/>
    <row r="30" spans="1:2" s="2" customFormat="1" x14ac:dyDescent="0.35"/>
    <row r="31" spans="1:2" s="2" customFormat="1" x14ac:dyDescent="0.35"/>
    <row r="32" spans="1:2" s="2" customFormat="1" x14ac:dyDescent="0.35"/>
    <row r="33" spans="1:3" s="2" customFormat="1" x14ac:dyDescent="0.35"/>
    <row r="34" spans="1:3" s="2" customFormat="1" x14ac:dyDescent="0.35"/>
    <row r="35" spans="1:3" s="2" customFormat="1" x14ac:dyDescent="0.35"/>
    <row r="36" spans="1:3" s="2" customFormat="1" x14ac:dyDescent="0.35">
      <c r="B36" s="3"/>
      <c r="C36" s="4"/>
    </row>
    <row r="37" spans="1:3" s="2" customFormat="1" x14ac:dyDescent="0.35">
      <c r="B37" s="3"/>
      <c r="C37" s="4"/>
    </row>
    <row r="38" spans="1:3" x14ac:dyDescent="0.35">
      <c r="A38" t="s">
        <v>26</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H6" sqref="H6"/>
    </sheetView>
  </sheetViews>
  <sheetFormatPr defaultColWidth="11.36328125" defaultRowHeight="14.5" x14ac:dyDescent="0.35"/>
  <cols>
    <col min="1" max="1" width="78.36328125" customWidth="1"/>
    <col min="2" max="2" width="15.1796875" customWidth="1"/>
    <col min="3" max="3" width="14.36328125" bestFit="1" customWidth="1"/>
    <col min="5" max="5" width="15.36328125" customWidth="1"/>
    <col min="6" max="7" width="13.81640625" customWidth="1"/>
    <col min="8" max="8" width="21.1796875" customWidth="1"/>
    <col min="9" max="9" width="38.81640625" customWidth="1"/>
  </cols>
  <sheetData>
    <row r="1" spans="1:9" x14ac:dyDescent="0.35">
      <c r="A1" s="7" t="s">
        <v>30</v>
      </c>
      <c r="B1" s="7" t="s">
        <v>31</v>
      </c>
      <c r="C1" s="7" t="s">
        <v>8</v>
      </c>
      <c r="D1" s="7" t="s">
        <v>32</v>
      </c>
      <c r="E1" s="7" t="s">
        <v>33</v>
      </c>
      <c r="F1" s="7" t="s">
        <v>48</v>
      </c>
      <c r="G1" s="7" t="s">
        <v>56</v>
      </c>
      <c r="H1" s="7" t="s">
        <v>24</v>
      </c>
      <c r="I1" s="7" t="s">
        <v>34</v>
      </c>
    </row>
    <row r="2" spans="1:9" ht="72.5" x14ac:dyDescent="0.35">
      <c r="A2" s="25" t="s">
        <v>11</v>
      </c>
      <c r="B2" t="s">
        <v>13</v>
      </c>
      <c r="C2" s="9" t="s">
        <v>14</v>
      </c>
      <c r="D2">
        <v>1</v>
      </c>
      <c r="E2" t="s">
        <v>15</v>
      </c>
      <c r="F2">
        <v>2014</v>
      </c>
      <c r="G2">
        <v>30</v>
      </c>
      <c r="H2" s="11" t="s">
        <v>49</v>
      </c>
      <c r="I2" s="9" t="s">
        <v>57</v>
      </c>
    </row>
    <row r="3" spans="1:9" ht="43.5" x14ac:dyDescent="0.35">
      <c r="A3" s="25" t="s">
        <v>9</v>
      </c>
      <c r="B3" t="s">
        <v>16</v>
      </c>
      <c r="C3" s="9" t="s">
        <v>17</v>
      </c>
      <c r="D3">
        <v>1.08</v>
      </c>
      <c r="E3" t="s">
        <v>15</v>
      </c>
      <c r="F3">
        <v>2015</v>
      </c>
      <c r="G3">
        <v>15</v>
      </c>
      <c r="I3" t="s">
        <v>55</v>
      </c>
    </row>
    <row r="4" spans="1:9" ht="72.5" x14ac:dyDescent="0.35">
      <c r="A4" s="25" t="s">
        <v>10</v>
      </c>
      <c r="B4" t="s">
        <v>16</v>
      </c>
      <c r="C4" s="9" t="s">
        <v>18</v>
      </c>
      <c r="D4">
        <v>1.68</v>
      </c>
      <c r="E4" t="s">
        <v>23</v>
      </c>
      <c r="F4">
        <v>2018</v>
      </c>
      <c r="G4">
        <v>15</v>
      </c>
      <c r="H4" s="9" t="s">
        <v>50</v>
      </c>
      <c r="I4" t="s">
        <v>55</v>
      </c>
    </row>
    <row r="5" spans="1:9" ht="43.5" x14ac:dyDescent="0.35">
      <c r="A5" s="24" t="s">
        <v>22</v>
      </c>
      <c r="B5" t="s">
        <v>13</v>
      </c>
      <c r="C5" s="9" t="s">
        <v>21</v>
      </c>
      <c r="D5">
        <f>8000*365/1000000</f>
        <v>2.92</v>
      </c>
      <c r="E5" t="s">
        <v>23</v>
      </c>
      <c r="F5">
        <v>2000</v>
      </c>
      <c r="I5" s="26" t="s">
        <v>59</v>
      </c>
    </row>
    <row r="6" spans="1:9" ht="58" x14ac:dyDescent="0.35">
      <c r="A6" s="9" t="s">
        <v>60</v>
      </c>
      <c r="B6" t="s">
        <v>61</v>
      </c>
      <c r="C6" s="9" t="s">
        <v>62</v>
      </c>
      <c r="D6">
        <v>2.2000000000000002</v>
      </c>
      <c r="E6" t="s">
        <v>23</v>
      </c>
      <c r="F6">
        <v>2018</v>
      </c>
      <c r="G6" t="s">
        <v>64</v>
      </c>
      <c r="I6" s="6" t="s">
        <v>63</v>
      </c>
    </row>
    <row r="7" spans="1:9" x14ac:dyDescent="0.35">
      <c r="A7" s="9"/>
    </row>
  </sheetData>
  <hyperlinks>
    <hyperlink ref="I6" r:id="rId1"/>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D6" sqref="D6"/>
    </sheetView>
  </sheetViews>
  <sheetFormatPr defaultColWidth="10.6328125" defaultRowHeight="14.5" x14ac:dyDescent="0.35"/>
  <cols>
    <col min="1" max="1" width="18.36328125" customWidth="1"/>
    <col min="2" max="2" width="30.81640625" customWidth="1"/>
    <col min="3" max="3" width="22.1796875" customWidth="1"/>
    <col min="4" max="4" width="18.6328125" customWidth="1"/>
  </cols>
  <sheetData>
    <row r="1" spans="1:12" ht="15.5" x14ac:dyDescent="0.35">
      <c r="A1" s="14" t="s">
        <v>35</v>
      </c>
      <c r="B1" s="15" t="s">
        <v>36</v>
      </c>
      <c r="C1" s="16" t="s">
        <v>37</v>
      </c>
      <c r="D1" s="16" t="s">
        <v>38</v>
      </c>
      <c r="E1" s="15">
        <v>2015</v>
      </c>
      <c r="F1" s="15">
        <v>2020</v>
      </c>
      <c r="G1" s="15">
        <v>2025</v>
      </c>
      <c r="H1" s="17">
        <v>2030</v>
      </c>
      <c r="I1" s="17">
        <v>2035</v>
      </c>
      <c r="J1" s="17">
        <v>2040</v>
      </c>
      <c r="K1" s="15">
        <v>2045</v>
      </c>
      <c r="L1" s="15">
        <v>2050</v>
      </c>
    </row>
    <row r="2" spans="1:12" x14ac:dyDescent="0.35">
      <c r="A2" t="s">
        <v>39</v>
      </c>
      <c r="B2" t="s">
        <v>40</v>
      </c>
      <c r="C2" t="s">
        <v>41</v>
      </c>
      <c r="D2" t="s">
        <v>42</v>
      </c>
      <c r="E2" s="18">
        <v>0</v>
      </c>
      <c r="F2" s="18">
        <v>0.01</v>
      </c>
      <c r="G2" s="18">
        <v>0.06</v>
      </c>
      <c r="H2" s="18">
        <v>0.16</v>
      </c>
      <c r="I2" s="18">
        <v>0.37</v>
      </c>
      <c r="J2" s="18">
        <v>0.57999999999999996</v>
      </c>
      <c r="K2" s="18">
        <v>0.72</v>
      </c>
      <c r="L2" s="18">
        <v>0.74</v>
      </c>
    </row>
    <row r="3" spans="1:12" x14ac:dyDescent="0.35">
      <c r="A3" t="s">
        <v>39</v>
      </c>
      <c r="B3" t="s">
        <v>40</v>
      </c>
      <c r="C3" t="s">
        <v>42</v>
      </c>
      <c r="D3" t="s">
        <v>43</v>
      </c>
      <c r="E3" s="18">
        <v>0</v>
      </c>
      <c r="F3" s="18">
        <v>0</v>
      </c>
      <c r="G3" s="18">
        <v>0.01</v>
      </c>
      <c r="H3" s="18">
        <v>0.03</v>
      </c>
      <c r="I3" s="18">
        <v>0.04</v>
      </c>
      <c r="J3" s="18">
        <v>0.04</v>
      </c>
      <c r="K3" s="18">
        <v>0.05</v>
      </c>
      <c r="L3" s="18">
        <v>0.11</v>
      </c>
    </row>
    <row r="4" spans="1:12" x14ac:dyDescent="0.35">
      <c r="A4" s="19" t="s">
        <v>39</v>
      </c>
      <c r="B4" s="19" t="s">
        <v>40</v>
      </c>
      <c r="C4" s="19" t="s">
        <v>41</v>
      </c>
      <c r="D4" s="19" t="s">
        <v>43</v>
      </c>
      <c r="E4" s="20">
        <f>E3+E2</f>
        <v>0</v>
      </c>
      <c r="F4" s="20">
        <f t="shared" ref="F4:L4" si="0">F3+F2</f>
        <v>0.01</v>
      </c>
      <c r="G4" s="20">
        <f t="shared" si="0"/>
        <v>6.9999999999999993E-2</v>
      </c>
      <c r="H4" s="20">
        <f t="shared" si="0"/>
        <v>0.19</v>
      </c>
      <c r="I4" s="20">
        <f t="shared" si="0"/>
        <v>0.41</v>
      </c>
      <c r="J4" s="20">
        <f t="shared" si="0"/>
        <v>0.62</v>
      </c>
      <c r="K4" s="20">
        <f t="shared" si="0"/>
        <v>0.77</v>
      </c>
      <c r="L4" s="20">
        <f t="shared" si="0"/>
        <v>0.85</v>
      </c>
    </row>
    <row r="6" spans="1:12" x14ac:dyDescent="0.35">
      <c r="A6" s="21"/>
      <c r="B6" s="22"/>
      <c r="C6" s="22"/>
      <c r="D6" s="22"/>
      <c r="E6" s="22"/>
      <c r="F6" s="22"/>
    </row>
    <row r="7" spans="1:12" x14ac:dyDescent="0.35">
      <c r="A7" s="22"/>
      <c r="B7" s="22"/>
      <c r="C7" s="22"/>
    </row>
    <row r="8" spans="1:12" x14ac:dyDescent="0.35">
      <c r="A8" s="22"/>
      <c r="B8" s="23"/>
      <c r="C8" s="23"/>
    </row>
    <row r="9" spans="1:12" x14ac:dyDescent="0.35">
      <c r="A9" s="22"/>
      <c r="B9" s="23"/>
      <c r="C9" s="23"/>
      <c r="D9" s="22"/>
      <c r="E9" s="22"/>
    </row>
    <row r="10" spans="1:12" x14ac:dyDescent="0.35">
      <c r="A10" s="22"/>
      <c r="B10" s="23"/>
      <c r="C10" s="23"/>
      <c r="D10" s="22"/>
      <c r="E10"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
  <sheetViews>
    <sheetView topLeftCell="A2" workbookViewId="0">
      <selection activeCell="A17" sqref="A17"/>
    </sheetView>
  </sheetViews>
  <sheetFormatPr defaultColWidth="11.36328125" defaultRowHeight="14.5" x14ac:dyDescent="0.35"/>
  <cols>
    <col min="1" max="1" width="46.81640625" customWidth="1"/>
  </cols>
  <sheetData>
    <row r="1" spans="1:37" s="28" customFormat="1" x14ac:dyDescent="0.35">
      <c r="A1" s="7" t="s">
        <v>52</v>
      </c>
    </row>
    <row r="2" spans="1:37" x14ac:dyDescent="0.35">
      <c r="A2" s="1" t="s">
        <v>8</v>
      </c>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35">
      <c r="A3" t="s">
        <v>14</v>
      </c>
      <c r="B3" s="8">
        <v>426100</v>
      </c>
      <c r="C3" s="8">
        <v>792500</v>
      </c>
      <c r="D3" s="8">
        <v>474100</v>
      </c>
      <c r="E3">
        <f>'NEB data'!D2*10^6</f>
        <v>1000000</v>
      </c>
      <c r="F3">
        <f>$E3</f>
        <v>1000000</v>
      </c>
      <c r="G3">
        <f>$E3</f>
        <v>1000000</v>
      </c>
      <c r="H3" s="27">
        <f>'NEB data'!$D$2*3*10^6</f>
        <v>3000000</v>
      </c>
      <c r="I3" s="27">
        <f>$H3</f>
        <v>3000000</v>
      </c>
      <c r="J3" s="27">
        <f t="shared" ref="J3:O3" si="0">$H3</f>
        <v>3000000</v>
      </c>
      <c r="K3" s="27">
        <f t="shared" si="0"/>
        <v>3000000</v>
      </c>
      <c r="L3" s="27">
        <f t="shared" si="0"/>
        <v>3000000</v>
      </c>
      <c r="M3" s="27">
        <f t="shared" si="0"/>
        <v>3000000</v>
      </c>
      <c r="N3" s="27">
        <f t="shared" si="0"/>
        <v>3000000</v>
      </c>
      <c r="O3" s="27">
        <f t="shared" si="0"/>
        <v>3000000</v>
      </c>
      <c r="P3">
        <f>'NEB data'!D2*2*10^6</f>
        <v>2000000</v>
      </c>
      <c r="Q3" s="27">
        <f>$P3</f>
        <v>2000000</v>
      </c>
      <c r="R3" s="27">
        <f t="shared" ref="R3:AK3" si="1">$P3</f>
        <v>2000000</v>
      </c>
      <c r="S3" s="27">
        <f t="shared" si="1"/>
        <v>2000000</v>
      </c>
      <c r="T3" s="27">
        <f t="shared" si="1"/>
        <v>2000000</v>
      </c>
      <c r="U3" s="27">
        <f t="shared" si="1"/>
        <v>2000000</v>
      </c>
      <c r="V3" s="27">
        <f t="shared" si="1"/>
        <v>2000000</v>
      </c>
      <c r="W3" s="27">
        <f t="shared" si="1"/>
        <v>2000000</v>
      </c>
      <c r="X3" s="27">
        <f t="shared" si="1"/>
        <v>2000000</v>
      </c>
      <c r="Y3" s="27">
        <f t="shared" si="1"/>
        <v>2000000</v>
      </c>
      <c r="Z3" s="27">
        <f t="shared" si="1"/>
        <v>2000000</v>
      </c>
      <c r="AA3" s="27">
        <f t="shared" si="1"/>
        <v>2000000</v>
      </c>
      <c r="AB3" s="27">
        <f t="shared" si="1"/>
        <v>2000000</v>
      </c>
      <c r="AC3" s="27">
        <f t="shared" si="1"/>
        <v>2000000</v>
      </c>
      <c r="AD3" s="27">
        <f t="shared" si="1"/>
        <v>2000000</v>
      </c>
      <c r="AE3" s="27">
        <f t="shared" si="1"/>
        <v>2000000</v>
      </c>
      <c r="AF3" s="27">
        <f>'NEB data'!$D$2*2*10^6</f>
        <v>2000000</v>
      </c>
      <c r="AG3" s="27">
        <f t="shared" si="1"/>
        <v>2000000</v>
      </c>
      <c r="AH3" s="27">
        <f t="shared" si="1"/>
        <v>2000000</v>
      </c>
      <c r="AI3" s="27">
        <f t="shared" si="1"/>
        <v>2000000</v>
      </c>
      <c r="AJ3" s="27">
        <f t="shared" si="1"/>
        <v>2000000</v>
      </c>
      <c r="AK3" s="27">
        <f t="shared" si="1"/>
        <v>2000000</v>
      </c>
    </row>
    <row r="4" spans="1:37" x14ac:dyDescent="0.35">
      <c r="A4" t="s">
        <v>17</v>
      </c>
      <c r="B4">
        <v>0</v>
      </c>
      <c r="C4">
        <f>'NEB data'!D3*1000000</f>
        <v>1080000</v>
      </c>
      <c r="D4">
        <f>$C4</f>
        <v>1080000</v>
      </c>
      <c r="E4">
        <f t="shared" ref="E4:Q4" si="2">$C4</f>
        <v>1080000</v>
      </c>
      <c r="F4">
        <f t="shared" si="2"/>
        <v>1080000</v>
      </c>
      <c r="G4">
        <f t="shared" si="2"/>
        <v>1080000</v>
      </c>
      <c r="H4">
        <f t="shared" si="2"/>
        <v>1080000</v>
      </c>
      <c r="I4">
        <f t="shared" si="2"/>
        <v>1080000</v>
      </c>
      <c r="J4">
        <f t="shared" si="2"/>
        <v>1080000</v>
      </c>
      <c r="K4">
        <f t="shared" si="2"/>
        <v>1080000</v>
      </c>
      <c r="L4">
        <f t="shared" si="2"/>
        <v>1080000</v>
      </c>
      <c r="M4">
        <f t="shared" si="2"/>
        <v>1080000</v>
      </c>
      <c r="N4">
        <f t="shared" si="2"/>
        <v>1080000</v>
      </c>
      <c r="O4">
        <f t="shared" si="2"/>
        <v>1080000</v>
      </c>
      <c r="P4">
        <f t="shared" si="2"/>
        <v>1080000</v>
      </c>
      <c r="Q4">
        <f t="shared" si="2"/>
        <v>1080000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35">
      <c r="A5" t="str">
        <f>'NEB data'!A6</f>
        <v xml:space="preserve">Spectra Energy's Fort Nelson CCS Project
</v>
      </c>
      <c r="B5">
        <v>0</v>
      </c>
      <c r="C5">
        <v>0</v>
      </c>
      <c r="D5">
        <v>0</v>
      </c>
      <c r="E5">
        <f>'NEB data'!D6*1000000</f>
        <v>2200000</v>
      </c>
      <c r="F5">
        <f>E5</f>
        <v>2200000</v>
      </c>
      <c r="G5">
        <f t="shared" ref="G5:Y5" si="3">F5</f>
        <v>2200000</v>
      </c>
      <c r="H5">
        <f t="shared" si="3"/>
        <v>2200000</v>
      </c>
      <c r="I5">
        <f t="shared" si="3"/>
        <v>2200000</v>
      </c>
      <c r="J5">
        <f t="shared" si="3"/>
        <v>2200000</v>
      </c>
      <c r="K5">
        <f t="shared" si="3"/>
        <v>2200000</v>
      </c>
      <c r="L5">
        <f t="shared" si="3"/>
        <v>2200000</v>
      </c>
      <c r="M5">
        <f t="shared" si="3"/>
        <v>2200000</v>
      </c>
      <c r="N5">
        <f t="shared" si="3"/>
        <v>2200000</v>
      </c>
      <c r="O5">
        <f t="shared" si="3"/>
        <v>2200000</v>
      </c>
      <c r="P5">
        <f t="shared" si="3"/>
        <v>2200000</v>
      </c>
      <c r="Q5">
        <f t="shared" si="3"/>
        <v>2200000</v>
      </c>
      <c r="R5">
        <f t="shared" si="3"/>
        <v>2200000</v>
      </c>
      <c r="S5">
        <f t="shared" si="3"/>
        <v>2200000</v>
      </c>
      <c r="T5">
        <f t="shared" si="3"/>
        <v>2200000</v>
      </c>
      <c r="U5">
        <f t="shared" si="3"/>
        <v>2200000</v>
      </c>
      <c r="V5">
        <f t="shared" si="3"/>
        <v>2200000</v>
      </c>
      <c r="W5">
        <f t="shared" si="3"/>
        <v>2200000</v>
      </c>
      <c r="X5">
        <f t="shared" si="3"/>
        <v>2200000</v>
      </c>
      <c r="Y5">
        <f t="shared" si="3"/>
        <v>2200000</v>
      </c>
      <c r="Z5">
        <v>0</v>
      </c>
      <c r="AA5">
        <v>0</v>
      </c>
      <c r="AB5">
        <v>0</v>
      </c>
      <c r="AC5">
        <v>0</v>
      </c>
      <c r="AD5">
        <v>0</v>
      </c>
      <c r="AE5">
        <v>0</v>
      </c>
      <c r="AF5">
        <v>0</v>
      </c>
      <c r="AG5">
        <v>0</v>
      </c>
      <c r="AH5">
        <v>0</v>
      </c>
      <c r="AI5">
        <v>0</v>
      </c>
      <c r="AJ5">
        <v>0</v>
      </c>
      <c r="AK5">
        <v>0</v>
      </c>
    </row>
    <row r="6" spans="1:37" x14ac:dyDescent="0.35">
      <c r="A6" t="s">
        <v>20</v>
      </c>
      <c r="B6">
        <v>0</v>
      </c>
      <c r="C6">
        <v>0</v>
      </c>
      <c r="D6">
        <v>0</v>
      </c>
      <c r="E6">
        <v>1700000</v>
      </c>
      <c r="F6">
        <f>$E6</f>
        <v>1700000</v>
      </c>
      <c r="G6">
        <f t="shared" ref="G6:S6" si="4">$E6</f>
        <v>1700000</v>
      </c>
      <c r="H6">
        <f t="shared" si="4"/>
        <v>1700000</v>
      </c>
      <c r="I6">
        <f t="shared" si="4"/>
        <v>1700000</v>
      </c>
      <c r="J6">
        <f t="shared" si="4"/>
        <v>1700000</v>
      </c>
      <c r="K6">
        <f t="shared" si="4"/>
        <v>1700000</v>
      </c>
      <c r="L6">
        <f t="shared" si="4"/>
        <v>1700000</v>
      </c>
      <c r="M6">
        <f t="shared" si="4"/>
        <v>1700000</v>
      </c>
      <c r="N6">
        <f t="shared" si="4"/>
        <v>1700000</v>
      </c>
      <c r="O6">
        <f t="shared" si="4"/>
        <v>1700000</v>
      </c>
      <c r="P6">
        <f t="shared" si="4"/>
        <v>1700000</v>
      </c>
      <c r="Q6">
        <f t="shared" si="4"/>
        <v>1700000</v>
      </c>
      <c r="R6">
        <f t="shared" si="4"/>
        <v>1700000</v>
      </c>
      <c r="S6">
        <f t="shared" si="4"/>
        <v>1700000</v>
      </c>
      <c r="T6">
        <v>0</v>
      </c>
      <c r="U6">
        <v>0</v>
      </c>
      <c r="V6">
        <v>0</v>
      </c>
      <c r="W6">
        <v>0</v>
      </c>
      <c r="X6">
        <v>0</v>
      </c>
      <c r="Y6">
        <v>0</v>
      </c>
      <c r="Z6">
        <v>0</v>
      </c>
      <c r="AA6">
        <v>0</v>
      </c>
      <c r="AB6">
        <v>0</v>
      </c>
      <c r="AC6">
        <v>0</v>
      </c>
      <c r="AD6">
        <v>0</v>
      </c>
      <c r="AE6">
        <v>0</v>
      </c>
      <c r="AF6">
        <v>0</v>
      </c>
      <c r="AG6">
        <v>0</v>
      </c>
      <c r="AH6">
        <v>0</v>
      </c>
      <c r="AI6">
        <v>0</v>
      </c>
      <c r="AJ6">
        <v>0</v>
      </c>
      <c r="AK6">
        <v>0</v>
      </c>
    </row>
    <row r="7" spans="1:37" x14ac:dyDescent="0.35">
      <c r="A7" s="8" t="s">
        <v>51</v>
      </c>
    </row>
    <row r="11" spans="1:37" x14ac:dyDescent="0.35">
      <c r="A11" s="1" t="s">
        <v>53</v>
      </c>
    </row>
    <row r="12" spans="1:37" x14ac:dyDescent="0.35">
      <c r="A12" t="s">
        <v>54</v>
      </c>
    </row>
    <row r="13" spans="1:37" x14ac:dyDescent="0.35">
      <c r="A13" t="s">
        <v>58</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election activeCell="B2" sqref="B2:AK2"/>
    </sheetView>
  </sheetViews>
  <sheetFormatPr defaultColWidth="11" defaultRowHeight="14.5" x14ac:dyDescent="0.35"/>
  <sheetData>
    <row r="1" spans="1:37" x14ac:dyDescent="0.35">
      <c r="A1" t="s">
        <v>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5">
      <c r="A2" t="s">
        <v>2</v>
      </c>
      <c r="B2" s="5">
        <f>SUM(Calculations!B3:B6)</f>
        <v>426100</v>
      </c>
      <c r="C2" s="5">
        <f>SUM(Calculations!C3:C6)</f>
        <v>1872500</v>
      </c>
      <c r="D2" s="5">
        <f>SUM(Calculations!D3:D6)</f>
        <v>1554100</v>
      </c>
      <c r="E2" s="5">
        <f>SUM(Calculations!E3:E6)</f>
        <v>5980000</v>
      </c>
      <c r="F2" s="5">
        <f>SUM(Calculations!F3:F6)</f>
        <v>5980000</v>
      </c>
      <c r="G2" s="5">
        <f>SUM(Calculations!G3:G6)</f>
        <v>5980000</v>
      </c>
      <c r="H2" s="5">
        <f>SUM(Calculations!H3:H6)</f>
        <v>7980000</v>
      </c>
      <c r="I2" s="5">
        <f>SUM(Calculations!I3:I6)</f>
        <v>7980000</v>
      </c>
      <c r="J2" s="5">
        <f>SUM(Calculations!J3:J6)</f>
        <v>7980000</v>
      </c>
      <c r="K2" s="5">
        <f>SUM(Calculations!K3:K6)</f>
        <v>7980000</v>
      </c>
      <c r="L2" s="5">
        <f>SUM(Calculations!L3:L6)</f>
        <v>7980000</v>
      </c>
      <c r="M2" s="5">
        <f>SUM(Calculations!M3:M6)</f>
        <v>7980000</v>
      </c>
      <c r="N2" s="5">
        <f>SUM(Calculations!N3:N6)</f>
        <v>7980000</v>
      </c>
      <c r="O2" s="5">
        <f>SUM(Calculations!O3:O6)</f>
        <v>7980000</v>
      </c>
      <c r="P2" s="5">
        <f>SUM(Calculations!P3:P6)</f>
        <v>6980000</v>
      </c>
      <c r="Q2" s="5">
        <f>SUM(Calculations!Q3:Q6)</f>
        <v>6980000</v>
      </c>
      <c r="R2" s="5">
        <f>SUM(Calculations!R3:R6)</f>
        <v>5900000</v>
      </c>
      <c r="S2" s="5">
        <f>SUM(Calculations!S3:S6)</f>
        <v>5900000</v>
      </c>
      <c r="T2" s="5">
        <f>SUM(Calculations!T3:T6)</f>
        <v>4200000</v>
      </c>
      <c r="U2" s="5">
        <f>SUM(Calculations!U3:U6)</f>
        <v>4200000</v>
      </c>
      <c r="V2" s="5">
        <f>SUM(Calculations!V3:V6)</f>
        <v>4200000</v>
      </c>
      <c r="W2" s="5">
        <f>SUM(Calculations!W3:W6)</f>
        <v>4200000</v>
      </c>
      <c r="X2" s="5">
        <f>SUM(Calculations!X3:X6)</f>
        <v>4200000</v>
      </c>
      <c r="Y2" s="5">
        <f>SUM(Calculations!Y3:Y6)</f>
        <v>4200000</v>
      </c>
      <c r="Z2" s="5">
        <f>SUM(Calculations!Z3:Z6)</f>
        <v>2000000</v>
      </c>
      <c r="AA2" s="5">
        <f>SUM(Calculations!AA3:AA6)</f>
        <v>2000000</v>
      </c>
      <c r="AB2" s="5">
        <f>SUM(Calculations!AB3:AB6)</f>
        <v>2000000</v>
      </c>
      <c r="AC2" s="5">
        <f>SUM(Calculations!AC3:AC6)</f>
        <v>2000000</v>
      </c>
      <c r="AD2" s="5">
        <f>SUM(Calculations!AD3:AD6)</f>
        <v>2000000</v>
      </c>
      <c r="AE2" s="5">
        <f>SUM(Calculations!AE3:AE6)</f>
        <v>2000000</v>
      </c>
      <c r="AF2" s="5">
        <f>SUM(Calculations!AF3:AF6)</f>
        <v>2000000</v>
      </c>
      <c r="AG2" s="5">
        <f>SUM(Calculations!AG3:AG6)</f>
        <v>2000000</v>
      </c>
      <c r="AH2" s="5">
        <f>SUM(Calculations!AH3:AH6)</f>
        <v>2000000</v>
      </c>
      <c r="AI2" s="5">
        <f>SUM(Calculations!AI3:AI6)</f>
        <v>2000000</v>
      </c>
      <c r="AJ2" s="5">
        <f>SUM(Calculations!AJ3:AJ6)</f>
        <v>2000000</v>
      </c>
      <c r="AK2" s="5">
        <f>SUM(Calculations!AK3:AK6)</f>
        <v>2000000</v>
      </c>
    </row>
  </sheetData>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election activeCell="E19" sqref="E19"/>
    </sheetView>
  </sheetViews>
  <sheetFormatPr defaultColWidth="8.81640625" defaultRowHeight="14.5" x14ac:dyDescent="0.35"/>
  <cols>
    <col min="1" max="1" width="39.36328125" customWidth="1"/>
    <col min="2" max="17" width="9.81640625" customWidth="1"/>
  </cols>
  <sheetData>
    <row r="1" spans="1:37" x14ac:dyDescent="0.35">
      <c r="A1" t="s">
        <v>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5">
      <c r="A2" t="s">
        <v>7</v>
      </c>
      <c r="B2" s="5">
        <v>0</v>
      </c>
      <c r="C2" s="5">
        <v>0</v>
      </c>
      <c r="D2" s="5">
        <f>($AK$2-$C$2)/COUNT($D$1:$AK$1)+C2</f>
        <v>2941176.4705882352</v>
      </c>
      <c r="E2" s="5">
        <f t="shared" ref="E2:AJ2" si="0">($AK$2-$C$2)/COUNT($D$1:$AK$1)+D2</f>
        <v>5882352.9411764704</v>
      </c>
      <c r="F2" s="5">
        <f t="shared" si="0"/>
        <v>8823529.4117647056</v>
      </c>
      <c r="G2" s="5">
        <f t="shared" si="0"/>
        <v>11764705.882352941</v>
      </c>
      <c r="H2" s="5">
        <f t="shared" si="0"/>
        <v>14705882.352941176</v>
      </c>
      <c r="I2" s="5">
        <f t="shared" si="0"/>
        <v>17647058.823529411</v>
      </c>
      <c r="J2" s="5">
        <f t="shared" si="0"/>
        <v>20588235.294117644</v>
      </c>
      <c r="K2" s="5">
        <f t="shared" si="0"/>
        <v>23529411.764705881</v>
      </c>
      <c r="L2" s="5">
        <f t="shared" si="0"/>
        <v>26470588.235294119</v>
      </c>
      <c r="M2" s="5">
        <f t="shared" si="0"/>
        <v>29411764.705882356</v>
      </c>
      <c r="N2" s="5">
        <f t="shared" si="0"/>
        <v>32352941.176470593</v>
      </c>
      <c r="O2" s="5">
        <f t="shared" si="0"/>
        <v>35294117.64705883</v>
      </c>
      <c r="P2" s="5">
        <f t="shared" si="0"/>
        <v>38235294.117647067</v>
      </c>
      <c r="Q2" s="5">
        <f t="shared" si="0"/>
        <v>41176470.588235304</v>
      </c>
      <c r="R2" s="5">
        <f t="shared" si="0"/>
        <v>44117647.058823541</v>
      </c>
      <c r="S2" s="5">
        <f t="shared" si="0"/>
        <v>47058823.529411778</v>
      </c>
      <c r="T2" s="5">
        <f t="shared" si="0"/>
        <v>50000000.000000015</v>
      </c>
      <c r="U2" s="5">
        <f t="shared" si="0"/>
        <v>52941176.470588252</v>
      </c>
      <c r="V2" s="5">
        <f t="shared" si="0"/>
        <v>55882352.941176489</v>
      </c>
      <c r="W2" s="5">
        <f t="shared" si="0"/>
        <v>58823529.411764726</v>
      </c>
      <c r="X2" s="5">
        <f t="shared" si="0"/>
        <v>61764705.882352963</v>
      </c>
      <c r="Y2" s="5">
        <f t="shared" si="0"/>
        <v>64705882.3529412</v>
      </c>
      <c r="Z2" s="5">
        <f t="shared" si="0"/>
        <v>67647058.823529437</v>
      </c>
      <c r="AA2" s="5">
        <f t="shared" si="0"/>
        <v>70588235.294117674</v>
      </c>
      <c r="AB2" s="5">
        <f t="shared" si="0"/>
        <v>73529411.764705911</v>
      </c>
      <c r="AC2" s="5">
        <f t="shared" si="0"/>
        <v>76470588.235294148</v>
      </c>
      <c r="AD2" s="5">
        <f t="shared" si="0"/>
        <v>79411764.705882385</v>
      </c>
      <c r="AE2" s="5">
        <f t="shared" si="0"/>
        <v>82352941.176470622</v>
      </c>
      <c r="AF2" s="5">
        <f t="shared" si="0"/>
        <v>85294117.647058859</v>
      </c>
      <c r="AG2" s="5">
        <f t="shared" si="0"/>
        <v>88235294.117647097</v>
      </c>
      <c r="AH2" s="5">
        <f t="shared" si="0"/>
        <v>91176470.588235334</v>
      </c>
      <c r="AI2" s="5">
        <f t="shared" si="0"/>
        <v>94117647.058823571</v>
      </c>
      <c r="AJ2" s="5">
        <f t="shared" si="0"/>
        <v>97058823.529411808</v>
      </c>
      <c r="AK2" s="5">
        <f t="shared" ref="C2:AK2" si="1">100*10^6</f>
        <v>100000000</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NEB data</vt:lpstr>
      <vt:lpstr>USA ETP data</vt:lpstr>
      <vt:lpstr>Calculations</vt:lpstr>
      <vt:lpstr>CSA-BTCS</vt:lpstr>
      <vt:lpstr>CSA-ACP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2014-08-19T22:24:38Z</dcterms:created>
  <dcterms:modified xsi:type="dcterms:W3CDTF">2018-01-30T21:38:40Z</dcterms:modified>
</cp:coreProperties>
</file>