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10" windowWidth="19430" windowHeight="9030"/>
  </bookViews>
  <sheets>
    <sheet name="About" sheetId="1" r:id="rId1"/>
    <sheet name="CAN Fossil Subsidies" sheetId="16" r:id="rId2"/>
    <sheet name="CAN Primary Energy" sheetId="18" r:id="rId3"/>
    <sheet name="CAN Fossil Calculations" sheetId="19" r:id="rId4"/>
    <sheet name="CAN RE subsidy programs" sheetId="20" r:id="rId5"/>
    <sheet name="CAN RE Calculations" sheetId="21" r:id="rId6"/>
    <sheet name="BS-BSfTFpEUP" sheetId="10" r:id="rId7"/>
    <sheet name="BS-BSpUEO" sheetId="11" r:id="rId8"/>
  </sheets>
  <calcPr calcId="145621"/>
</workbook>
</file>

<file path=xl/calcChain.xml><?xml version="1.0" encoding="utf-8"?>
<calcChain xmlns="http://schemas.openxmlformats.org/spreadsheetml/2006/main">
  <c r="R3" i="11" l="1"/>
  <c r="S3" i="11"/>
  <c r="T3" i="11"/>
  <c r="U3" i="11"/>
  <c r="V3" i="11"/>
  <c r="W3" i="11"/>
  <c r="X3" i="11"/>
  <c r="Y3" i="11"/>
  <c r="Z3" i="11"/>
  <c r="AA3" i="11"/>
  <c r="AB3" i="11"/>
  <c r="AC3" i="11"/>
  <c r="AD3" i="11"/>
  <c r="AE3" i="11"/>
  <c r="AF3" i="11"/>
  <c r="AG3" i="11"/>
  <c r="AH3" i="11"/>
  <c r="AI3" i="11"/>
  <c r="AJ3" i="11"/>
  <c r="AK3" i="11"/>
  <c r="R4" i="11"/>
  <c r="S4" i="11"/>
  <c r="T4" i="11"/>
  <c r="U4" i="11"/>
  <c r="V4" i="11"/>
  <c r="W4" i="11"/>
  <c r="X4" i="11"/>
  <c r="Y4" i="11"/>
  <c r="Z4" i="11"/>
  <c r="AA4" i="11"/>
  <c r="AB4" i="11"/>
  <c r="AC4" i="11"/>
  <c r="AD4" i="11"/>
  <c r="AE4" i="11"/>
  <c r="AF4" i="11"/>
  <c r="AG4" i="11"/>
  <c r="AH4" i="11"/>
  <c r="AI4" i="11"/>
  <c r="AJ4" i="11"/>
  <c r="AK4" i="11"/>
  <c r="R5" i="11"/>
  <c r="S5" i="11"/>
  <c r="T5" i="11"/>
  <c r="U5" i="11"/>
  <c r="V5" i="11"/>
  <c r="W5" i="11"/>
  <c r="X5" i="11"/>
  <c r="Y5" i="11"/>
  <c r="Z5" i="11"/>
  <c r="AA5" i="11"/>
  <c r="AB5" i="11"/>
  <c r="AC5" i="11"/>
  <c r="AD5" i="11"/>
  <c r="AE5" i="11"/>
  <c r="AF5" i="11"/>
  <c r="AG5" i="11"/>
  <c r="AH5" i="11"/>
  <c r="AI5" i="11"/>
  <c r="AJ5" i="11"/>
  <c r="AK5" i="11"/>
  <c r="R6" i="11"/>
  <c r="S6" i="11"/>
  <c r="T6" i="11"/>
  <c r="U6" i="11"/>
  <c r="V6" i="11"/>
  <c r="W6" i="11"/>
  <c r="X6" i="11"/>
  <c r="Y6" i="11"/>
  <c r="Z6" i="11"/>
  <c r="AA6" i="11"/>
  <c r="AB6" i="11"/>
  <c r="AC6" i="11"/>
  <c r="AD6" i="11"/>
  <c r="AE6" i="11"/>
  <c r="AF6" i="11"/>
  <c r="AG6" i="11"/>
  <c r="AH6" i="11"/>
  <c r="AI6" i="11"/>
  <c r="AJ6" i="11"/>
  <c r="AK6" i="11"/>
  <c r="R7" i="11"/>
  <c r="S7" i="11"/>
  <c r="T7" i="11"/>
  <c r="U7" i="11"/>
  <c r="V7" i="11"/>
  <c r="W7" i="11"/>
  <c r="X7" i="11"/>
  <c r="Y7" i="11"/>
  <c r="Z7" i="11"/>
  <c r="AA7" i="11"/>
  <c r="AB7" i="11"/>
  <c r="AC7" i="11"/>
  <c r="AD7" i="11"/>
  <c r="AE7" i="11"/>
  <c r="AF7" i="11"/>
  <c r="AG7" i="11"/>
  <c r="AH7" i="11"/>
  <c r="AI7" i="11"/>
  <c r="AJ7" i="11"/>
  <c r="AK7" i="11"/>
  <c r="R8" i="11"/>
  <c r="S8" i="11"/>
  <c r="T8" i="11"/>
  <c r="U8" i="11"/>
  <c r="V8" i="11"/>
  <c r="W8" i="11"/>
  <c r="X8" i="11"/>
  <c r="Y8" i="11"/>
  <c r="Z8" i="11"/>
  <c r="AA8" i="11"/>
  <c r="AB8" i="11"/>
  <c r="AC8" i="11"/>
  <c r="AD8" i="11"/>
  <c r="AE8" i="11"/>
  <c r="AF8" i="11"/>
  <c r="AG8" i="11"/>
  <c r="AH8" i="11"/>
  <c r="AI8" i="11"/>
  <c r="AJ8" i="11"/>
  <c r="AK8" i="11"/>
  <c r="R9" i="11"/>
  <c r="S9" i="11"/>
  <c r="T9" i="11"/>
  <c r="U9" i="11"/>
  <c r="V9" i="11"/>
  <c r="W9" i="11"/>
  <c r="X9" i="11"/>
  <c r="Y9" i="11"/>
  <c r="Z9" i="11"/>
  <c r="AA9" i="11"/>
  <c r="AB9" i="11"/>
  <c r="AC9" i="11"/>
  <c r="AD9" i="11"/>
  <c r="AE9" i="11"/>
  <c r="AF9" i="11"/>
  <c r="AG9" i="11"/>
  <c r="AH9" i="11"/>
  <c r="AI9" i="11"/>
  <c r="AJ9" i="11"/>
  <c r="AK9" i="11"/>
  <c r="R10" i="11"/>
  <c r="S10" i="11"/>
  <c r="T10" i="11"/>
  <c r="U10" i="11"/>
  <c r="V10" i="11"/>
  <c r="W10" i="11"/>
  <c r="X10" i="11"/>
  <c r="Y10" i="11"/>
  <c r="Z10" i="11"/>
  <c r="AA10" i="11"/>
  <c r="AB10" i="11"/>
  <c r="AC10" i="11"/>
  <c r="AD10" i="11"/>
  <c r="AE10" i="11"/>
  <c r="AF10" i="11"/>
  <c r="AG10" i="11"/>
  <c r="AH10" i="11"/>
  <c r="AI10" i="11"/>
  <c r="AJ10" i="11"/>
  <c r="AK10" i="11"/>
  <c r="R11" i="11"/>
  <c r="S11" i="11"/>
  <c r="T11" i="11"/>
  <c r="U11" i="11"/>
  <c r="V11" i="11"/>
  <c r="W11" i="11"/>
  <c r="X11" i="11"/>
  <c r="Y11" i="11"/>
  <c r="Z11" i="11"/>
  <c r="AA11" i="11"/>
  <c r="AB11" i="11"/>
  <c r="AC11" i="11"/>
  <c r="AD11" i="11"/>
  <c r="AE11" i="11"/>
  <c r="AF11" i="11"/>
  <c r="AG11" i="11"/>
  <c r="AH11" i="11"/>
  <c r="AI11" i="11"/>
  <c r="AJ11" i="11"/>
  <c r="AK11" i="11"/>
  <c r="R12" i="11"/>
  <c r="S12" i="11"/>
  <c r="T12" i="11"/>
  <c r="U12" i="11"/>
  <c r="V12" i="11"/>
  <c r="W12" i="11"/>
  <c r="X12" i="11"/>
  <c r="Y12" i="11"/>
  <c r="Z12" i="11"/>
  <c r="AA12" i="11"/>
  <c r="AB12" i="11"/>
  <c r="AC12" i="11"/>
  <c r="AD12" i="11"/>
  <c r="AE12" i="11"/>
  <c r="AF12" i="11"/>
  <c r="AG12" i="11"/>
  <c r="AH12" i="11"/>
  <c r="AI12" i="11"/>
  <c r="AJ12" i="11"/>
  <c r="AK12" i="11"/>
  <c r="R13" i="11"/>
  <c r="S13" i="11"/>
  <c r="T13" i="11"/>
  <c r="U13" i="11"/>
  <c r="V13" i="11"/>
  <c r="W13" i="11"/>
  <c r="X13" i="11"/>
  <c r="Y13" i="11"/>
  <c r="Z13" i="11"/>
  <c r="AA13" i="11"/>
  <c r="AB13" i="11"/>
  <c r="AC13" i="11"/>
  <c r="AD13" i="11"/>
  <c r="AE13" i="11"/>
  <c r="AF13" i="11"/>
  <c r="AG13" i="11"/>
  <c r="AH13" i="11"/>
  <c r="AI13" i="11"/>
  <c r="AJ13" i="11"/>
  <c r="AK13" i="11"/>
  <c r="R14" i="11"/>
  <c r="S14" i="11"/>
  <c r="T14" i="11"/>
  <c r="U14" i="11"/>
  <c r="V14" i="11"/>
  <c r="W14" i="11"/>
  <c r="X14" i="11"/>
  <c r="Y14" i="11"/>
  <c r="Z14" i="11"/>
  <c r="AA14" i="11"/>
  <c r="AB14" i="11"/>
  <c r="AC14" i="11"/>
  <c r="AD14" i="11"/>
  <c r="AE14" i="11"/>
  <c r="AF14" i="11"/>
  <c r="AG14" i="11"/>
  <c r="AH14" i="11"/>
  <c r="AI14" i="11"/>
  <c r="AJ14" i="11"/>
  <c r="AK14" i="11"/>
  <c r="D29" i="21"/>
  <c r="E29" i="21" s="1"/>
  <c r="D28" i="21"/>
  <c r="E30" i="21" l="1"/>
  <c r="E38" i="21"/>
  <c r="E39" i="21" s="1"/>
  <c r="C28" i="21"/>
  <c r="E28" i="21" s="1"/>
  <c r="A47" i="21" s="1"/>
  <c r="AK2" i="11" l="1"/>
  <c r="AJ2" i="11"/>
  <c r="AI2" i="11"/>
  <c r="AH2" i="11"/>
  <c r="AG2" i="11"/>
  <c r="AF2" i="11"/>
  <c r="AE2" i="11"/>
  <c r="AD2" i="11"/>
  <c r="AC2" i="11"/>
  <c r="AB2" i="11"/>
  <c r="AA2" i="11"/>
  <c r="Z2" i="11"/>
  <c r="Y2" i="11"/>
  <c r="X2" i="11"/>
  <c r="W2" i="11"/>
  <c r="V2" i="11"/>
  <c r="U2" i="11"/>
  <c r="T2" i="11"/>
  <c r="S2" i="11"/>
  <c r="R2" i="11"/>
  <c r="B2" i="19"/>
  <c r="B3" i="19"/>
  <c r="B4" i="19"/>
  <c r="B5" i="19"/>
  <c r="B6" i="19"/>
  <c r="B9" i="19"/>
  <c r="B10" i="19"/>
  <c r="B11" i="19"/>
  <c r="AK9" i="10"/>
  <c r="AJ9" i="10"/>
  <c r="AI9" i="10"/>
  <c r="AH9" i="10"/>
  <c r="AG9" i="10"/>
  <c r="AF9" i="10"/>
  <c r="AE9" i="10"/>
  <c r="AD9" i="10"/>
  <c r="AC9" i="10"/>
  <c r="AB9" i="10"/>
  <c r="AA9" i="10"/>
  <c r="Z9" i="10"/>
  <c r="Y9" i="10"/>
  <c r="X9" i="10"/>
  <c r="W9" i="10"/>
  <c r="V9" i="10"/>
  <c r="U9" i="10"/>
  <c r="T9" i="10"/>
  <c r="S9" i="10"/>
  <c r="R9" i="10"/>
  <c r="AK17" i="10"/>
  <c r="AJ17" i="10"/>
  <c r="AI17" i="10"/>
  <c r="AH17" i="10"/>
  <c r="AG17" i="10"/>
  <c r="AF17" i="10"/>
  <c r="AE17" i="10"/>
  <c r="AD17" i="10"/>
  <c r="AC17" i="10"/>
  <c r="AB17" i="10"/>
  <c r="AA17" i="10"/>
  <c r="Z17" i="10"/>
  <c r="Y17" i="10"/>
  <c r="X17" i="10"/>
  <c r="W17" i="10"/>
  <c r="V17" i="10"/>
  <c r="U17" i="10"/>
  <c r="T17" i="10"/>
  <c r="S17" i="10"/>
  <c r="R17" i="10"/>
  <c r="F40" i="16"/>
  <c r="E40" i="16"/>
  <c r="D40" i="16"/>
  <c r="F39" i="16"/>
  <c r="D39" i="16" s="1"/>
  <c r="E39" i="16"/>
  <c r="F38" i="16"/>
  <c r="E38" i="16"/>
  <c r="D38" i="16" s="1"/>
  <c r="F37" i="16"/>
  <c r="F41" i="16" s="1"/>
  <c r="E37" i="16"/>
  <c r="E41" i="16" s="1"/>
  <c r="D37" i="16"/>
  <c r="F36" i="16"/>
  <c r="E36" i="16"/>
  <c r="D36" i="16"/>
  <c r="F35" i="16"/>
  <c r="D35" i="16" s="1"/>
  <c r="D41" i="16" s="1"/>
  <c r="E35" i="16"/>
  <c r="F31" i="16"/>
  <c r="E31" i="16"/>
  <c r="D31" i="16"/>
  <c r="E30" i="16"/>
  <c r="E29" i="16"/>
  <c r="F28" i="16"/>
  <c r="E28" i="16"/>
  <c r="D28" i="16"/>
  <c r="F27" i="16"/>
  <c r="E27" i="16"/>
  <c r="D27" i="16"/>
  <c r="F26" i="16"/>
  <c r="D26" i="16" s="1"/>
  <c r="E26" i="16"/>
  <c r="F25" i="16"/>
  <c r="E25" i="16"/>
  <c r="D25" i="16" s="1"/>
  <c r="D32" i="16" s="1"/>
  <c r="F24" i="16"/>
  <c r="F32" i="16" s="1"/>
  <c r="E24" i="16"/>
  <c r="E32" i="16" s="1"/>
  <c r="D24" i="16"/>
  <c r="E15" i="16"/>
  <c r="E14" i="16"/>
  <c r="E13" i="16"/>
  <c r="F12" i="16"/>
  <c r="E12" i="16"/>
  <c r="D12" i="16" s="1"/>
  <c r="F11" i="16"/>
  <c r="E11" i="16"/>
  <c r="D11" i="16"/>
  <c r="E10" i="16"/>
  <c r="F9" i="16"/>
  <c r="F21" i="16" s="1"/>
  <c r="F33" i="16" s="1"/>
  <c r="F43" i="16" s="1"/>
  <c r="E9" i="16"/>
  <c r="D9" i="16"/>
  <c r="E8" i="16"/>
  <c r="E7" i="16"/>
  <c r="E21" i="16" s="1"/>
  <c r="E33" i="16" s="1"/>
  <c r="E43" i="16" s="1"/>
  <c r="B17" i="19" l="1"/>
  <c r="B16" i="19"/>
  <c r="B18" i="19"/>
  <c r="D21" i="16"/>
  <c r="D33" i="16" s="1"/>
  <c r="D43" i="16" s="1"/>
  <c r="B24" i="19" l="1"/>
  <c r="C24" i="19" s="1"/>
  <c r="D24" i="19" s="1"/>
  <c r="E24" i="19" s="1"/>
  <c r="F24" i="19" s="1"/>
  <c r="B22" i="19"/>
  <c r="C22" i="19" s="1"/>
  <c r="D22" i="19" s="1"/>
  <c r="E22" i="19" s="1"/>
  <c r="F22" i="19" s="1"/>
  <c r="B3" i="10" s="1"/>
  <c r="B23" i="19"/>
  <c r="C23" i="19" s="1"/>
  <c r="D23" i="19" s="1"/>
  <c r="E23" i="19" s="1"/>
  <c r="F23" i="19" s="1"/>
  <c r="B4" i="10" s="1"/>
  <c r="S2" i="10"/>
  <c r="T2" i="10"/>
  <c r="U2" i="10"/>
  <c r="V2" i="10"/>
  <c r="W2" i="10"/>
  <c r="X2" i="10"/>
  <c r="Y2" i="10"/>
  <c r="Z2" i="10"/>
  <c r="AA2" i="10"/>
  <c r="AB2" i="10"/>
  <c r="AC2" i="10"/>
  <c r="AD2" i="10"/>
  <c r="AE2" i="10"/>
  <c r="AF2" i="10"/>
  <c r="AG2" i="10"/>
  <c r="AH2" i="10"/>
  <c r="AI2" i="10"/>
  <c r="AJ2" i="10"/>
  <c r="AK2" i="10"/>
  <c r="S5" i="10"/>
  <c r="T5" i="10"/>
  <c r="U5" i="10"/>
  <c r="V5" i="10"/>
  <c r="W5" i="10"/>
  <c r="X5" i="10"/>
  <c r="Y5" i="10"/>
  <c r="Z5" i="10"/>
  <c r="AA5" i="10"/>
  <c r="AB5" i="10"/>
  <c r="AC5" i="10"/>
  <c r="AD5" i="10"/>
  <c r="AE5" i="10"/>
  <c r="AF5" i="10"/>
  <c r="AG5" i="10"/>
  <c r="AH5" i="10"/>
  <c r="AI5" i="10"/>
  <c r="AJ5" i="10"/>
  <c r="AK5" i="10"/>
  <c r="S6" i="10"/>
  <c r="T6" i="10"/>
  <c r="U6" i="10"/>
  <c r="V6" i="10"/>
  <c r="W6" i="10"/>
  <c r="X6" i="10"/>
  <c r="Y6" i="10"/>
  <c r="Z6" i="10"/>
  <c r="AA6" i="10"/>
  <c r="AB6" i="10"/>
  <c r="AC6" i="10"/>
  <c r="AD6" i="10"/>
  <c r="AE6" i="10"/>
  <c r="AF6" i="10"/>
  <c r="AG6" i="10"/>
  <c r="AH6" i="10"/>
  <c r="AI6" i="10"/>
  <c r="AJ6" i="10"/>
  <c r="AK6" i="10"/>
  <c r="S7" i="10"/>
  <c r="T7" i="10"/>
  <c r="U7" i="10"/>
  <c r="V7" i="10"/>
  <c r="W7" i="10"/>
  <c r="X7" i="10"/>
  <c r="Y7" i="10"/>
  <c r="Z7" i="10"/>
  <c r="AA7" i="10"/>
  <c r="AB7" i="10"/>
  <c r="AC7" i="10"/>
  <c r="AD7" i="10"/>
  <c r="AE7" i="10"/>
  <c r="AF7" i="10"/>
  <c r="AG7" i="10"/>
  <c r="AH7" i="10"/>
  <c r="AI7" i="10"/>
  <c r="AJ7" i="10"/>
  <c r="AK7" i="10"/>
  <c r="S8" i="10"/>
  <c r="T8" i="10"/>
  <c r="U8" i="10"/>
  <c r="V8" i="10"/>
  <c r="W8" i="10"/>
  <c r="X8" i="10"/>
  <c r="Y8" i="10"/>
  <c r="Z8" i="10"/>
  <c r="AA8" i="10"/>
  <c r="AB8" i="10"/>
  <c r="AC8" i="10"/>
  <c r="AD8" i="10"/>
  <c r="AE8" i="10"/>
  <c r="AF8" i="10"/>
  <c r="AG8" i="10"/>
  <c r="AH8" i="10"/>
  <c r="AI8" i="10"/>
  <c r="AJ8" i="10"/>
  <c r="AK8" i="10"/>
  <c r="S12" i="10"/>
  <c r="T12" i="10"/>
  <c r="U12" i="10"/>
  <c r="V12" i="10"/>
  <c r="W12" i="10"/>
  <c r="X12" i="10"/>
  <c r="Y12" i="10"/>
  <c r="Z12" i="10"/>
  <c r="AA12" i="10"/>
  <c r="AB12" i="10"/>
  <c r="AC12" i="10"/>
  <c r="AD12" i="10"/>
  <c r="AE12" i="10"/>
  <c r="AF12" i="10"/>
  <c r="AG12" i="10"/>
  <c r="AH12" i="10"/>
  <c r="AI12" i="10"/>
  <c r="AJ12" i="10"/>
  <c r="AK12" i="10"/>
  <c r="S13" i="10"/>
  <c r="T13" i="10"/>
  <c r="U13" i="10"/>
  <c r="V13" i="10"/>
  <c r="W13" i="10"/>
  <c r="X13" i="10"/>
  <c r="Y13" i="10"/>
  <c r="Z13" i="10"/>
  <c r="AA13" i="10"/>
  <c r="AB13" i="10"/>
  <c r="AC13" i="10"/>
  <c r="AD13" i="10"/>
  <c r="AE13" i="10"/>
  <c r="AF13" i="10"/>
  <c r="AG13" i="10"/>
  <c r="AH13" i="10"/>
  <c r="AI13" i="10"/>
  <c r="AJ13" i="10"/>
  <c r="AK13" i="10"/>
  <c r="S15" i="10"/>
  <c r="T15" i="10"/>
  <c r="U15" i="10"/>
  <c r="V15" i="10"/>
  <c r="W15" i="10"/>
  <c r="X15" i="10"/>
  <c r="Y15" i="10"/>
  <c r="Z15" i="10"/>
  <c r="AA15" i="10"/>
  <c r="AB15" i="10"/>
  <c r="AC15" i="10"/>
  <c r="AD15" i="10"/>
  <c r="AE15" i="10"/>
  <c r="AF15" i="10"/>
  <c r="AG15" i="10"/>
  <c r="AH15" i="10"/>
  <c r="AI15" i="10"/>
  <c r="AJ15" i="10"/>
  <c r="AK15" i="10"/>
  <c r="S16" i="10"/>
  <c r="T16" i="10"/>
  <c r="U16" i="10"/>
  <c r="V16" i="10"/>
  <c r="W16" i="10"/>
  <c r="X16" i="10"/>
  <c r="Y16" i="10"/>
  <c r="Z16" i="10"/>
  <c r="AA16" i="10"/>
  <c r="AB16" i="10"/>
  <c r="AC16" i="10"/>
  <c r="AD16" i="10"/>
  <c r="AE16" i="10"/>
  <c r="AF16" i="10"/>
  <c r="AG16" i="10"/>
  <c r="AH16" i="10"/>
  <c r="AI16" i="10"/>
  <c r="AJ16" i="10"/>
  <c r="AK16" i="10"/>
  <c r="R5" i="10"/>
  <c r="R6" i="10"/>
  <c r="R7" i="10"/>
  <c r="R8" i="10"/>
  <c r="R12" i="10"/>
  <c r="R13" i="10"/>
  <c r="R15" i="10"/>
  <c r="R16" i="10"/>
  <c r="R2" i="10"/>
  <c r="AI4" i="10" l="1"/>
  <c r="AE4" i="10"/>
  <c r="AA4" i="10"/>
  <c r="W4" i="10"/>
  <c r="S4" i="10"/>
  <c r="O4" i="10"/>
  <c r="K4" i="10"/>
  <c r="G4" i="10"/>
  <c r="C4" i="10"/>
  <c r="AH4" i="10"/>
  <c r="AD4" i="10"/>
  <c r="Z4" i="10"/>
  <c r="V4" i="10"/>
  <c r="R4" i="10"/>
  <c r="N4" i="10"/>
  <c r="J4" i="10"/>
  <c r="F4" i="10"/>
  <c r="AK4" i="10"/>
  <c r="AC4" i="10"/>
  <c r="U4" i="10"/>
  <c r="M4" i="10"/>
  <c r="E4" i="10"/>
  <c r="AJ4" i="10"/>
  <c r="AB4" i="10"/>
  <c r="T4" i="10"/>
  <c r="L4" i="10"/>
  <c r="D4" i="10"/>
  <c r="AG4" i="10"/>
  <c r="Y4" i="10"/>
  <c r="Q4" i="10"/>
  <c r="I4" i="10"/>
  <c r="AF4" i="10"/>
  <c r="X4" i="10"/>
  <c r="P4" i="10"/>
  <c r="H4" i="10"/>
  <c r="G3" i="10"/>
  <c r="K3" i="10"/>
  <c r="O3" i="10"/>
  <c r="S3" i="10"/>
  <c r="W3" i="10"/>
  <c r="AA3" i="10"/>
  <c r="AE3" i="10"/>
  <c r="AI3" i="10"/>
  <c r="D3" i="10"/>
  <c r="H3" i="10"/>
  <c r="L3" i="10"/>
  <c r="P3" i="10"/>
  <c r="T3" i="10"/>
  <c r="I3" i="10"/>
  <c r="Q3" i="10"/>
  <c r="X3" i="10"/>
  <c r="AC3" i="10"/>
  <c r="AH3" i="10"/>
  <c r="R3" i="10"/>
  <c r="J3" i="10"/>
  <c r="AD3" i="10"/>
  <c r="E3" i="10"/>
  <c r="M3" i="10"/>
  <c r="U3" i="10"/>
  <c r="Z3" i="10"/>
  <c r="AF3" i="10"/>
  <c r="AK3" i="10"/>
  <c r="F3" i="10"/>
  <c r="N3" i="10"/>
  <c r="V3" i="10"/>
  <c r="AB3" i="10"/>
  <c r="AG3" i="10"/>
  <c r="C3" i="10"/>
  <c r="Y3" i="10"/>
  <c r="AJ3" i="10"/>
  <c r="B14" i="10"/>
  <c r="B11" i="10"/>
  <c r="B10" i="10"/>
  <c r="AJ10" i="10" l="1"/>
  <c r="AF10" i="10"/>
  <c r="AB10" i="10"/>
  <c r="X10" i="10"/>
  <c r="T10" i="10"/>
  <c r="P10" i="10"/>
  <c r="L10" i="10"/>
  <c r="H10" i="10"/>
  <c r="D10" i="10"/>
  <c r="AI10" i="10"/>
  <c r="AE10" i="10"/>
  <c r="AA10" i="10"/>
  <c r="W10" i="10"/>
  <c r="S10" i="10"/>
  <c r="O10" i="10"/>
  <c r="K10" i="10"/>
  <c r="G10" i="10"/>
  <c r="C10" i="10"/>
  <c r="AH10" i="10"/>
  <c r="Z10" i="10"/>
  <c r="R10" i="10"/>
  <c r="J10" i="10"/>
  <c r="AG10" i="10"/>
  <c r="Y10" i="10"/>
  <c r="Q10" i="10"/>
  <c r="I10" i="10"/>
  <c r="AD10" i="10"/>
  <c r="V10" i="10"/>
  <c r="N10" i="10"/>
  <c r="F10" i="10"/>
  <c r="AK10" i="10"/>
  <c r="AC10" i="10"/>
  <c r="U10" i="10"/>
  <c r="M10" i="10"/>
  <c r="E10" i="10"/>
  <c r="AK11" i="10"/>
  <c r="AG11" i="10"/>
  <c r="AC11" i="10"/>
  <c r="Y11" i="10"/>
  <c r="U11" i="10"/>
  <c r="Q11" i="10"/>
  <c r="M11" i="10"/>
  <c r="I11" i="10"/>
  <c r="E11" i="10"/>
  <c r="AJ11" i="10"/>
  <c r="AF11" i="10"/>
  <c r="AB11" i="10"/>
  <c r="X11" i="10"/>
  <c r="T11" i="10"/>
  <c r="P11" i="10"/>
  <c r="L11" i="10"/>
  <c r="H11" i="10"/>
  <c r="D11" i="10"/>
  <c r="AE11" i="10"/>
  <c r="W11" i="10"/>
  <c r="O11" i="10"/>
  <c r="G11" i="10"/>
  <c r="AD11" i="10"/>
  <c r="V11" i="10"/>
  <c r="N11" i="10"/>
  <c r="F11" i="10"/>
  <c r="AI11" i="10"/>
  <c r="AA11" i="10"/>
  <c r="S11" i="10"/>
  <c r="K11" i="10"/>
  <c r="C11" i="10"/>
  <c r="AH11" i="10"/>
  <c r="Z11" i="10"/>
  <c r="R11" i="10"/>
  <c r="J11" i="10"/>
  <c r="AH14" i="10"/>
  <c r="AD14" i="10"/>
  <c r="Z14" i="10"/>
  <c r="V14" i="10"/>
  <c r="R14" i="10"/>
  <c r="N14" i="10"/>
  <c r="J14" i="10"/>
  <c r="F14" i="10"/>
  <c r="AK14" i="10"/>
  <c r="AG14" i="10"/>
  <c r="AC14" i="10"/>
  <c r="Y14" i="10"/>
  <c r="U14" i="10"/>
  <c r="Q14" i="10"/>
  <c r="M14" i="10"/>
  <c r="I14" i="10"/>
  <c r="E14" i="10"/>
  <c r="AJ14" i="10"/>
  <c r="AB14" i="10"/>
  <c r="T14" i="10"/>
  <c r="L14" i="10"/>
  <c r="D14" i="10"/>
  <c r="AI14" i="10"/>
  <c r="AA14" i="10"/>
  <c r="S14" i="10"/>
  <c r="K14" i="10"/>
  <c r="C14" i="10"/>
  <c r="AF14" i="10"/>
  <c r="X14" i="10"/>
  <c r="P14" i="10"/>
  <c r="H14" i="10"/>
  <c r="AE14" i="10"/>
  <c r="W14" i="10"/>
  <c r="O14" i="10"/>
  <c r="G14" i="10"/>
</calcChain>
</file>

<file path=xl/sharedStrings.xml><?xml version="1.0" encoding="utf-8"?>
<sst xmlns="http://schemas.openxmlformats.org/spreadsheetml/2006/main" count="584" uniqueCount="347">
  <si>
    <t>Source:</t>
  </si>
  <si>
    <t>Total</t>
  </si>
  <si>
    <t>solar</t>
  </si>
  <si>
    <t>wind</t>
  </si>
  <si>
    <t>hydro</t>
  </si>
  <si>
    <t>coal</t>
  </si>
  <si>
    <t>natural gas</t>
  </si>
  <si>
    <t>nuclear</t>
  </si>
  <si>
    <t>biofuel gasoline</t>
  </si>
  <si>
    <t>biofuel diesel</t>
  </si>
  <si>
    <t>Notes</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</si>
  <si>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</si>
  <si>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</si>
  <si>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</si>
  <si>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</si>
  <si>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</si>
  <si>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</si>
  <si>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</si>
  <si>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</si>
  <si>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</si>
  <si>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</si>
  <si>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</si>
  <si>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nuclear ($/MWh)</t>
  </si>
  <si>
    <t>hydro ($/MWh)</t>
  </si>
  <si>
    <t>BS BAU Subsidy per Unit Electricity Output</t>
  </si>
  <si>
    <t>BS BAU Subsidy for Thermal Fuels per Energy Unit Produced</t>
  </si>
  <si>
    <t>heat</t>
  </si>
  <si>
    <t>solar PV ($/MWh)</t>
  </si>
  <si>
    <t>solar thermal ($/MWh)</t>
  </si>
  <si>
    <t>Coal</t>
  </si>
  <si>
    <t>Source</t>
  </si>
  <si>
    <t>Nuclear</t>
  </si>
  <si>
    <t>Natural Gas</t>
  </si>
  <si>
    <t>geothermal</t>
  </si>
  <si>
    <t>biomass ($/MWh)</t>
  </si>
  <si>
    <t>natural gas nonpeaker ($/MWh)</t>
  </si>
  <si>
    <t>petroleum ($/MWh)</t>
  </si>
  <si>
    <t>geothermal ($/MWh)</t>
  </si>
  <si>
    <t>natural gas peaker ($/MWh)</t>
  </si>
  <si>
    <t>lignite ($/BTU)</t>
  </si>
  <si>
    <t>lignite ($/MWh)</t>
  </si>
  <si>
    <t>offshore wind ($/MWh)</t>
  </si>
  <si>
    <t>hard coal ($/BTU)</t>
  </si>
  <si>
    <t>hard coal ($/MWh)</t>
  </si>
  <si>
    <t>onshore wind ($/MWh)</t>
  </si>
  <si>
    <r>
      <t>National subsidies (</t>
    </r>
    <r>
      <rPr>
        <b/>
        <sz val="10"/>
        <color indexed="62"/>
        <rFont val="Arial"/>
        <family val="2"/>
      </rPr>
      <t xml:space="preserve">million </t>
    </r>
    <r>
      <rPr>
        <b/>
        <sz val="10"/>
        <color rgb="FF4F81BD"/>
        <rFont val="Arial"/>
        <family val="2"/>
      </rPr>
      <t>USD  - except where otherwise indicated)</t>
    </r>
  </si>
  <si>
    <t>Subsidy</t>
  </si>
  <si>
    <t>Subsidy type</t>
  </si>
  <si>
    <t>Targeted energy source</t>
  </si>
  <si>
    <t xml:space="preserve">Estimated annual amount, million USD </t>
  </si>
  <si>
    <t>2013 estimate</t>
  </si>
  <si>
    <t>2014 estimate</t>
  </si>
  <si>
    <t>Stage: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</si>
  <si>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</si>
  <si>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</si>
  <si>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</si>
  <si>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</si>
  <si>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</si>
  <si>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</si>
  <si>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</si>
  <si>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</si>
  <si>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</si>
  <si>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</si>
  <si>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</si>
  <si>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</si>
  <si>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</si>
  <si>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</si>
  <si>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</si>
  <si>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</si>
  <si>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</si>
  <si>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</si>
  <si>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</si>
  <si>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</si>
  <si>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</si>
  <si>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</si>
  <si>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</si>
  <si>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</si>
  <si>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</si>
  <si>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</si>
  <si>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 xml:space="preserve">Canadian Exploration Expense </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</si>
  <si>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</si>
  <si>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</si>
  <si>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</si>
  <si>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</si>
  <si>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</si>
  <si>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</si>
  <si>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</si>
  <si>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</si>
  <si>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</si>
  <si>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</si>
  <si>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</si>
  <si>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</si>
  <si>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</si>
  <si>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</si>
  <si>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</si>
  <si>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</si>
  <si>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</si>
  <si>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</si>
  <si>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</si>
  <si>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</si>
  <si>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</si>
  <si>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</si>
  <si>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</si>
  <si>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</si>
  <si>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</si>
  <si>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</si>
  <si>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</si>
  <si>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</si>
  <si>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</si>
  <si>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</si>
  <si>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</si>
  <si>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</si>
  <si>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</si>
  <si>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</si>
  <si>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</si>
  <si>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</si>
  <si>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</si>
  <si>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</si>
  <si>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</si>
  <si>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</si>
  <si>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</si>
  <si>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</si>
  <si>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</si>
  <si>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</si>
  <si>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</si>
  <si>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</si>
  <si>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</si>
  <si>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</si>
  <si>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</si>
  <si>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Overseas Development Institute</t>
  </si>
  <si>
    <t>The fossil fuel bailout: G20 subsidies to oil, gas and coal exploration: Canada data sheet</t>
  </si>
  <si>
    <t>https://www.odi.org/sites/odi.org.uk/files/odi-assets/publications-opinion-files/9991.xlsx</t>
  </si>
  <si>
    <t>Other Renewables and Landfill Gas</t>
  </si>
  <si>
    <t>Hydro</t>
  </si>
  <si>
    <t>Coal, Coke and Coke Oven Gas</t>
  </si>
  <si>
    <t>RPP</t>
  </si>
  <si>
    <t>2040</t>
  </si>
  <si>
    <t>2039</t>
  </si>
  <si>
    <t>2038</t>
  </si>
  <si>
    <t>2037</t>
  </si>
  <si>
    <t>2036</t>
  </si>
  <si>
    <t>2035</t>
  </si>
  <si>
    <t>2034</t>
  </si>
  <si>
    <t>2033</t>
  </si>
  <si>
    <t>2032</t>
  </si>
  <si>
    <t>2031</t>
  </si>
  <si>
    <t>2030</t>
  </si>
  <si>
    <t>2029</t>
  </si>
  <si>
    <t>2028</t>
  </si>
  <si>
    <t>2027</t>
  </si>
  <si>
    <t>2026</t>
  </si>
  <si>
    <t>2025</t>
  </si>
  <si>
    <t>2024</t>
  </si>
  <si>
    <t>2023</t>
  </si>
  <si>
    <t>2022</t>
  </si>
  <si>
    <t>2021</t>
  </si>
  <si>
    <t>2020</t>
  </si>
  <si>
    <t>2019</t>
  </si>
  <si>
    <t>2018</t>
  </si>
  <si>
    <t>2017</t>
  </si>
  <si>
    <t>2016</t>
  </si>
  <si>
    <t>2015</t>
  </si>
  <si>
    <t>2014</t>
  </si>
  <si>
    <t>2013</t>
  </si>
  <si>
    <t>2012</t>
  </si>
  <si>
    <t>2011</t>
  </si>
  <si>
    <t>2010</t>
  </si>
  <si>
    <t>2009</t>
  </si>
  <si>
    <t>2008</t>
  </si>
  <si>
    <t>2007</t>
  </si>
  <si>
    <t>2006</t>
  </si>
  <si>
    <t>2005</t>
  </si>
  <si>
    <t>_</t>
  </si>
  <si>
    <t>Primary Demand</t>
  </si>
  <si>
    <t>Less Electricity and Steam Secondary Demand</t>
  </si>
  <si>
    <t>Electric and Steam Generation</t>
  </si>
  <si>
    <t>Select Region: Canada</t>
  </si>
  <si>
    <t>Select Case: Reference</t>
  </si>
  <si>
    <t>Select Appendices: Primary Energy Demand</t>
  </si>
  <si>
    <t>Select Report Version: Canada’s Energy Future 2016</t>
  </si>
  <si>
    <t>petroleum</t>
  </si>
  <si>
    <t>Subsidy Totals, 2013 (Million USD)</t>
  </si>
  <si>
    <t>Primary Energy by Fuel, 2013 (PJ)</t>
  </si>
  <si>
    <t>Subsidy Amount per Unit Fuel</t>
  </si>
  <si>
    <t>We assign subsidies that apply to more than one fuel in proportion to the</t>
  </si>
  <si>
    <t>quantity of that fuel used.</t>
  </si>
  <si>
    <t>Canada fossil fuel primary energy quantities</t>
  </si>
  <si>
    <t>National Energy Board</t>
  </si>
  <si>
    <t>Canada's Energy Future 2016</t>
  </si>
  <si>
    <t>https://apps.neb-one.gc.ca/ftrppndc/dflt.aspx?GoCTemplateCulture=en-CA</t>
  </si>
  <si>
    <t>Table "Primary Energy Demand"</t>
  </si>
  <si>
    <t>Conversion factors</t>
  </si>
  <si>
    <t>2015 USD per 2013 USD</t>
  </si>
  <si>
    <t>2015 CAD per USD</t>
  </si>
  <si>
    <t>BTU per Petajoule</t>
  </si>
  <si>
    <t>M 2013 USD / PJ</t>
  </si>
  <si>
    <t>2013 USD / PJ</t>
  </si>
  <si>
    <t>2015 USD / PJ</t>
  </si>
  <si>
    <t>2015 CAD / PJ</t>
  </si>
  <si>
    <t>2015 CAD / BTU</t>
  </si>
  <si>
    <t>Subsidy Amount by Fuel (Million USD)</t>
  </si>
  <si>
    <t>In Canada, RE subsidy programs exist at the provincial level.</t>
  </si>
  <si>
    <t>No federal-level subsidies exist.</t>
  </si>
  <si>
    <t>Province/Territory</t>
  </si>
  <si>
    <t>Alberta</t>
  </si>
  <si>
    <t>British Columbia</t>
  </si>
  <si>
    <t>Manitoba</t>
  </si>
  <si>
    <t>New Brunswick</t>
  </si>
  <si>
    <t>Northwest Territories</t>
  </si>
  <si>
    <t>Nova Scotia</t>
  </si>
  <si>
    <t>Nunavut</t>
  </si>
  <si>
    <t>Ontario</t>
  </si>
  <si>
    <t>Prince Edward Island</t>
  </si>
  <si>
    <t>Quebec</t>
  </si>
  <si>
    <t>Newfoundland and Labrador</t>
  </si>
  <si>
    <t>Yukon</t>
  </si>
  <si>
    <t>Saskatchewan</t>
  </si>
  <si>
    <t>Program</t>
  </si>
  <si>
    <t>Details</t>
  </si>
  <si>
    <t>https://www.efficiencyalberta.ca/solar/</t>
  </si>
  <si>
    <t>Alberta Residential &amp; Commercial Solar Program</t>
  </si>
  <si>
    <t>On-Farm Solar Photovoltaics Program</t>
  </si>
  <si>
    <t>Payment</t>
  </si>
  <si>
    <t>http://www.growingforward.alberta.ca/Programs/index.htm?contentId=ON_FARM_SOLAR_PRG&amp;useSecondary=true</t>
  </si>
  <si>
    <t>$0.75/watt or $0.56/watt</t>
  </si>
  <si>
    <t>$0.75/watt</t>
  </si>
  <si>
    <t>http://www.mccac.ca/programs/AMSP</t>
  </si>
  <si>
    <t>$0.55-0.90/watt</t>
  </si>
  <si>
    <t>Alberta Municipal Solar Program (AMSP)</t>
  </si>
  <si>
    <t>PST (Sales Tax) Exemption</t>
  </si>
  <si>
    <t>5% of equipment cost</t>
  </si>
  <si>
    <t>https://www2.gov.bc.ca/assets/gov/taxes/sales-taxes/publications/pst-203-energy-conservation-ice-fund-tax.pdf</t>
  </si>
  <si>
    <t>Solar Energy Program</t>
  </si>
  <si>
    <t>$1/watt</t>
  </si>
  <si>
    <t>Program End Date</t>
  </si>
  <si>
    <t>https://www.hydro.mb.ca/environment/solar.shtml</t>
  </si>
  <si>
    <t>none found</t>
  </si>
  <si>
    <t>https://www.nbpower.com/media/688103/2-program-guide-vs-56-november-14-2016.pdf</t>
  </si>
  <si>
    <t>Energy Smart Commercial Buildings Retrofit Program</t>
  </si>
  <si>
    <t>Up to $75k/bldg</t>
  </si>
  <si>
    <t>none</t>
  </si>
  <si>
    <t>specific RE projects, selected by application</t>
  </si>
  <si>
    <t>Community Renewable Energy Program</t>
  </si>
  <si>
    <t>http://aea.nt.ca/files/download/16f4554461d5720</t>
  </si>
  <si>
    <t>Applies to</t>
  </si>
  <si>
    <t>solar PV eqpt.</t>
  </si>
  <si>
    <t>FIT (Feed-in Tariff) Program</t>
  </si>
  <si>
    <t>Micro-FIT Program</t>
  </si>
  <si>
    <t>http://www.ieso.ca/get-involved/microfit/news-overview</t>
  </si>
  <si>
    <t>&lt;500kW RE systems, selected by application</t>
  </si>
  <si>
    <t>&lt;10kW RE systems, selected by application</t>
  </si>
  <si>
    <t>http://www.ieso.ca/en/sector-participants/feed-in-tariff-program/overview</t>
  </si>
  <si>
    <t>$165-311/MWh, see http://www.ieso.ca/-/media/files/ieso/document-library/fit/2017-fit-price-schedule.pdf?la=en</t>
  </si>
  <si>
    <t>Heating with Green Power</t>
  </si>
  <si>
    <t>RenoVert Tax Credit</t>
  </si>
  <si>
    <t>Up to $10k/bldg</t>
  </si>
  <si>
    <t>building rennovation, including solar panels</t>
  </si>
  <si>
    <t>building rennovation, including distributed RE</t>
  </si>
  <si>
    <t>https://www.revenuquebec.ca/en/citizens/tax-credits/renovert-tax-credit/</t>
  </si>
  <si>
    <t>Up to $1275/home</t>
  </si>
  <si>
    <t>home air and water heater replacement</t>
  </si>
  <si>
    <t>http://www4.gouv.qc.ca/en/Portail/citoyens/programme-service/Pages/Info.aspx?sqctype=sujet&amp;sqcid=2934</t>
  </si>
  <si>
    <t>Solar or Wind-powered Water Pump Grant for Farms</t>
  </si>
  <si>
    <t>Small Power Producers Program</t>
  </si>
  <si>
    <t>Net Metering Rebate</t>
  </si>
  <si>
    <t>Up to $20k</t>
  </si>
  <si>
    <t>http://www.saskpower.com/efficiency-programs-and-tips/generate-your-own-power/self-generation-programs/net-metering-program/</t>
  </si>
  <si>
    <t>RE and flare gas projects</t>
  </si>
  <si>
    <t>&lt;100kW</t>
  </si>
  <si>
    <t>http://www.saskpower.com/efficiency-programs-and-tips/generate-your-own-power/self-generation-programs/small-power-producers-program/</t>
  </si>
  <si>
    <t>closed, limit reached</t>
  </si>
  <si>
    <t>10.82¢/kWh</t>
  </si>
  <si>
    <t>Up to $500</t>
  </si>
  <si>
    <t>solar or wind-powered water pumps</t>
  </si>
  <si>
    <t>http://www.saskpower.com/efficiency-programs-and-tips/business-programs-and-offers/solar-or-wind-powered-water-pump-grant/</t>
  </si>
  <si>
    <t>Micro-Generation Program</t>
  </si>
  <si>
    <t>http://www.energy.gov.yk.ca/microgeneration.html</t>
  </si>
  <si>
    <t>RE systems &lt;5kw, or up to 50kW w/ preapproval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</si>
  <si>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</si>
  <si>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</si>
  <si>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</si>
  <si>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</si>
  <si>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</si>
  <si>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</si>
  <si>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http://goodenergyyukon.ca/energy-systems</t>
  </si>
  <si>
    <t>$800/kW, up to $5000</t>
  </si>
  <si>
    <t>Canada fossil fuel subsidies</t>
  </si>
  <si>
    <t>The source on fossil fuel subsidies from the Overseas Development Institute also includes info</t>
  </si>
  <si>
    <t>on public financing for coal, oil, and gas projects, but we exclude the public financing, as it is</t>
  </si>
  <si>
    <t>for export projects, and we are concerned about subsidies for energy used within Canada.</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</si>
  <si>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</si>
  <si>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</si>
  <si>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</si>
  <si>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</si>
  <si>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</si>
  <si>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</si>
  <si>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</si>
  <si>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</si>
  <si>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</si>
  <si>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</si>
  <si>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</si>
  <si>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</si>
  <si>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</si>
  <si>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Total Electricity Generation by Province/Territory, 2016 (GWh)</t>
  </si>
  <si>
    <t>RE Subsidy Programs by Province</t>
  </si>
  <si>
    <t>See "CAN RE subsidy programs" tab</t>
  </si>
  <si>
    <t>An overview is available at the following link, while the official program pages or guides are available at the links in the table below.</t>
  </si>
  <si>
    <t>http://sunmetrix.com/solar-tax-credits-incentives-and-solar-rebates-in-canada/</t>
  </si>
  <si>
    <t>Electricity Generation by Province/Territory</t>
  </si>
  <si>
    <t>Canada's Energy Future 2016, Data Explorer</t>
  </si>
  <si>
    <t>https://apps2.neb-one.gc.ca/dvs/?page=viz1&amp;mainSelection=electricityGeneration&amp;unit=gigawattHours&amp;scenario=reference&amp;provinces=AB,BC,MB,NB,NL,NS,NT,NU,ON,PE,QC,YT,SK&amp;provincesInOrder=AB,BC,MB,NB,NL,NS,NT,NU,ON,PE,QC,SK,YT&amp;dataset=jan2016&amp;language=en</t>
  </si>
  <si>
    <t>Set up the chart, then use "Download Data" link at the bottom</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</si>
  <si>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</si>
  <si>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</si>
  <si>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</si>
  <si>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</si>
  <si>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</si>
  <si>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</si>
  <si>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</si>
  <si>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2018 or earlier are disregarded.</t>
  </si>
  <si>
    <t>$/MW</t>
  </si>
  <si>
    <t>Incentive levels are weighted by electricity generation in each province/territory.</t>
  </si>
  <si>
    <t>5% of eqpt cost</t>
  </si>
  <si>
    <t>Solar PV system cost (CAD 2015$/MW)</t>
  </si>
  <si>
    <t>$192/MWh</t>
  </si>
  <si>
    <t>none qualifies</t>
  </si>
  <si>
    <t>Up to $25k/system, no wattage formula</t>
  </si>
  <si>
    <t>$0.21 or 0.30/kWh depending on displaced energy type</t>
  </si>
  <si>
    <t>$0.21 or 0.30/kWh</t>
  </si>
  <si>
    <t>$/MWh</t>
  </si>
  <si>
    <t>$5000/system</t>
  </si>
  <si>
    <t>Northwest Territories doesn't have a formula relating the payout to the system capacity.</t>
  </si>
  <si>
    <t>Payout amounts are done for individual projects by application.</t>
  </si>
  <si>
    <t>Accordingly, we assume Northwest Territories' payout rate is the same as Yukon's.</t>
  </si>
  <si>
    <t>(see bldgs/CpUDSC for source and details)</t>
  </si>
  <si>
    <t>Hours</t>
  </si>
  <si>
    <t>Payment Description</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</si>
  <si>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</si>
  <si>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</si>
  <si>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</si>
  <si>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</si>
  <si>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</si>
  <si>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</si>
  <si>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</si>
  <si>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We calculate a generation-weighted average of provincial and territorial subsidy rates for</t>
  </si>
  <si>
    <t>RE generation, but we choose not to use it in the output tables for this variable.  See the</t>
  </si>
  <si>
    <t>"CAN RE Calculations" tab for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</si>
</sst>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7" formatCode="_-* #,##0.00_-;\-* #,##0.00_-;_-* &quot;-&quot;??_-;_-@_-"/>
    <numFmt numFmtId="171" formatCode="0.000E+00"/>
  </numFmts>
  <fonts count="1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7" fontId="6" fillId="0" borderId="0" applyFont="0" applyFill="0" applyBorder="0" applyAlignment="0" applyProtection="0"/>
    <xf numFmtId="0" fontId="16" fillId="0" borderId="0" applyBorder="0"/>
  </cellStyleXfs>
  <cellXfs count="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0" fillId="0" borderId="0" xfId="0" applyFill="1"/>
    <xf numFmtId="0" fontId="0" fillId="0" borderId="0" xfId="0" applyAlignment="1"/>
    <xf numFmtId="0" fontId="1" fillId="3" borderId="0" xfId="0" applyFont="1" applyFill="1"/>
    <xf numFmtId="0" fontId="0" fillId="0" borderId="0" xfId="0"/>
    <xf numFmtId="0" fontId="5" fillId="0" borderId="0" xfId="0" applyFont="1"/>
    <xf numFmtId="11" fontId="0" fillId="0" borderId="0" xfId="0" applyNumberFormat="1" applyAlignment="1"/>
    <xf numFmtId="0" fontId="7" fillId="0" borderId="0" xfId="7" applyFont="1" applyBorder="1" applyAlignment="1">
      <alignment horizontal="left" vertical="center"/>
    </xf>
    <xf numFmtId="0" fontId="9" fillId="0" borderId="0" xfId="7" applyFont="1"/>
    <xf numFmtId="0" fontId="9" fillId="0" borderId="5" xfId="7" applyFont="1" applyBorder="1" applyAlignment="1">
      <alignment vertical="center"/>
    </xf>
    <xf numFmtId="0" fontId="9" fillId="0" borderId="6"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xf numFmtId="0" fontId="9" fillId="0" borderId="0" xfId="7" applyFont="1" applyAlignment="1"/>
    <xf numFmtId="0" fontId="9" fillId="0" borderId="7" xfId="7" applyFont="1" applyBorder="1" applyAlignment="1">
      <alignment horizontal="center" vertical="center" wrapText="1"/>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Fill="1" applyBorder="1" applyAlignment="1">
      <alignment horizontal="right" vertical="center"/>
    </xf>
    <xf numFmtId="1" fontId="9" fillId="0" borderId="5" xfId="7" applyNumberFormat="1" applyFont="1" applyBorder="1" applyAlignment="1">
      <alignment vertical="center"/>
    </xf>
    <xf numFmtId="1" fontId="10" fillId="0" borderId="5" xfId="7" applyNumberFormat="1" applyFont="1" applyFill="1" applyBorder="1" applyAlignment="1">
      <alignment vertical="center"/>
    </xf>
    <xf numFmtId="1" fontId="9" fillId="0" borderId="5" xfId="7" applyNumberFormat="1" applyFont="1" applyFill="1" applyBorder="1" applyAlignment="1">
      <alignment vertical="center"/>
    </xf>
    <xf numFmtId="0" fontId="9" fillId="0" borderId="5" xfId="7" applyFont="1" applyFill="1" applyBorder="1" applyAlignment="1">
      <alignment vertical="center"/>
    </xf>
    <xf numFmtId="0" fontId="10" fillId="0" borderId="5" xfId="7" applyFont="1" applyBorder="1" applyAlignment="1">
      <alignment horizontal="right" vertical="center"/>
    </xf>
    <xf numFmtId="1" fontId="10" fillId="0" borderId="5" xfId="7" applyNumberFormat="1" applyFont="1" applyBorder="1" applyAlignment="1">
      <alignment horizontal="right" vertical="center"/>
    </xf>
    <xf numFmtId="0" fontId="9" fillId="0" borderId="8" xfId="7" applyFont="1" applyBorder="1" applyAlignment="1">
      <alignment vertical="center"/>
    </xf>
    <xf numFmtId="0" fontId="10" fillId="0" borderId="8" xfId="7" applyFont="1" applyBorder="1" applyAlignment="1">
      <alignment horizontal="right" vertical="center"/>
    </xf>
    <xf numFmtId="1" fontId="10" fillId="0" borderId="8" xfId="7" applyNumberFormat="1"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1" fillId="0" borderId="0" xfId="7" applyFont="1" applyAlignment="1"/>
    <xf numFmtId="0" fontId="11" fillId="0" borderId="0" xfId="7" applyFont="1"/>
    <xf numFmtId="0" fontId="12" fillId="0" borderId="7" xfId="7" applyFont="1" applyBorder="1" applyAlignment="1">
      <alignment vertical="center" wrapText="1"/>
    </xf>
    <xf numFmtId="0" fontId="12" fillId="0" borderId="5" xfId="7" applyFont="1" applyBorder="1"/>
    <xf numFmtId="0" fontId="12" fillId="0" borderId="7" xfId="7" applyFont="1" applyBorder="1" applyAlignment="1">
      <alignment vertical="center"/>
    </xf>
    <xf numFmtId="1" fontId="12" fillId="4" borderId="5" xfId="7" applyNumberFormat="1" applyFont="1" applyFill="1" applyBorder="1"/>
    <xf numFmtId="1" fontId="14" fillId="0" borderId="7" xfId="7" applyNumberFormat="1" applyFont="1" applyBorder="1" applyAlignment="1">
      <alignment vertical="center"/>
    </xf>
    <xf numFmtId="0" fontId="12" fillId="0" borderId="0" xfId="7" applyFont="1"/>
    <xf numFmtId="1" fontId="12" fillId="0" borderId="5" xfId="7" applyNumberFormat="1" applyFont="1" applyBorder="1"/>
    <xf numFmtId="1" fontId="14" fillId="0" borderId="5" xfId="7" applyNumberFormat="1" applyFont="1" applyBorder="1" applyAlignment="1">
      <alignment vertical="center"/>
    </xf>
    <xf numFmtId="0" fontId="12" fillId="0" borderId="0" xfId="7" applyFont="1" applyAlignment="1"/>
    <xf numFmtId="0" fontId="12" fillId="0" borderId="5" xfId="7" applyFont="1" applyFill="1" applyBorder="1" applyAlignment="1">
      <alignment vertical="center"/>
    </xf>
    <xf numFmtId="0" fontId="12" fillId="0" borderId="5" xfId="7" applyFont="1" applyBorder="1" applyAlignment="1">
      <alignment vertical="center" wrapText="1"/>
    </xf>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1" fontId="9" fillId="0" borderId="5" xfId="7" applyNumberFormat="1" applyFont="1" applyBorder="1" applyAlignment="1">
      <alignment vertical="center" wrapText="1"/>
    </xf>
    <xf numFmtId="1" fontId="9" fillId="0" borderId="0" xfId="7" applyNumberFormat="1" applyFont="1"/>
    <xf numFmtId="0" fontId="16" fillId="0" borderId="0" xfId="9" applyNumberFormat="1" applyFill="1" applyAlignment="1" applyProtection="1"/>
    <xf numFmtId="0" fontId="17" fillId="0" borderId="0" xfId="9" applyNumberFormat="1" applyFont="1" applyFill="1" applyAlignment="1" applyProtection="1"/>
    <xf numFmtId="0" fontId="18" fillId="0" borderId="0" xfId="9" applyNumberFormat="1" applyFont="1" applyFill="1" applyAlignment="1" applyProtection="1"/>
    <xf numFmtId="0" fontId="7" fillId="3" borderId="5" xfId="7" applyFont="1" applyFill="1" applyBorder="1" applyAlignment="1">
      <alignment horizontal="left" vertical="center"/>
    </xf>
    <xf numFmtId="0" fontId="9" fillId="0" borderId="0" xfId="7" applyFont="1" applyFill="1" applyAlignment="1"/>
    <xf numFmtId="0" fontId="9" fillId="0" borderId="0" xfId="7" applyFont="1" applyFill="1"/>
    <xf numFmtId="0" fontId="15" fillId="3" borderId="5" xfId="7" applyFont="1" applyFill="1" applyBorder="1" applyAlignment="1">
      <alignment horizontal="left" vertical="center" wrapText="1"/>
    </xf>
    <xf numFmtId="165" fontId="0" fillId="0" borderId="0" xfId="0" applyNumberFormat="1"/>
    <xf numFmtId="1" fontId="0" fillId="0" borderId="0" xfId="0" applyNumberFormat="1"/>
    <xf numFmtId="0" fontId="0" fillId="0" borderId="0" xfId="0" applyFont="1"/>
    <xf numFmtId="0" fontId="0" fillId="0" borderId="0" xfId="0" applyAlignment="1">
      <alignment horizontal="right"/>
    </xf>
    <xf numFmtId="171" fontId="0" fillId="0" borderId="0" xfId="0" applyNumberFormat="1"/>
    <xf numFmtId="0" fontId="0" fillId="0" borderId="0" xfId="0" applyFont="1" applyAlignment="1">
      <alignment horizontal="left"/>
    </xf>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1" fontId="0" fillId="2" borderId="0" xfId="0" applyNumberFormat="1" applyFill="1"/>
    <xf numFmtId="0" fontId="0" fillId="3" borderId="0" xfId="0" applyFill="1"/>
  </cellXfs>
  <cellStyles count="10">
    <cellStyle name="Body: normal cell" xfId="4"/>
    <cellStyle name="Comma 2" xfId="8"/>
    <cellStyle name="Font: Calibri, 9pt regular" xfId="1"/>
    <cellStyle name="Footnotes: top row" xfId="6"/>
    <cellStyle name="Header: bottom row" xfId="2"/>
    <cellStyle name="Normal" xfId="0" builtinId="0"/>
    <cellStyle name="Normal 2" xfId="7"/>
    <cellStyle name="Normal 3" xfId="9"/>
    <cellStyle name="Parent row" xfId="5"/>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8:AK14"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7:AK18"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21:AK28"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abSelected="1" workbookViewId="0"/>
  </sheetViews>
  <sheetFormatPr defaultRowHeight="14.5" x14ac:dyDescent="0.35"/>
  <cols>
    <col min="2" max="2" width="83.26953125" customWidth="1"/>
  </cols>
  <sheetData>
    <row r="1" spans="1:2" x14ac:dyDescent="0.35">
      <c r="A1" s="1" t="s">
        <v>25</v>
      </c>
    </row>
    <row r="2" spans="1:2" x14ac:dyDescent="0.35">
      <c r="A2" s="1" t="s">
        <v>24</v>
      </c>
    </row>
    <row r="4" spans="1:2" x14ac:dyDescent="0.35">
      <c r="A4" s="1" t="s">
        <v>0</v>
      </c>
      <c r="B4" s="7" t="s">
        <v>286</v>
      </c>
    </row>
    <row r="5" spans="1:2" s="8" customFormat="1" x14ac:dyDescent="0.35">
      <c r="A5" s="1"/>
      <c r="B5" s="8" t="s">
        <v>129</v>
      </c>
    </row>
    <row r="6" spans="1:2" s="8" customFormat="1" x14ac:dyDescent="0.35">
      <c r="A6" s="1"/>
      <c r="B6" s="2">
        <v>2014</v>
      </c>
    </row>
    <row r="7" spans="1:2" s="8" customFormat="1" x14ac:dyDescent="0.35">
      <c r="A7" s="1"/>
      <c r="B7" s="8" t="s">
        <v>130</v>
      </c>
    </row>
    <row r="8" spans="1:2" s="8" customFormat="1" x14ac:dyDescent="0.35">
      <c r="A8" s="1"/>
      <c r="B8" s="8" t="s">
        <v>131</v>
      </c>
    </row>
    <row r="9" spans="1:2" s="8" customFormat="1" x14ac:dyDescent="0.35">
      <c r="A9" s="1"/>
    </row>
    <row r="10" spans="1:2" s="8" customFormat="1" x14ac:dyDescent="0.35">
      <c r="A10" s="1"/>
      <c r="B10" s="7" t="s">
        <v>186</v>
      </c>
    </row>
    <row r="11" spans="1:2" s="8" customFormat="1" x14ac:dyDescent="0.35">
      <c r="A11" s="1"/>
      <c r="B11" s="8" t="s">
        <v>187</v>
      </c>
    </row>
    <row r="12" spans="1:2" s="8" customFormat="1" x14ac:dyDescent="0.35">
      <c r="A12" s="1"/>
      <c r="B12" s="2">
        <v>2016</v>
      </c>
    </row>
    <row r="13" spans="1:2" s="8" customFormat="1" x14ac:dyDescent="0.35">
      <c r="A13" s="1"/>
      <c r="B13" s="8" t="s">
        <v>188</v>
      </c>
    </row>
    <row r="14" spans="1:2" s="8" customFormat="1" x14ac:dyDescent="0.35">
      <c r="A14" s="1"/>
      <c r="B14" s="8" t="s">
        <v>189</v>
      </c>
    </row>
    <row r="15" spans="1:2" s="8" customFormat="1" x14ac:dyDescent="0.35">
      <c r="A15" s="1"/>
      <c r="B15" s="8" t="s">
        <v>190</v>
      </c>
    </row>
    <row r="16" spans="1:2" s="8" customFormat="1" x14ac:dyDescent="0.35">
      <c r="A16" s="1"/>
    </row>
    <row r="17" spans="1:2" s="8" customFormat="1" x14ac:dyDescent="0.35">
      <c r="A17" s="1"/>
      <c r="B17" s="7" t="s">
        <v>304</v>
      </c>
    </row>
    <row r="18" spans="1:2" s="8" customFormat="1" x14ac:dyDescent="0.35">
      <c r="A18" s="1"/>
      <c r="B18" s="8" t="s">
        <v>305</v>
      </c>
    </row>
    <row r="19" spans="1:2" s="8" customFormat="1" x14ac:dyDescent="0.35">
      <c r="A19" s="1"/>
    </row>
    <row r="20" spans="1:2" s="8" customFormat="1" x14ac:dyDescent="0.35">
      <c r="A20" s="1"/>
      <c r="B20" s="7" t="s">
        <v>308</v>
      </c>
    </row>
    <row r="21" spans="1:2" s="8" customFormat="1" x14ac:dyDescent="0.35">
      <c r="A21" s="1"/>
      <c r="B21" s="8" t="s">
        <v>187</v>
      </c>
    </row>
    <row r="22" spans="1:2" s="8" customFormat="1" x14ac:dyDescent="0.35">
      <c r="A22" s="1"/>
      <c r="B22" s="2">
        <v>2016</v>
      </c>
    </row>
    <row r="23" spans="1:2" s="8" customFormat="1" x14ac:dyDescent="0.35">
      <c r="A23" s="1"/>
      <c r="B23" s="8" t="s">
        <v>309</v>
      </c>
    </row>
    <row r="24" spans="1:2" s="8" customFormat="1" x14ac:dyDescent="0.35">
      <c r="A24" s="1"/>
      <c r="B24" s="8" t="s">
        <v>310</v>
      </c>
    </row>
    <row r="25" spans="1:2" s="8" customFormat="1" x14ac:dyDescent="0.35">
      <c r="A25" s="1"/>
      <c r="B25" s="8" t="s">
        <v>311</v>
      </c>
    </row>
    <row r="26" spans="1:2" s="8" customFormat="1" x14ac:dyDescent="0.35">
      <c r="A26" s="1"/>
    </row>
    <row r="27" spans="1:2" x14ac:dyDescent="0.35">
      <c r="A27" s="1" t="s">
        <v>10</v>
      </c>
    </row>
    <row r="28" spans="1:2" x14ac:dyDescent="0.35">
      <c r="A28" t="s">
        <v>13</v>
      </c>
    </row>
    <row r="29" spans="1:2" x14ac:dyDescent="0.35">
      <c r="A29" t="s">
        <v>14</v>
      </c>
    </row>
    <row r="30" spans="1:2" x14ac:dyDescent="0.35">
      <c r="A30" t="s">
        <v>15</v>
      </c>
    </row>
    <row r="31" spans="1:2" x14ac:dyDescent="0.35">
      <c r="A31" t="s">
        <v>16</v>
      </c>
    </row>
    <row r="33" spans="1:2" x14ac:dyDescent="0.35">
      <c r="A33" t="s">
        <v>287</v>
      </c>
    </row>
    <row r="34" spans="1:2" x14ac:dyDescent="0.35">
      <c r="A34" t="s">
        <v>288</v>
      </c>
    </row>
    <row r="35" spans="1:2" x14ac:dyDescent="0.35">
      <c r="A35" t="s">
        <v>289</v>
      </c>
    </row>
    <row r="36" spans="1:2" s="8" customFormat="1" x14ac:dyDescent="0.35"/>
    <row r="37" spans="1:2" s="8" customFormat="1" x14ac:dyDescent="0.35">
      <c r="A37" s="8" t="s">
        <v>344</v>
      </c>
    </row>
    <row r="38" spans="1:2" s="8" customFormat="1" x14ac:dyDescent="0.35">
      <c r="A38" s="8" t="s">
        <v>345</v>
      </c>
    </row>
    <row r="39" spans="1:2" s="8" customFormat="1" x14ac:dyDescent="0.35">
      <c r="A39" s="8" t="s">
        <v>346</v>
      </c>
    </row>
    <row r="41" spans="1:2" x14ac:dyDescent="0.35">
      <c r="A41" s="1" t="s">
        <v>191</v>
      </c>
    </row>
    <row r="42" spans="1:2" x14ac:dyDescent="0.35">
      <c r="A42">
        <v>0.98287000000000002</v>
      </c>
      <c r="B42" t="s">
        <v>192</v>
      </c>
    </row>
    <row r="43" spans="1:2" x14ac:dyDescent="0.35">
      <c r="A43">
        <v>1.329</v>
      </c>
      <c r="B43" t="s">
        <v>193</v>
      </c>
    </row>
    <row r="44" spans="1:2" x14ac:dyDescent="0.35">
      <c r="A44">
        <v>947817077749</v>
      </c>
      <c r="B44" t="s">
        <v>194</v>
      </c>
    </row>
    <row r="45" spans="1:2" x14ac:dyDescent="0.35">
      <c r="A45" s="8"/>
    </row>
    <row r="46" spans="1:2" x14ac:dyDescent="0.35">
      <c r="A46" s="8"/>
    </row>
    <row r="47" spans="1:2" x14ac:dyDescent="0.35">
      <c r="A47" s="8"/>
    </row>
    <row r="48" spans="1:2" s="8" customFormat="1" x14ac:dyDescent="0.35"/>
    <row r="49" spans="1:1" x14ac:dyDescent="0.35">
      <c r="A49" s="67"/>
    </row>
    <row r="50" spans="1:1" x14ac:dyDescent="0.35">
      <c r="A50" s="67"/>
    </row>
    <row r="51" spans="1:1" x14ac:dyDescent="0.35">
      <c r="A51" s="67"/>
    </row>
    <row r="52" spans="1:1" x14ac:dyDescent="0.35">
      <c r="A52" s="67"/>
    </row>
    <row r="53" spans="1:1" x14ac:dyDescent="0.35">
      <c r="A53" s="67"/>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pane xSplit="1" ySplit="5" topLeftCell="B27" activePane="bottomRight" state="frozen"/>
      <selection activeCell="A3" sqref="A3:G4"/>
      <selection pane="topRight" activeCell="A3" sqref="A3:G4"/>
      <selection pane="bottomLeft" activeCell="A3" sqref="A3:G4"/>
      <selection pane="bottomRight"/>
    </sheetView>
  </sheetViews>
  <sheetFormatPr defaultColWidth="12.26953125" defaultRowHeight="12.5" x14ac:dyDescent="0.25"/>
  <cols>
    <col min="1" max="1" width="43.6328125" style="12" customWidth="1"/>
    <col min="2" max="2" width="24" style="12" customWidth="1"/>
    <col min="3" max="3" width="19.36328125" style="12" customWidth="1"/>
    <col min="4" max="4" width="17.1796875" style="12" customWidth="1"/>
    <col min="5" max="6" width="12.26953125" style="12"/>
    <col min="7" max="7" width="23.7265625" style="12" customWidth="1"/>
    <col min="8" max="8" width="67.36328125" style="12" customWidth="1"/>
    <col min="9" max="9" width="15" style="12" customWidth="1"/>
    <col min="10" max="16384" width="12.26953125" style="12"/>
  </cols>
  <sheetData>
    <row r="1" spans="1:10" ht="13" x14ac:dyDescent="0.25">
      <c r="A1" s="11" t="s">
        <v>45</v>
      </c>
    </row>
    <row r="2" spans="1:10" ht="13" thickBot="1" x14ac:dyDescent="0.3"/>
    <row r="3" spans="1:10" ht="36" customHeight="1" thickBot="1" x14ac:dyDescent="0.3">
      <c r="A3" s="13" t="s">
        <v>46</v>
      </c>
      <c r="B3" s="13" t="s">
        <v>47</v>
      </c>
      <c r="C3" s="14" t="s">
        <v>48</v>
      </c>
      <c r="D3" s="15" t="s">
        <v>49</v>
      </c>
      <c r="E3" s="16" t="s">
        <v>50</v>
      </c>
      <c r="F3" s="16" t="s">
        <v>51</v>
      </c>
      <c r="G3" s="13" t="s">
        <v>52</v>
      </c>
      <c r="H3" s="13" t="s">
        <v>30</v>
      </c>
      <c r="I3" s="17"/>
      <c r="J3" s="17"/>
    </row>
    <row r="4" spans="1:10" ht="13" thickBot="1" x14ac:dyDescent="0.3">
      <c r="A4" s="13"/>
      <c r="B4" s="13"/>
      <c r="C4" s="18"/>
      <c r="D4" s="15"/>
      <c r="E4" s="16"/>
      <c r="F4" s="16"/>
      <c r="G4" s="13"/>
      <c r="H4" s="13"/>
      <c r="I4" s="17"/>
      <c r="J4" s="17"/>
    </row>
    <row r="5" spans="1:10" s="63" customFormat="1" ht="13.5" thickBot="1" x14ac:dyDescent="0.3">
      <c r="A5" s="61" t="s">
        <v>53</v>
      </c>
      <c r="B5" s="61"/>
      <c r="C5" s="61"/>
      <c r="D5" s="61"/>
      <c r="E5" s="61"/>
      <c r="F5" s="61"/>
      <c r="G5" s="61"/>
      <c r="H5" s="61"/>
      <c r="I5" s="62"/>
      <c r="J5" s="62"/>
    </row>
    <row r="6" spans="1:10" ht="13.5" thickBot="1" x14ac:dyDescent="0.3">
      <c r="A6" s="19" t="s">
        <v>54</v>
      </c>
      <c r="B6" s="20"/>
      <c r="C6" s="20"/>
      <c r="D6" s="20"/>
      <c r="E6" s="21"/>
      <c r="F6" s="21"/>
      <c r="G6" s="20"/>
      <c r="H6" s="20"/>
      <c r="I6" s="17"/>
      <c r="J6" s="17"/>
    </row>
    <row r="7" spans="1:10" ht="13.5" thickBot="1" x14ac:dyDescent="0.3">
      <c r="A7" s="20" t="s">
        <v>55</v>
      </c>
      <c r="B7" s="20" t="s">
        <v>56</v>
      </c>
      <c r="C7" s="20" t="s">
        <v>57</v>
      </c>
      <c r="D7" s="22">
        <v>785</v>
      </c>
      <c r="E7" s="22">
        <f>845*0.929</f>
        <v>785.005</v>
      </c>
      <c r="F7" s="23" t="s">
        <v>58</v>
      </c>
      <c r="G7" s="20" t="s">
        <v>59</v>
      </c>
      <c r="H7" s="20" t="s">
        <v>60</v>
      </c>
      <c r="I7" s="17"/>
      <c r="J7" s="17"/>
    </row>
    <row r="8" spans="1:10" ht="13.5" thickBot="1" x14ac:dyDescent="0.3">
      <c r="A8" s="20" t="s">
        <v>55</v>
      </c>
      <c r="B8" s="20" t="s">
        <v>56</v>
      </c>
      <c r="C8" s="20" t="s">
        <v>61</v>
      </c>
      <c r="D8" s="22">
        <v>196</v>
      </c>
      <c r="E8" s="22">
        <f>211*0.929</f>
        <v>196.01900000000001</v>
      </c>
      <c r="F8" s="23" t="s">
        <v>58</v>
      </c>
      <c r="G8" s="20" t="s">
        <v>59</v>
      </c>
      <c r="H8" s="20" t="s">
        <v>60</v>
      </c>
      <c r="I8" s="17"/>
      <c r="J8" s="17"/>
    </row>
    <row r="9" spans="1:10" ht="13.5" thickBot="1" x14ac:dyDescent="0.3">
      <c r="A9" s="20" t="s">
        <v>62</v>
      </c>
      <c r="B9" s="20" t="s">
        <v>63</v>
      </c>
      <c r="C9" s="20" t="s">
        <v>64</v>
      </c>
      <c r="D9" s="24">
        <f>(E9+F9)/2</f>
        <v>136.26724999999999</v>
      </c>
      <c r="E9" s="22">
        <f>215.5*0.929</f>
        <v>200.1995</v>
      </c>
      <c r="F9" s="25">
        <f>85*0.851</f>
        <v>72.334999999999994</v>
      </c>
      <c r="G9" s="20" t="s">
        <v>65</v>
      </c>
      <c r="H9" s="20" t="s">
        <v>66</v>
      </c>
      <c r="I9" s="17"/>
      <c r="J9" s="17"/>
    </row>
    <row r="10" spans="1:10" ht="13.5" thickBot="1" x14ac:dyDescent="0.3">
      <c r="A10" s="20" t="s">
        <v>67</v>
      </c>
      <c r="B10" s="20" t="s">
        <v>68</v>
      </c>
      <c r="C10" s="20" t="s">
        <v>57</v>
      </c>
      <c r="D10" s="22">
        <v>127</v>
      </c>
      <c r="E10" s="22">
        <f>137*0.929</f>
        <v>127.27300000000001</v>
      </c>
      <c r="F10" s="23" t="s">
        <v>58</v>
      </c>
      <c r="G10" s="20" t="s">
        <v>69</v>
      </c>
      <c r="H10" s="20" t="s">
        <v>60</v>
      </c>
      <c r="I10" s="17" t="s">
        <v>70</v>
      </c>
      <c r="J10" s="17"/>
    </row>
    <row r="11" spans="1:10" ht="13.5" thickBot="1" x14ac:dyDescent="0.3">
      <c r="A11" s="20" t="s">
        <v>71</v>
      </c>
      <c r="B11" s="20" t="s">
        <v>72</v>
      </c>
      <c r="C11" s="20" t="s">
        <v>57</v>
      </c>
      <c r="D11" s="24">
        <f>(E11+F11)/2</f>
        <v>121.905</v>
      </c>
      <c r="E11" s="22">
        <f>180*0.929</f>
        <v>167.22</v>
      </c>
      <c r="F11" s="25">
        <f>90*0.851</f>
        <v>76.59</v>
      </c>
      <c r="G11" s="20" t="s">
        <v>65</v>
      </c>
      <c r="H11" s="20" t="s">
        <v>73</v>
      </c>
      <c r="I11" s="17" t="s">
        <v>74</v>
      </c>
      <c r="J11" s="17"/>
    </row>
    <row r="12" spans="1:10" ht="13.5" thickBot="1" x14ac:dyDescent="0.3">
      <c r="A12" s="20" t="s">
        <v>75</v>
      </c>
      <c r="B12" s="20" t="s">
        <v>76</v>
      </c>
      <c r="C12" s="20" t="s">
        <v>77</v>
      </c>
      <c r="D12" s="26">
        <f>(E12+F12)/2</f>
        <v>118.91249999999999</v>
      </c>
      <c r="E12" s="23">
        <f>136*0.929</f>
        <v>126.34400000000001</v>
      </c>
      <c r="F12" s="23">
        <f>131*0.851</f>
        <v>111.48099999999999</v>
      </c>
      <c r="G12" s="20" t="s">
        <v>65</v>
      </c>
      <c r="H12" s="20" t="s">
        <v>78</v>
      </c>
      <c r="I12" s="17"/>
      <c r="J12" s="17"/>
    </row>
    <row r="13" spans="1:10" ht="13.5" thickBot="1" x14ac:dyDescent="0.3">
      <c r="A13" s="20" t="s">
        <v>79</v>
      </c>
      <c r="B13" s="20" t="s">
        <v>68</v>
      </c>
      <c r="C13" s="20" t="s">
        <v>61</v>
      </c>
      <c r="D13" s="22">
        <v>32</v>
      </c>
      <c r="E13" s="22">
        <f>34*0.929</f>
        <v>31.586000000000002</v>
      </c>
      <c r="F13" s="23" t="s">
        <v>58</v>
      </c>
      <c r="G13" s="20" t="s">
        <v>69</v>
      </c>
      <c r="H13" s="20" t="s">
        <v>60</v>
      </c>
      <c r="I13" s="17" t="s">
        <v>70</v>
      </c>
      <c r="J13" s="17"/>
    </row>
    <row r="14" spans="1:10" ht="13.5" thickBot="1" x14ac:dyDescent="0.3">
      <c r="A14" s="27" t="s">
        <v>80</v>
      </c>
      <c r="B14" s="20" t="s">
        <v>81</v>
      </c>
      <c r="C14" s="20" t="s">
        <v>57</v>
      </c>
      <c r="D14" s="28">
        <v>28</v>
      </c>
      <c r="E14" s="29">
        <f>30*0.929</f>
        <v>27.87</v>
      </c>
      <c r="F14" s="23" t="s">
        <v>58</v>
      </c>
      <c r="G14" s="20" t="s">
        <v>69</v>
      </c>
      <c r="H14" s="20" t="s">
        <v>60</v>
      </c>
      <c r="I14" s="17"/>
      <c r="J14" s="17"/>
    </row>
    <row r="15" spans="1:10" ht="13.5" thickBot="1" x14ac:dyDescent="0.3">
      <c r="A15" s="20" t="s">
        <v>80</v>
      </c>
      <c r="B15" s="30" t="s">
        <v>81</v>
      </c>
      <c r="C15" s="30" t="s">
        <v>64</v>
      </c>
      <c r="D15" s="31">
        <v>7</v>
      </c>
      <c r="E15" s="32">
        <f>8*0.929</f>
        <v>7.4320000000000004</v>
      </c>
      <c r="F15" s="23" t="s">
        <v>58</v>
      </c>
      <c r="G15" s="30" t="s">
        <v>69</v>
      </c>
      <c r="H15" s="20" t="s">
        <v>60</v>
      </c>
    </row>
    <row r="16" spans="1:10" ht="13.5" thickBot="1" x14ac:dyDescent="0.3">
      <c r="A16" s="27" t="s">
        <v>82</v>
      </c>
      <c r="B16" s="20" t="s">
        <v>68</v>
      </c>
      <c r="C16" s="20" t="s">
        <v>64</v>
      </c>
      <c r="D16" s="23" t="s">
        <v>58</v>
      </c>
      <c r="E16" s="23" t="s">
        <v>58</v>
      </c>
      <c r="F16" s="23" t="s">
        <v>58</v>
      </c>
      <c r="G16" s="27" t="s">
        <v>83</v>
      </c>
      <c r="H16" s="27" t="s">
        <v>84</v>
      </c>
      <c r="I16" s="17"/>
      <c r="J16" s="17"/>
    </row>
    <row r="17" spans="1:10" ht="13.5" thickBot="1" x14ac:dyDescent="0.3">
      <c r="A17" s="20" t="s">
        <v>85</v>
      </c>
      <c r="B17" s="20" t="s">
        <v>86</v>
      </c>
      <c r="C17" s="20" t="s">
        <v>77</v>
      </c>
      <c r="D17" s="23" t="s">
        <v>58</v>
      </c>
      <c r="E17" s="23" t="s">
        <v>58</v>
      </c>
      <c r="F17" s="23" t="s">
        <v>58</v>
      </c>
      <c r="G17" s="20" t="s">
        <v>87</v>
      </c>
      <c r="H17" s="20"/>
      <c r="I17" s="17"/>
      <c r="J17" s="17"/>
    </row>
    <row r="18" spans="1:10" ht="13.5" thickBot="1" x14ac:dyDescent="0.3">
      <c r="A18" s="20" t="s">
        <v>88</v>
      </c>
      <c r="B18" s="20" t="s">
        <v>68</v>
      </c>
      <c r="C18" s="20" t="s">
        <v>77</v>
      </c>
      <c r="D18" s="23" t="s">
        <v>58</v>
      </c>
      <c r="E18" s="23" t="s">
        <v>58</v>
      </c>
      <c r="F18" s="23" t="s">
        <v>58</v>
      </c>
      <c r="G18" s="20" t="s">
        <v>83</v>
      </c>
      <c r="H18" s="20"/>
      <c r="I18" s="17"/>
      <c r="J18" s="17"/>
    </row>
    <row r="19" spans="1:10" ht="13.5" thickBot="1" x14ac:dyDescent="0.3">
      <c r="A19" s="20" t="s">
        <v>89</v>
      </c>
      <c r="B19" s="20" t="s">
        <v>72</v>
      </c>
      <c r="C19" s="20" t="s">
        <v>61</v>
      </c>
      <c r="D19" s="28" t="s">
        <v>90</v>
      </c>
      <c r="E19" s="28" t="s">
        <v>90</v>
      </c>
      <c r="F19" s="28" t="s">
        <v>90</v>
      </c>
      <c r="G19" s="20" t="s">
        <v>65</v>
      </c>
      <c r="H19" s="20"/>
      <c r="I19" s="17"/>
      <c r="J19" s="17"/>
    </row>
    <row r="20" spans="1:10" ht="13.5" thickBot="1" x14ac:dyDescent="0.3">
      <c r="A20" s="20" t="s">
        <v>91</v>
      </c>
      <c r="B20" s="20" t="s">
        <v>68</v>
      </c>
      <c r="C20" s="20" t="s">
        <v>57</v>
      </c>
      <c r="D20" s="28" t="s">
        <v>90</v>
      </c>
      <c r="E20" s="28" t="s">
        <v>90</v>
      </c>
      <c r="F20" s="28" t="s">
        <v>90</v>
      </c>
      <c r="G20" s="20" t="s">
        <v>69</v>
      </c>
      <c r="H20" s="20"/>
      <c r="I20" s="17"/>
      <c r="J20" s="17"/>
    </row>
    <row r="21" spans="1:10" ht="13.5" thickBot="1" x14ac:dyDescent="0.3">
      <c r="A21" s="19" t="s">
        <v>92</v>
      </c>
      <c r="B21" s="20"/>
      <c r="C21" s="20"/>
      <c r="D21" s="24">
        <f>SUM(D7:D15)</f>
        <v>1552.0847499999998</v>
      </c>
      <c r="E21" s="22">
        <f>SUM(E7:E15)</f>
        <v>1668.9485</v>
      </c>
      <c r="F21" s="22">
        <f>SUM(F7:F15)</f>
        <v>260.40600000000001</v>
      </c>
      <c r="G21" s="20"/>
      <c r="H21" s="20"/>
      <c r="I21" s="17"/>
      <c r="J21" s="17"/>
    </row>
    <row r="22" spans="1:10" ht="13.5" thickBot="1" x14ac:dyDescent="0.3">
      <c r="A22" s="20"/>
      <c r="B22" s="20"/>
      <c r="C22" s="20"/>
      <c r="D22" s="20"/>
      <c r="E22" s="21"/>
      <c r="F22" s="21"/>
      <c r="G22" s="20"/>
      <c r="H22" s="20"/>
      <c r="I22" s="17"/>
      <c r="J22" s="17"/>
    </row>
    <row r="23" spans="1:10" ht="13.5" thickBot="1" x14ac:dyDescent="0.3">
      <c r="A23" s="19" t="s">
        <v>93</v>
      </c>
      <c r="B23" s="20"/>
      <c r="C23" s="20"/>
      <c r="D23" s="20"/>
      <c r="E23" s="21"/>
      <c r="F23" s="21"/>
      <c r="G23" s="20"/>
      <c r="H23" s="20"/>
      <c r="I23" s="17"/>
      <c r="J23" s="17"/>
    </row>
    <row r="24" spans="1:10" ht="13.5" thickBot="1" x14ac:dyDescent="0.3">
      <c r="A24" s="20" t="s">
        <v>94</v>
      </c>
      <c r="B24" s="20" t="s">
        <v>95</v>
      </c>
      <c r="C24" s="20" t="s">
        <v>64</v>
      </c>
      <c r="D24" s="24">
        <f>(E24+F24)/2</f>
        <v>604.30999999999995</v>
      </c>
      <c r="E24" s="22">
        <f>679*0.929</f>
        <v>630.79100000000005</v>
      </c>
      <c r="F24" s="22">
        <f>679*0.851</f>
        <v>577.82899999999995</v>
      </c>
      <c r="G24" s="20" t="s">
        <v>96</v>
      </c>
      <c r="H24" s="20" t="s">
        <v>78</v>
      </c>
      <c r="I24" s="17"/>
      <c r="J24" s="17"/>
    </row>
    <row r="25" spans="1:10" ht="13.5" thickBot="1" x14ac:dyDescent="0.3">
      <c r="A25" s="20" t="s">
        <v>97</v>
      </c>
      <c r="B25" s="20" t="s">
        <v>95</v>
      </c>
      <c r="C25" s="20" t="s">
        <v>61</v>
      </c>
      <c r="D25" s="24">
        <f>(E25+F25)/2</f>
        <v>249.2</v>
      </c>
      <c r="E25" s="22">
        <f>280*0.929</f>
        <v>260.12</v>
      </c>
      <c r="F25" s="22">
        <f>280*0.851</f>
        <v>238.28</v>
      </c>
      <c r="G25" s="20" t="s">
        <v>96</v>
      </c>
      <c r="H25" s="20" t="s">
        <v>78</v>
      </c>
      <c r="I25" s="17"/>
      <c r="J25" s="17"/>
    </row>
    <row r="26" spans="1:10" ht="13.5" thickBot="1" x14ac:dyDescent="0.3">
      <c r="A26" s="27" t="s">
        <v>98</v>
      </c>
      <c r="B26" s="20" t="s">
        <v>56</v>
      </c>
      <c r="C26" s="20" t="s">
        <v>29</v>
      </c>
      <c r="D26" s="33">
        <f>(E26+F26)/2</f>
        <v>61.41</v>
      </c>
      <c r="E26" s="22">
        <f>69*0.929</f>
        <v>64.100999999999999</v>
      </c>
      <c r="F26" s="22">
        <f>69*0.851</f>
        <v>58.719000000000001</v>
      </c>
      <c r="G26" s="20" t="s">
        <v>59</v>
      </c>
      <c r="H26" s="20" t="s">
        <v>78</v>
      </c>
      <c r="I26" s="17"/>
      <c r="J26" s="17"/>
    </row>
    <row r="27" spans="1:10" ht="13.5" thickBot="1" x14ac:dyDescent="0.3">
      <c r="A27" s="27" t="s">
        <v>99</v>
      </c>
      <c r="B27" s="20" t="s">
        <v>56</v>
      </c>
      <c r="C27" s="20" t="s">
        <v>64</v>
      </c>
      <c r="D27" s="33">
        <f>(E27+F27)/2</f>
        <v>23.14</v>
      </c>
      <c r="E27" s="22">
        <f>26*0.929</f>
        <v>24.154</v>
      </c>
      <c r="F27" s="22">
        <f>26*0.851</f>
        <v>22.125999999999998</v>
      </c>
      <c r="G27" s="34" t="s">
        <v>96</v>
      </c>
      <c r="H27" s="20" t="s">
        <v>78</v>
      </c>
      <c r="I27" s="17" t="s">
        <v>100</v>
      </c>
      <c r="J27" s="17"/>
    </row>
    <row r="28" spans="1:10" ht="13.5" thickBot="1" x14ac:dyDescent="0.3">
      <c r="A28" s="27" t="s">
        <v>101</v>
      </c>
      <c r="B28" s="20" t="s">
        <v>102</v>
      </c>
      <c r="C28" s="20" t="s">
        <v>61</v>
      </c>
      <c r="D28" s="33">
        <f>(E28+F28)/2</f>
        <v>14.24</v>
      </c>
      <c r="E28" s="22">
        <f>16*0.929</f>
        <v>14.864000000000001</v>
      </c>
      <c r="F28" s="22">
        <f>16*0.851</f>
        <v>13.616</v>
      </c>
      <c r="G28" s="20" t="s">
        <v>103</v>
      </c>
      <c r="H28" s="20" t="s">
        <v>78</v>
      </c>
      <c r="I28" s="17"/>
      <c r="J28" s="17"/>
    </row>
    <row r="29" spans="1:10" ht="13.5" thickBot="1" x14ac:dyDescent="0.3">
      <c r="A29" s="20" t="s">
        <v>104</v>
      </c>
      <c r="B29" s="20" t="s">
        <v>68</v>
      </c>
      <c r="C29" s="20" t="s">
        <v>57</v>
      </c>
      <c r="D29" s="24">
        <v>7</v>
      </c>
      <c r="E29" s="22">
        <f>16*0.929</f>
        <v>14.864000000000001</v>
      </c>
      <c r="F29" s="29" t="s">
        <v>105</v>
      </c>
      <c r="G29" s="20" t="s">
        <v>69</v>
      </c>
      <c r="H29" s="20" t="s">
        <v>78</v>
      </c>
      <c r="I29" s="17"/>
      <c r="J29" s="17"/>
    </row>
    <row r="30" spans="1:10" ht="13.5" thickBot="1" x14ac:dyDescent="0.3">
      <c r="A30" s="20" t="s">
        <v>106</v>
      </c>
      <c r="B30" s="20" t="s">
        <v>95</v>
      </c>
      <c r="C30" s="20" t="s">
        <v>64</v>
      </c>
      <c r="D30" s="22">
        <v>14</v>
      </c>
      <c r="E30" s="22">
        <f>15*0.929</f>
        <v>13.935</v>
      </c>
      <c r="F30" s="23" t="s">
        <v>58</v>
      </c>
      <c r="G30" s="20" t="s">
        <v>96</v>
      </c>
      <c r="H30" s="20" t="s">
        <v>78</v>
      </c>
      <c r="I30" s="17"/>
      <c r="J30" s="17"/>
    </row>
    <row r="31" spans="1:10" ht="13.5" thickBot="1" x14ac:dyDescent="0.3">
      <c r="A31" s="20" t="s">
        <v>107</v>
      </c>
      <c r="B31" s="20" t="s">
        <v>95</v>
      </c>
      <c r="C31" s="20" t="s">
        <v>64</v>
      </c>
      <c r="D31" s="24">
        <f>(E31+F31)/2</f>
        <v>5.34</v>
      </c>
      <c r="E31" s="22">
        <f>6*0.929</f>
        <v>5.5739999999999998</v>
      </c>
      <c r="F31" s="22">
        <f>6*0.851</f>
        <v>5.1059999999999999</v>
      </c>
      <c r="G31" s="20" t="s">
        <v>96</v>
      </c>
      <c r="H31" s="20" t="s">
        <v>78</v>
      </c>
      <c r="I31" s="17"/>
      <c r="J31" s="17"/>
    </row>
    <row r="32" spans="1:10" s="38" customFormat="1" ht="13.5" thickBot="1" x14ac:dyDescent="0.3">
      <c r="A32" s="19" t="s">
        <v>108</v>
      </c>
      <c r="B32" s="19"/>
      <c r="C32" s="19"/>
      <c r="D32" s="35">
        <f>SUM(D24:D31)</f>
        <v>978.64</v>
      </c>
      <c r="E32" s="36">
        <f>SUM(E24:E31)</f>
        <v>1028.403</v>
      </c>
      <c r="F32" s="36">
        <f>SUM(F24:F31)</f>
        <v>915.67599999999993</v>
      </c>
      <c r="G32" s="19"/>
      <c r="H32" s="19"/>
      <c r="I32" s="37"/>
      <c r="J32" s="37"/>
    </row>
    <row r="33" spans="1:10" s="38" customFormat="1" ht="13.5" thickBot="1" x14ac:dyDescent="0.3">
      <c r="A33" s="19" t="s">
        <v>109</v>
      </c>
      <c r="B33" s="19"/>
      <c r="C33" s="19"/>
      <c r="D33" s="35">
        <f>SUM(D21+D32)</f>
        <v>2530.7247499999999</v>
      </c>
      <c r="E33" s="36">
        <f>SUM(E21+E32)</f>
        <v>2697.3514999999998</v>
      </c>
      <c r="F33" s="36">
        <f>SUM(F21:F32)</f>
        <v>2091.7579999999998</v>
      </c>
      <c r="G33" s="19"/>
      <c r="H33" s="19"/>
      <c r="I33" s="37"/>
      <c r="J33" s="37"/>
    </row>
    <row r="34" spans="1:10" ht="16.899999999999999" customHeight="1" thickBot="1" x14ac:dyDescent="0.3">
      <c r="A34" s="61" t="s">
        <v>110</v>
      </c>
      <c r="B34" s="61"/>
      <c r="C34" s="61"/>
      <c r="D34" s="61"/>
      <c r="E34" s="61"/>
      <c r="F34" s="61"/>
      <c r="G34" s="61"/>
      <c r="H34" s="61"/>
      <c r="I34" s="17"/>
      <c r="J34" s="17"/>
    </row>
    <row r="35" spans="1:10" s="44" customFormat="1" ht="25.5" thickBot="1" x14ac:dyDescent="0.3">
      <c r="A35" s="39" t="s">
        <v>111</v>
      </c>
      <c r="B35" s="40" t="s">
        <v>112</v>
      </c>
      <c r="C35" s="41" t="s">
        <v>57</v>
      </c>
      <c r="D35" s="42">
        <f t="shared" ref="D35:D40" si="0">(E35+F35)/2</f>
        <v>103.24000000000001</v>
      </c>
      <c r="E35" s="43">
        <f>116*0.929</f>
        <v>107.76400000000001</v>
      </c>
      <c r="F35" s="43">
        <f>116*0.851</f>
        <v>98.715999999999994</v>
      </c>
      <c r="G35" s="41" t="s">
        <v>113</v>
      </c>
      <c r="H35" s="41" t="s">
        <v>114</v>
      </c>
    </row>
    <row r="36" spans="1:10" s="44" customFormat="1" ht="25.5" thickBot="1" x14ac:dyDescent="0.3">
      <c r="A36" s="39" t="s">
        <v>115</v>
      </c>
      <c r="B36" s="40" t="s">
        <v>116</v>
      </c>
      <c r="C36" s="41" t="s">
        <v>29</v>
      </c>
      <c r="D36" s="42">
        <f t="shared" si="0"/>
        <v>50.730000000000004</v>
      </c>
      <c r="E36" s="43">
        <f>57*0.929</f>
        <v>52.953000000000003</v>
      </c>
      <c r="F36" s="43">
        <f>57*0.851</f>
        <v>48.506999999999998</v>
      </c>
      <c r="G36" s="41" t="s">
        <v>103</v>
      </c>
      <c r="H36" s="41" t="s">
        <v>117</v>
      </c>
    </row>
    <row r="37" spans="1:10" s="44" customFormat="1" ht="13.5" thickBot="1" x14ac:dyDescent="0.3">
      <c r="A37" s="34" t="s">
        <v>118</v>
      </c>
      <c r="B37" s="34" t="s">
        <v>119</v>
      </c>
      <c r="C37" s="34" t="s">
        <v>64</v>
      </c>
      <c r="D37" s="45">
        <f t="shared" si="0"/>
        <v>17.8</v>
      </c>
      <c r="E37" s="46">
        <f>20*0.929</f>
        <v>18.580000000000002</v>
      </c>
      <c r="F37" s="46">
        <f>20*0.851</f>
        <v>17.02</v>
      </c>
      <c r="G37" s="34" t="s">
        <v>120</v>
      </c>
      <c r="H37" s="34" t="s">
        <v>78</v>
      </c>
      <c r="I37" s="47"/>
      <c r="J37" s="47"/>
    </row>
    <row r="38" spans="1:10" s="44" customFormat="1" ht="13.5" thickBot="1" x14ac:dyDescent="0.3">
      <c r="A38" s="48" t="s">
        <v>121</v>
      </c>
      <c r="B38" s="34" t="s">
        <v>122</v>
      </c>
      <c r="C38" s="34" t="s">
        <v>64</v>
      </c>
      <c r="D38" s="45">
        <f t="shared" si="0"/>
        <v>18.689999999999998</v>
      </c>
      <c r="E38" s="46">
        <f>21*0.929</f>
        <v>19.509</v>
      </c>
      <c r="F38" s="46">
        <f>21*0.851</f>
        <v>17.870999999999999</v>
      </c>
      <c r="G38" s="34" t="s">
        <v>96</v>
      </c>
      <c r="H38" s="34" t="s">
        <v>78</v>
      </c>
      <c r="I38" s="47"/>
      <c r="J38" s="47"/>
    </row>
    <row r="39" spans="1:10" s="44" customFormat="1" ht="13.5" thickBot="1" x14ac:dyDescent="0.3">
      <c r="A39" s="48" t="s">
        <v>123</v>
      </c>
      <c r="B39" s="34" t="s">
        <v>124</v>
      </c>
      <c r="C39" s="34" t="s">
        <v>64</v>
      </c>
      <c r="D39" s="45">
        <f t="shared" si="0"/>
        <v>12.846499999999999</v>
      </c>
      <c r="E39" s="46">
        <f>13*0.929</f>
        <v>12.077</v>
      </c>
      <c r="F39" s="46">
        <f>16*0.851</f>
        <v>13.616</v>
      </c>
      <c r="G39" s="34" t="s">
        <v>125</v>
      </c>
      <c r="H39" s="34" t="s">
        <v>114</v>
      </c>
      <c r="I39" s="47"/>
      <c r="J39" s="47"/>
    </row>
    <row r="40" spans="1:10" s="44" customFormat="1" ht="31.9" customHeight="1" thickBot="1" x14ac:dyDescent="0.3">
      <c r="A40" s="49" t="s">
        <v>126</v>
      </c>
      <c r="B40" s="34" t="s">
        <v>119</v>
      </c>
      <c r="C40" s="49" t="s">
        <v>64</v>
      </c>
      <c r="D40" s="45">
        <f t="shared" si="0"/>
        <v>4.45</v>
      </c>
      <c r="E40" s="50">
        <f>5*0.929</f>
        <v>4.6450000000000005</v>
      </c>
      <c r="F40" s="50">
        <f>5*0.851</f>
        <v>4.2549999999999999</v>
      </c>
      <c r="G40" s="34" t="s">
        <v>96</v>
      </c>
      <c r="H40" s="34" t="s">
        <v>78</v>
      </c>
    </row>
    <row r="41" spans="1:10" s="38" customFormat="1" ht="13.5" thickBot="1" x14ac:dyDescent="0.3">
      <c r="A41" s="51" t="s">
        <v>127</v>
      </c>
      <c r="B41" s="51"/>
      <c r="C41" s="51"/>
      <c r="D41" s="52">
        <f>SUM(D35:D40)</f>
        <v>207.75650000000002</v>
      </c>
      <c r="E41" s="53">
        <f>SUM(E36:E40)</f>
        <v>107.764</v>
      </c>
      <c r="F41" s="53">
        <f>SUM(F36:F40)</f>
        <v>101.26899999999999</v>
      </c>
      <c r="G41" s="51"/>
      <c r="H41" s="51"/>
    </row>
    <row r="42" spans="1:10" ht="13.5" thickBot="1" x14ac:dyDescent="0.3">
      <c r="A42" s="54"/>
      <c r="B42" s="54"/>
      <c r="C42" s="54"/>
      <c r="D42" s="54"/>
      <c r="E42" s="55"/>
      <c r="F42" s="55"/>
      <c r="G42" s="54"/>
      <c r="H42" s="54"/>
    </row>
    <row r="43" spans="1:10" ht="13.5" thickBot="1" x14ac:dyDescent="0.3">
      <c r="A43" s="64" t="s">
        <v>128</v>
      </c>
      <c r="B43" s="64"/>
      <c r="C43" s="64"/>
      <c r="D43" s="56">
        <f>SUM(D33+D41)</f>
        <v>2738.4812499999998</v>
      </c>
      <c r="E43" s="56">
        <f>SUM(E33+E41)</f>
        <v>2805.1154999999999</v>
      </c>
      <c r="F43" s="56">
        <f>SUM(F33+F41)</f>
        <v>2193.0269999999996</v>
      </c>
      <c r="G43" s="54"/>
      <c r="H43" s="54"/>
    </row>
    <row r="50" spans="4:4" x14ac:dyDescent="0.25">
      <c r="D50" s="57"/>
    </row>
    <row r="51" spans="4:4" x14ac:dyDescent="0.25">
      <c r="D51" s="57"/>
    </row>
  </sheetData>
  <mergeCells count="8">
    <mergeCell ref="G3:G4"/>
    <mergeCell ref="H3:H4"/>
    <mergeCell ref="A3:A4"/>
    <mergeCell ref="B3:B4"/>
    <mergeCell ref="C3:C4"/>
    <mergeCell ref="D3:D4"/>
    <mergeCell ref="E3:E4"/>
    <mergeCell ref="F3:F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
  <sheetViews>
    <sheetView workbookViewId="0"/>
  </sheetViews>
  <sheetFormatPr defaultRowHeight="14.5" x14ac:dyDescent="0.35"/>
  <cols>
    <col min="1" max="1" width="31.90625" style="58" customWidth="1"/>
    <col min="2" max="16384" width="8.7265625" style="58"/>
  </cols>
  <sheetData>
    <row r="1" spans="1:37" ht="21" x14ac:dyDescent="0.5">
      <c r="A1" s="60" t="s">
        <v>179</v>
      </c>
    </row>
    <row r="2" spans="1:37" ht="21" x14ac:dyDescent="0.5">
      <c r="A2" s="60" t="s">
        <v>178</v>
      </c>
    </row>
    <row r="3" spans="1:37" ht="21" x14ac:dyDescent="0.5">
      <c r="A3" s="60" t="s">
        <v>177</v>
      </c>
    </row>
    <row r="4" spans="1:37" ht="21" x14ac:dyDescent="0.5">
      <c r="A4" s="60" t="s">
        <v>176</v>
      </c>
    </row>
    <row r="7" spans="1:37" ht="18.5" x14ac:dyDescent="0.45">
      <c r="A7" s="59" t="s">
        <v>175</v>
      </c>
    </row>
    <row r="8" spans="1:37" x14ac:dyDescent="0.35">
      <c r="A8" s="58" t="s">
        <v>172</v>
      </c>
      <c r="B8" s="58" t="s">
        <v>171</v>
      </c>
      <c r="C8" s="58" t="s">
        <v>170</v>
      </c>
      <c r="D8" s="58" t="s">
        <v>169</v>
      </c>
      <c r="E8" s="58" t="s">
        <v>168</v>
      </c>
      <c r="F8" s="58" t="s">
        <v>167</v>
      </c>
      <c r="G8" s="58" t="s">
        <v>166</v>
      </c>
      <c r="H8" s="58" t="s">
        <v>165</v>
      </c>
      <c r="I8" s="58" t="s">
        <v>164</v>
      </c>
      <c r="J8" s="58" t="s">
        <v>163</v>
      </c>
      <c r="K8" s="58" t="s">
        <v>162</v>
      </c>
      <c r="L8" s="58" t="s">
        <v>161</v>
      </c>
      <c r="M8" s="58" t="s">
        <v>160</v>
      </c>
      <c r="N8" s="58" t="s">
        <v>159</v>
      </c>
      <c r="O8" s="58" t="s">
        <v>158</v>
      </c>
      <c r="P8" s="58" t="s">
        <v>157</v>
      </c>
      <c r="Q8" s="58" t="s">
        <v>156</v>
      </c>
      <c r="R8" s="58" t="s">
        <v>155</v>
      </c>
      <c r="S8" s="58" t="s">
        <v>154</v>
      </c>
      <c r="T8" s="58" t="s">
        <v>153</v>
      </c>
      <c r="U8" s="58" t="s">
        <v>152</v>
      </c>
      <c r="V8" s="58" t="s">
        <v>151</v>
      </c>
      <c r="W8" s="58" t="s">
        <v>150</v>
      </c>
      <c r="X8" s="58" t="s">
        <v>149</v>
      </c>
      <c r="Y8" s="58" t="s">
        <v>148</v>
      </c>
      <c r="Z8" s="58" t="s">
        <v>147</v>
      </c>
      <c r="AA8" s="58" t="s">
        <v>146</v>
      </c>
      <c r="AB8" s="58" t="s">
        <v>145</v>
      </c>
      <c r="AC8" s="58" t="s">
        <v>144</v>
      </c>
      <c r="AD8" s="58" t="s">
        <v>143</v>
      </c>
      <c r="AE8" s="58" t="s">
        <v>142</v>
      </c>
      <c r="AF8" s="58" t="s">
        <v>141</v>
      </c>
      <c r="AG8" s="58" t="s">
        <v>140</v>
      </c>
      <c r="AH8" s="58" t="s">
        <v>139</v>
      </c>
      <c r="AI8" s="58" t="s">
        <v>138</v>
      </c>
      <c r="AJ8" s="58" t="s">
        <v>137</v>
      </c>
      <c r="AK8" s="58" t="s">
        <v>136</v>
      </c>
    </row>
    <row r="9" spans="1:37" x14ac:dyDescent="0.35">
      <c r="A9" s="58" t="s">
        <v>32</v>
      </c>
      <c r="B9" s="58">
        <v>401.87</v>
      </c>
      <c r="C9" s="58">
        <v>432.9</v>
      </c>
      <c r="D9" s="58">
        <v>434.18</v>
      </c>
      <c r="E9" s="58">
        <v>458.3</v>
      </c>
      <c r="F9" s="58">
        <v>437.59</v>
      </c>
      <c r="G9" s="58">
        <v>535.89</v>
      </c>
      <c r="H9" s="58">
        <v>596.80999999999995</v>
      </c>
      <c r="I9" s="58">
        <v>639.61</v>
      </c>
      <c r="J9" s="58">
        <v>586.95000000000005</v>
      </c>
      <c r="K9" s="58">
        <v>558.42999999999995</v>
      </c>
      <c r="L9" s="58">
        <v>649.4</v>
      </c>
      <c r="M9" s="58">
        <v>681.26</v>
      </c>
      <c r="N9" s="58">
        <v>696.31</v>
      </c>
      <c r="O9" s="58">
        <v>755.7</v>
      </c>
      <c r="P9" s="58">
        <v>741.32</v>
      </c>
      <c r="Q9" s="58">
        <v>801.35</v>
      </c>
      <c r="R9" s="58">
        <v>896.35</v>
      </c>
      <c r="S9" s="58">
        <v>906.79</v>
      </c>
      <c r="T9" s="58">
        <v>952.73</v>
      </c>
      <c r="U9" s="58">
        <v>954.91</v>
      </c>
      <c r="V9" s="58">
        <v>988.56</v>
      </c>
      <c r="W9" s="58">
        <v>1055.83</v>
      </c>
      <c r="X9" s="58">
        <v>1068.3699999999999</v>
      </c>
      <c r="Y9" s="58">
        <v>1079.5999999999999</v>
      </c>
      <c r="Z9" s="58">
        <v>1215.32</v>
      </c>
      <c r="AA9" s="58">
        <v>1184.96</v>
      </c>
      <c r="AB9" s="58">
        <v>1206.98</v>
      </c>
      <c r="AC9" s="58">
        <v>1207.82</v>
      </c>
      <c r="AD9" s="58">
        <v>1224.24</v>
      </c>
      <c r="AE9" s="58">
        <v>1235.53</v>
      </c>
      <c r="AF9" s="58">
        <v>1259.25</v>
      </c>
      <c r="AG9" s="58">
        <v>1280.71</v>
      </c>
      <c r="AH9" s="58">
        <v>1305.8</v>
      </c>
      <c r="AI9" s="58">
        <v>1324.72</v>
      </c>
      <c r="AJ9" s="58">
        <v>1345.37</v>
      </c>
      <c r="AK9" s="58">
        <v>1361.02</v>
      </c>
    </row>
    <row r="10" spans="1:37" x14ac:dyDescent="0.35">
      <c r="A10" s="58" t="s">
        <v>135</v>
      </c>
      <c r="B10" s="58">
        <v>209.8</v>
      </c>
      <c r="C10" s="58">
        <v>209.76</v>
      </c>
      <c r="D10" s="58">
        <v>209.63</v>
      </c>
      <c r="E10" s="58">
        <v>203.29</v>
      </c>
      <c r="F10" s="58">
        <v>143.33000000000001</v>
      </c>
      <c r="G10" s="58">
        <v>88.53</v>
      </c>
      <c r="H10" s="58">
        <v>54.19</v>
      </c>
      <c r="I10" s="58">
        <v>53.18</v>
      </c>
      <c r="J10" s="58">
        <v>54.93</v>
      </c>
      <c r="K10" s="58">
        <v>58.66</v>
      </c>
      <c r="L10" s="58">
        <v>56.61</v>
      </c>
      <c r="M10" s="58">
        <v>57.6</v>
      </c>
      <c r="N10" s="58">
        <v>57.98</v>
      </c>
      <c r="O10" s="58">
        <v>42.15</v>
      </c>
      <c r="P10" s="58">
        <v>41.01</v>
      </c>
      <c r="Q10" s="58">
        <v>40.880000000000003</v>
      </c>
      <c r="R10" s="58">
        <v>44.95</v>
      </c>
      <c r="S10" s="58">
        <v>45.29</v>
      </c>
      <c r="T10" s="58">
        <v>46.97</v>
      </c>
      <c r="U10" s="58">
        <v>47.03</v>
      </c>
      <c r="V10" s="58">
        <v>48.19</v>
      </c>
      <c r="W10" s="58">
        <v>45.36</v>
      </c>
      <c r="X10" s="58">
        <v>50.27</v>
      </c>
      <c r="Y10" s="58">
        <v>46.62</v>
      </c>
      <c r="Z10" s="58">
        <v>47.87</v>
      </c>
      <c r="AA10" s="58">
        <v>45.21</v>
      </c>
      <c r="AB10" s="58">
        <v>41.69</v>
      </c>
      <c r="AC10" s="58">
        <v>41.23</v>
      </c>
      <c r="AD10" s="58">
        <v>41.52</v>
      </c>
      <c r="AE10" s="58">
        <v>42.64</v>
      </c>
      <c r="AF10" s="58">
        <v>41.52</v>
      </c>
      <c r="AG10" s="58">
        <v>40.99</v>
      </c>
      <c r="AH10" s="58">
        <v>41.33</v>
      </c>
      <c r="AI10" s="58">
        <v>42.01</v>
      </c>
      <c r="AJ10" s="58">
        <v>42.4</v>
      </c>
      <c r="AK10" s="58">
        <v>44.04</v>
      </c>
    </row>
    <row r="11" spans="1:37" x14ac:dyDescent="0.35">
      <c r="A11" s="58" t="s">
        <v>134</v>
      </c>
      <c r="B11" s="58">
        <v>1089.19</v>
      </c>
      <c r="C11" s="58">
        <v>1089.19</v>
      </c>
      <c r="D11" s="58">
        <v>1089.19</v>
      </c>
      <c r="E11" s="58">
        <v>962.67</v>
      </c>
      <c r="F11" s="58">
        <v>817.72</v>
      </c>
      <c r="G11" s="58">
        <v>824.74</v>
      </c>
      <c r="H11" s="58">
        <v>711.26</v>
      </c>
      <c r="I11" s="58">
        <v>593.28</v>
      </c>
      <c r="J11" s="58">
        <v>612.79999999999995</v>
      </c>
      <c r="K11" s="58">
        <v>720.07</v>
      </c>
      <c r="L11" s="58">
        <v>672.88</v>
      </c>
      <c r="M11" s="58">
        <v>673.06</v>
      </c>
      <c r="N11" s="58">
        <v>664.08</v>
      </c>
      <c r="O11" s="58">
        <v>591.23</v>
      </c>
      <c r="P11" s="58">
        <v>610.71</v>
      </c>
      <c r="Q11" s="58">
        <v>584.11</v>
      </c>
      <c r="R11" s="58">
        <v>550.48</v>
      </c>
      <c r="S11" s="58">
        <v>571.86</v>
      </c>
      <c r="T11" s="58">
        <v>563.34</v>
      </c>
      <c r="U11" s="58">
        <v>533.83000000000004</v>
      </c>
      <c r="V11" s="58">
        <v>518.04999999999995</v>
      </c>
      <c r="W11" s="58">
        <v>498.77</v>
      </c>
      <c r="X11" s="58">
        <v>472.41</v>
      </c>
      <c r="Y11" s="58">
        <v>466.78</v>
      </c>
      <c r="Z11" s="58">
        <v>369.91</v>
      </c>
      <c r="AA11" s="58">
        <v>343.33</v>
      </c>
      <c r="AB11" s="58">
        <v>355.75</v>
      </c>
      <c r="AC11" s="58">
        <v>375.08</v>
      </c>
      <c r="AD11" s="58">
        <v>375.4</v>
      </c>
      <c r="AE11" s="58">
        <v>412.81</v>
      </c>
      <c r="AF11" s="58">
        <v>404.75</v>
      </c>
      <c r="AG11" s="58">
        <v>403.06</v>
      </c>
      <c r="AH11" s="58">
        <v>380.39</v>
      </c>
      <c r="AI11" s="58">
        <v>380.47</v>
      </c>
      <c r="AJ11" s="58">
        <v>376.36</v>
      </c>
      <c r="AK11" s="58">
        <v>376.38</v>
      </c>
    </row>
    <row r="12" spans="1:37" x14ac:dyDescent="0.35">
      <c r="A12" s="58" t="s">
        <v>133</v>
      </c>
      <c r="B12" s="58">
        <v>1294.6300000000001</v>
      </c>
      <c r="C12" s="58">
        <v>1303.29</v>
      </c>
      <c r="D12" s="58">
        <v>1308.5899999999999</v>
      </c>
      <c r="E12" s="58">
        <v>1352.34</v>
      </c>
      <c r="F12" s="58">
        <v>1306.48</v>
      </c>
      <c r="G12" s="58">
        <v>1245.47</v>
      </c>
      <c r="H12" s="58">
        <v>1333.93</v>
      </c>
      <c r="I12" s="58">
        <v>1343.6</v>
      </c>
      <c r="J12" s="58">
        <v>1383.41</v>
      </c>
      <c r="K12" s="58">
        <v>1364.02</v>
      </c>
      <c r="L12" s="58">
        <v>1386.01</v>
      </c>
      <c r="M12" s="58">
        <v>1391.81</v>
      </c>
      <c r="N12" s="58">
        <v>1408.68</v>
      </c>
      <c r="O12" s="58">
        <v>1429.71</v>
      </c>
      <c r="P12" s="58">
        <v>1440.5</v>
      </c>
      <c r="Q12" s="58">
        <v>1451.2</v>
      </c>
      <c r="R12" s="58">
        <v>1471.8</v>
      </c>
      <c r="S12" s="58">
        <v>1477.8</v>
      </c>
      <c r="T12" s="58">
        <v>1482.99</v>
      </c>
      <c r="U12" s="58">
        <v>1504.13</v>
      </c>
      <c r="V12" s="58">
        <v>1512.23</v>
      </c>
      <c r="W12" s="58">
        <v>1518.45</v>
      </c>
      <c r="X12" s="58">
        <v>1520.37</v>
      </c>
      <c r="Y12" s="58">
        <v>1513.66</v>
      </c>
      <c r="Z12" s="58">
        <v>1520.99</v>
      </c>
      <c r="AA12" s="58">
        <v>1531.26</v>
      </c>
      <c r="AB12" s="58">
        <v>1539.83</v>
      </c>
      <c r="AC12" s="58">
        <v>1548.07</v>
      </c>
      <c r="AD12" s="58">
        <v>1555.51</v>
      </c>
      <c r="AE12" s="58">
        <v>1565.96</v>
      </c>
      <c r="AF12" s="58">
        <v>1573.28</v>
      </c>
      <c r="AG12" s="58">
        <v>1579.11</v>
      </c>
      <c r="AH12" s="58">
        <v>1585.37</v>
      </c>
      <c r="AI12" s="58">
        <v>1591.11</v>
      </c>
      <c r="AJ12" s="58">
        <v>1597.46</v>
      </c>
      <c r="AK12" s="58">
        <v>1603.27</v>
      </c>
    </row>
    <row r="13" spans="1:37" x14ac:dyDescent="0.35">
      <c r="A13" s="58" t="s">
        <v>31</v>
      </c>
      <c r="B13" s="58">
        <v>1029.53</v>
      </c>
      <c r="C13" s="58">
        <v>1029.53</v>
      </c>
      <c r="D13" s="58">
        <v>1029.53</v>
      </c>
      <c r="E13" s="58">
        <v>953.48</v>
      </c>
      <c r="F13" s="58">
        <v>940.95</v>
      </c>
      <c r="G13" s="58">
        <v>955.09</v>
      </c>
      <c r="H13" s="58">
        <v>1048.26</v>
      </c>
      <c r="I13" s="58">
        <v>1020.43</v>
      </c>
      <c r="J13" s="58">
        <v>1099.6099999999999</v>
      </c>
      <c r="K13" s="58">
        <v>1208.82</v>
      </c>
      <c r="L13" s="58">
        <v>1178.45</v>
      </c>
      <c r="M13" s="58">
        <v>1119.72</v>
      </c>
      <c r="N13" s="58">
        <v>956.09</v>
      </c>
      <c r="O13" s="58">
        <v>935.41</v>
      </c>
      <c r="P13" s="58">
        <v>940.8</v>
      </c>
      <c r="Q13" s="58">
        <v>862.15</v>
      </c>
      <c r="R13" s="58">
        <v>809.96</v>
      </c>
      <c r="S13" s="58">
        <v>812.23</v>
      </c>
      <c r="T13" s="58">
        <v>795.37</v>
      </c>
      <c r="U13" s="58">
        <v>797.27</v>
      </c>
      <c r="V13" s="58">
        <v>796.75</v>
      </c>
      <c r="W13" s="58">
        <v>797.97</v>
      </c>
      <c r="X13" s="58">
        <v>803.12</v>
      </c>
      <c r="Y13" s="58">
        <v>840.87</v>
      </c>
      <c r="Z13" s="58">
        <v>845.65</v>
      </c>
      <c r="AA13" s="58">
        <v>892.02</v>
      </c>
      <c r="AB13" s="58">
        <v>933.84</v>
      </c>
      <c r="AC13" s="58">
        <v>941.56</v>
      </c>
      <c r="AD13" s="58">
        <v>945.09</v>
      </c>
      <c r="AE13" s="58">
        <v>927.65</v>
      </c>
      <c r="AF13" s="58">
        <v>924.95</v>
      </c>
      <c r="AG13" s="58">
        <v>930.58</v>
      </c>
      <c r="AH13" s="58">
        <v>934.58</v>
      </c>
      <c r="AI13" s="58">
        <v>940.89</v>
      </c>
      <c r="AJ13" s="58">
        <v>946.96</v>
      </c>
      <c r="AK13" s="58">
        <v>954.69</v>
      </c>
    </row>
    <row r="14" spans="1:37" x14ac:dyDescent="0.35">
      <c r="A14" s="58" t="s">
        <v>132</v>
      </c>
      <c r="B14" s="58">
        <v>208.85</v>
      </c>
      <c r="C14" s="58">
        <v>214.77</v>
      </c>
      <c r="D14" s="58">
        <v>215.8</v>
      </c>
      <c r="E14" s="58">
        <v>204.65</v>
      </c>
      <c r="F14" s="58">
        <v>128.16999999999999</v>
      </c>
      <c r="G14" s="58">
        <v>305.45</v>
      </c>
      <c r="H14" s="58">
        <v>276.89999999999998</v>
      </c>
      <c r="I14" s="58">
        <v>276.68</v>
      </c>
      <c r="J14" s="58">
        <v>280.33999999999997</v>
      </c>
      <c r="K14" s="58">
        <v>290.7</v>
      </c>
      <c r="L14" s="58">
        <v>312.36</v>
      </c>
      <c r="M14" s="58">
        <v>351.14</v>
      </c>
      <c r="N14" s="58">
        <v>370.09</v>
      </c>
      <c r="O14" s="58">
        <v>375.34</v>
      </c>
      <c r="P14" s="58">
        <v>390.86</v>
      </c>
      <c r="Q14" s="58">
        <v>405.66</v>
      </c>
      <c r="R14" s="58">
        <v>411.96</v>
      </c>
      <c r="S14" s="58">
        <v>417.29</v>
      </c>
      <c r="T14" s="58">
        <v>424.88</v>
      </c>
      <c r="U14" s="58">
        <v>425.69</v>
      </c>
      <c r="V14" s="58">
        <v>436.01</v>
      </c>
      <c r="W14" s="58">
        <v>438.14</v>
      </c>
      <c r="X14" s="58">
        <v>445.74</v>
      </c>
      <c r="Y14" s="58">
        <v>450.3</v>
      </c>
      <c r="Z14" s="58">
        <v>456.54</v>
      </c>
      <c r="AA14" s="58">
        <v>460.62</v>
      </c>
      <c r="AB14" s="58">
        <v>467.43</v>
      </c>
      <c r="AC14" s="58">
        <v>472.09</v>
      </c>
      <c r="AD14" s="58">
        <v>478.86</v>
      </c>
      <c r="AE14" s="58">
        <v>480.12</v>
      </c>
      <c r="AF14" s="58">
        <v>486.5</v>
      </c>
      <c r="AG14" s="58">
        <v>488.4</v>
      </c>
      <c r="AH14" s="58">
        <v>494.89</v>
      </c>
      <c r="AI14" s="58">
        <v>496.52</v>
      </c>
      <c r="AJ14" s="58">
        <v>497.72</v>
      </c>
      <c r="AK14" s="58">
        <v>498.67</v>
      </c>
    </row>
    <row r="16" spans="1:37" ht="18.5" x14ac:dyDescent="0.45">
      <c r="A16" s="59" t="s">
        <v>174</v>
      </c>
    </row>
    <row r="17" spans="1:37" x14ac:dyDescent="0.35">
      <c r="A17" s="58" t="s">
        <v>172</v>
      </c>
      <c r="B17" s="58" t="s">
        <v>171</v>
      </c>
      <c r="C17" s="58" t="s">
        <v>170</v>
      </c>
      <c r="D17" s="58" t="s">
        <v>169</v>
      </c>
      <c r="E17" s="58" t="s">
        <v>168</v>
      </c>
      <c r="F17" s="58" t="s">
        <v>167</v>
      </c>
      <c r="G17" s="58" t="s">
        <v>166</v>
      </c>
      <c r="H17" s="58" t="s">
        <v>165</v>
      </c>
      <c r="I17" s="58" t="s">
        <v>164</v>
      </c>
      <c r="J17" s="58" t="s">
        <v>163</v>
      </c>
      <c r="K17" s="58" t="s">
        <v>162</v>
      </c>
      <c r="L17" s="58" t="s">
        <v>161</v>
      </c>
      <c r="M17" s="58" t="s">
        <v>160</v>
      </c>
      <c r="N17" s="58" t="s">
        <v>159</v>
      </c>
      <c r="O17" s="58" t="s">
        <v>158</v>
      </c>
      <c r="P17" s="58" t="s">
        <v>157</v>
      </c>
      <c r="Q17" s="58" t="s">
        <v>156</v>
      </c>
      <c r="R17" s="58" t="s">
        <v>155</v>
      </c>
      <c r="S17" s="58" t="s">
        <v>154</v>
      </c>
      <c r="T17" s="58" t="s">
        <v>153</v>
      </c>
      <c r="U17" s="58" t="s">
        <v>152</v>
      </c>
      <c r="V17" s="58" t="s">
        <v>151</v>
      </c>
      <c r="W17" s="58" t="s">
        <v>150</v>
      </c>
      <c r="X17" s="58" t="s">
        <v>149</v>
      </c>
      <c r="Y17" s="58" t="s">
        <v>148</v>
      </c>
      <c r="Z17" s="58" t="s">
        <v>147</v>
      </c>
      <c r="AA17" s="58" t="s">
        <v>146</v>
      </c>
      <c r="AB17" s="58" t="s">
        <v>145</v>
      </c>
      <c r="AC17" s="58" t="s">
        <v>144</v>
      </c>
      <c r="AD17" s="58" t="s">
        <v>143</v>
      </c>
      <c r="AE17" s="58" t="s">
        <v>142</v>
      </c>
      <c r="AF17" s="58" t="s">
        <v>141</v>
      </c>
      <c r="AG17" s="58" t="s">
        <v>140</v>
      </c>
      <c r="AH17" s="58" t="s">
        <v>139</v>
      </c>
      <c r="AI17" s="58" t="s">
        <v>138</v>
      </c>
      <c r="AJ17" s="58" t="s">
        <v>137</v>
      </c>
      <c r="AK17" s="58" t="s">
        <v>136</v>
      </c>
    </row>
    <row r="18" spans="1:37" x14ac:dyDescent="0.35">
      <c r="A18" s="58" t="s">
        <v>1</v>
      </c>
      <c r="B18" s="58">
        <v>1971.93</v>
      </c>
      <c r="C18" s="58">
        <v>1944.82</v>
      </c>
      <c r="D18" s="58">
        <v>2015.84</v>
      </c>
      <c r="E18" s="58">
        <v>2035.86</v>
      </c>
      <c r="F18" s="58">
        <v>1881.99</v>
      </c>
      <c r="G18" s="58">
        <v>1867.78</v>
      </c>
      <c r="H18" s="58">
        <v>1913.14</v>
      </c>
      <c r="I18" s="58">
        <v>1911.16</v>
      </c>
      <c r="J18" s="58">
        <v>1980.52</v>
      </c>
      <c r="K18" s="58">
        <v>1997.89</v>
      </c>
      <c r="L18" s="58">
        <v>2016.85</v>
      </c>
      <c r="M18" s="58">
        <v>2038.2</v>
      </c>
      <c r="N18" s="58">
        <v>2059.44</v>
      </c>
      <c r="O18" s="58">
        <v>2074.17</v>
      </c>
      <c r="P18" s="58">
        <v>2101.86</v>
      </c>
      <c r="Q18" s="58">
        <v>2117.9499999999998</v>
      </c>
      <c r="R18" s="58">
        <v>2131.16</v>
      </c>
      <c r="S18" s="58">
        <v>2145.17</v>
      </c>
      <c r="T18" s="58">
        <v>2162.66</v>
      </c>
      <c r="U18" s="58">
        <v>2180.38</v>
      </c>
      <c r="V18" s="58">
        <v>2197.16</v>
      </c>
      <c r="W18" s="58">
        <v>2214.29</v>
      </c>
      <c r="X18" s="58">
        <v>2233.08</v>
      </c>
      <c r="Y18" s="58">
        <v>2251.54</v>
      </c>
      <c r="Z18" s="58">
        <v>2270.63</v>
      </c>
      <c r="AA18" s="58">
        <v>2290.75</v>
      </c>
      <c r="AB18" s="58">
        <v>2311.58</v>
      </c>
      <c r="AC18" s="58">
        <v>2331.79</v>
      </c>
      <c r="AD18" s="58">
        <v>2351.1</v>
      </c>
      <c r="AE18" s="58">
        <v>2370.2600000000002</v>
      </c>
      <c r="AF18" s="58">
        <v>2389.25</v>
      </c>
      <c r="AG18" s="58">
        <v>2406.56</v>
      </c>
      <c r="AH18" s="58">
        <v>2423.9899999999998</v>
      </c>
      <c r="AI18" s="58">
        <v>2440.7399999999998</v>
      </c>
      <c r="AJ18" s="58">
        <v>2456.62</v>
      </c>
      <c r="AK18" s="58">
        <v>2472.81</v>
      </c>
    </row>
    <row r="20" spans="1:37" ht="18.5" x14ac:dyDescent="0.45">
      <c r="A20" s="59" t="s">
        <v>173</v>
      </c>
    </row>
    <row r="21" spans="1:37" x14ac:dyDescent="0.35">
      <c r="A21" s="58" t="s">
        <v>172</v>
      </c>
      <c r="B21" s="58" t="s">
        <v>171</v>
      </c>
      <c r="C21" s="58" t="s">
        <v>170</v>
      </c>
      <c r="D21" s="58" t="s">
        <v>169</v>
      </c>
      <c r="E21" s="58" t="s">
        <v>168</v>
      </c>
      <c r="F21" s="58" t="s">
        <v>167</v>
      </c>
      <c r="G21" s="58" t="s">
        <v>166</v>
      </c>
      <c r="H21" s="58" t="s">
        <v>165</v>
      </c>
      <c r="I21" s="58" t="s">
        <v>164</v>
      </c>
      <c r="J21" s="58" t="s">
        <v>163</v>
      </c>
      <c r="K21" s="58" t="s">
        <v>162</v>
      </c>
      <c r="L21" s="58" t="s">
        <v>161</v>
      </c>
      <c r="M21" s="58" t="s">
        <v>160</v>
      </c>
      <c r="N21" s="58" t="s">
        <v>159</v>
      </c>
      <c r="O21" s="58" t="s">
        <v>158</v>
      </c>
      <c r="P21" s="58" t="s">
        <v>157</v>
      </c>
      <c r="Q21" s="58" t="s">
        <v>156</v>
      </c>
      <c r="R21" s="58" t="s">
        <v>155</v>
      </c>
      <c r="S21" s="58" t="s">
        <v>154</v>
      </c>
      <c r="T21" s="58" t="s">
        <v>153</v>
      </c>
      <c r="U21" s="58" t="s">
        <v>152</v>
      </c>
      <c r="V21" s="58" t="s">
        <v>151</v>
      </c>
      <c r="W21" s="58" t="s">
        <v>150</v>
      </c>
      <c r="X21" s="58" t="s">
        <v>149</v>
      </c>
      <c r="Y21" s="58" t="s">
        <v>148</v>
      </c>
      <c r="Z21" s="58" t="s">
        <v>147</v>
      </c>
      <c r="AA21" s="58" t="s">
        <v>146</v>
      </c>
      <c r="AB21" s="58" t="s">
        <v>145</v>
      </c>
      <c r="AC21" s="58" t="s">
        <v>144</v>
      </c>
      <c r="AD21" s="58" t="s">
        <v>143</v>
      </c>
      <c r="AE21" s="58" t="s">
        <v>142</v>
      </c>
      <c r="AF21" s="58" t="s">
        <v>141</v>
      </c>
      <c r="AG21" s="58" t="s">
        <v>140</v>
      </c>
      <c r="AH21" s="58" t="s">
        <v>139</v>
      </c>
      <c r="AI21" s="58" t="s">
        <v>138</v>
      </c>
      <c r="AJ21" s="58" t="s">
        <v>137</v>
      </c>
      <c r="AK21" s="58" t="s">
        <v>136</v>
      </c>
    </row>
    <row r="22" spans="1:37" x14ac:dyDescent="0.35">
      <c r="A22" s="58" t="s">
        <v>1</v>
      </c>
      <c r="B22" s="58">
        <v>12990.4</v>
      </c>
      <c r="C22" s="58">
        <v>13032.79</v>
      </c>
      <c r="D22" s="58">
        <v>13383.27</v>
      </c>
      <c r="E22" s="58">
        <v>12951.57</v>
      </c>
      <c r="F22" s="58">
        <v>12402.22</v>
      </c>
      <c r="G22" s="58">
        <v>12806.8</v>
      </c>
      <c r="H22" s="58">
        <v>13095.34</v>
      </c>
      <c r="I22" s="58">
        <v>13184.57</v>
      </c>
      <c r="J22" s="58">
        <v>13444.43</v>
      </c>
      <c r="K22" s="58">
        <v>13828.8</v>
      </c>
      <c r="L22" s="58">
        <v>14169.12</v>
      </c>
      <c r="M22" s="58">
        <v>14431.95</v>
      </c>
      <c r="N22" s="58">
        <v>14513.48</v>
      </c>
      <c r="O22" s="58">
        <v>14631.56</v>
      </c>
      <c r="P22" s="58">
        <v>14781.87</v>
      </c>
      <c r="Q22" s="58">
        <v>14835.57</v>
      </c>
      <c r="R22" s="58">
        <v>14941.95</v>
      </c>
      <c r="S22" s="58">
        <v>15057.32</v>
      </c>
      <c r="T22" s="58">
        <v>15186.06</v>
      </c>
      <c r="U22" s="58">
        <v>15253.85</v>
      </c>
      <c r="V22" s="58">
        <v>15341.86</v>
      </c>
      <c r="W22" s="58">
        <v>15435.34</v>
      </c>
      <c r="X22" s="58">
        <v>15490.86</v>
      </c>
      <c r="Y22" s="58">
        <v>15574.04</v>
      </c>
      <c r="Z22" s="58">
        <v>15672.72</v>
      </c>
      <c r="AA22" s="58">
        <v>15714.77</v>
      </c>
      <c r="AB22" s="58">
        <v>15845.86</v>
      </c>
      <c r="AC22" s="58">
        <v>15922.38</v>
      </c>
      <c r="AD22" s="58">
        <v>15984.23</v>
      </c>
      <c r="AE22" s="58">
        <v>16045.4</v>
      </c>
      <c r="AF22" s="58">
        <v>16085.3</v>
      </c>
      <c r="AG22" s="58">
        <v>16127.89</v>
      </c>
      <c r="AH22" s="58">
        <v>16147.07</v>
      </c>
      <c r="AI22" s="58">
        <v>16176.49</v>
      </c>
      <c r="AJ22" s="58">
        <v>16203.2</v>
      </c>
      <c r="AK22" s="58">
        <v>16233.21</v>
      </c>
    </row>
    <row r="23" spans="1:37" x14ac:dyDescent="0.35">
      <c r="A23" s="58" t="s">
        <v>32</v>
      </c>
      <c r="B23" s="58">
        <v>3712.85</v>
      </c>
      <c r="C23" s="58">
        <v>3731.63</v>
      </c>
      <c r="D23" s="58">
        <v>3933.28</v>
      </c>
      <c r="E23" s="58">
        <v>3878.87</v>
      </c>
      <c r="F23" s="58">
        <v>3859.97</v>
      </c>
      <c r="G23" s="58">
        <v>3929.05</v>
      </c>
      <c r="H23" s="58">
        <v>4186.57</v>
      </c>
      <c r="I23" s="58">
        <v>4339.1499999999996</v>
      </c>
      <c r="J23" s="58">
        <v>4539.49</v>
      </c>
      <c r="K23" s="58">
        <v>4693.3999999999996</v>
      </c>
      <c r="L23" s="58">
        <v>4992.6899999999996</v>
      </c>
      <c r="M23" s="58">
        <v>5200.37</v>
      </c>
      <c r="N23" s="58">
        <v>5375.67</v>
      </c>
      <c r="O23" s="58">
        <v>5529.09</v>
      </c>
      <c r="P23" s="58">
        <v>5597.75</v>
      </c>
      <c r="Q23" s="58">
        <v>5734.95</v>
      </c>
      <c r="R23" s="58">
        <v>5902.44</v>
      </c>
      <c r="S23" s="58">
        <v>6001.4</v>
      </c>
      <c r="T23" s="58">
        <v>6154.69</v>
      </c>
      <c r="U23" s="58">
        <v>6237.04</v>
      </c>
      <c r="V23" s="58">
        <v>6330.47</v>
      </c>
      <c r="W23" s="58">
        <v>6449.18</v>
      </c>
      <c r="X23" s="58">
        <v>6514.26</v>
      </c>
      <c r="Y23" s="58">
        <v>6576.89</v>
      </c>
      <c r="Z23" s="58">
        <v>6752.99</v>
      </c>
      <c r="AA23" s="58">
        <v>6761.38</v>
      </c>
      <c r="AB23" s="58">
        <v>6822.46</v>
      </c>
      <c r="AC23" s="58">
        <v>6868.75</v>
      </c>
      <c r="AD23" s="58">
        <v>6914.65</v>
      </c>
      <c r="AE23" s="58">
        <v>6949.9</v>
      </c>
      <c r="AF23" s="58">
        <v>6996.43</v>
      </c>
      <c r="AG23" s="58">
        <v>7048.41</v>
      </c>
      <c r="AH23" s="58">
        <v>7087.68</v>
      </c>
      <c r="AI23" s="58">
        <v>7118.22</v>
      </c>
      <c r="AJ23" s="58">
        <v>7150.04</v>
      </c>
      <c r="AK23" s="58">
        <v>7177.01</v>
      </c>
    </row>
    <row r="24" spans="1:37" x14ac:dyDescent="0.35">
      <c r="A24" s="58" t="s">
        <v>135</v>
      </c>
      <c r="B24" s="58">
        <v>4755.3</v>
      </c>
      <c r="C24" s="58">
        <v>4800.5200000000004</v>
      </c>
      <c r="D24" s="58">
        <v>4942.43</v>
      </c>
      <c r="E24" s="58">
        <v>4799.16</v>
      </c>
      <c r="F24" s="58">
        <v>4619.8500000000004</v>
      </c>
      <c r="G24" s="58">
        <v>4789.01</v>
      </c>
      <c r="H24" s="58">
        <v>4753.21</v>
      </c>
      <c r="I24" s="58">
        <v>4853.16</v>
      </c>
      <c r="J24" s="58">
        <v>4748.18</v>
      </c>
      <c r="K24" s="58">
        <v>4766.22</v>
      </c>
      <c r="L24" s="58">
        <v>4836.04</v>
      </c>
      <c r="M24" s="58">
        <v>4902.3100000000004</v>
      </c>
      <c r="N24" s="58">
        <v>4944.79</v>
      </c>
      <c r="O24" s="58">
        <v>4979.04</v>
      </c>
      <c r="P24" s="58">
        <v>5011.2</v>
      </c>
      <c r="Q24" s="58">
        <v>5011.28</v>
      </c>
      <c r="R24" s="58">
        <v>5015.1099999999997</v>
      </c>
      <c r="S24" s="58">
        <v>5003.47</v>
      </c>
      <c r="T24" s="58">
        <v>4997.72</v>
      </c>
      <c r="U24" s="58">
        <v>4993.49</v>
      </c>
      <c r="V24" s="58">
        <v>4990.67</v>
      </c>
      <c r="W24" s="58">
        <v>4980.24</v>
      </c>
      <c r="X24" s="58">
        <v>4986.4399999999996</v>
      </c>
      <c r="Y24" s="58">
        <v>4981.38</v>
      </c>
      <c r="Z24" s="58">
        <v>4987</v>
      </c>
      <c r="AA24" s="58">
        <v>4990.95</v>
      </c>
      <c r="AB24" s="58">
        <v>4996.04</v>
      </c>
      <c r="AC24" s="58">
        <v>4991.63</v>
      </c>
      <c r="AD24" s="58">
        <v>4994.91</v>
      </c>
      <c r="AE24" s="58">
        <v>4994.92</v>
      </c>
      <c r="AF24" s="58">
        <v>4991.33</v>
      </c>
      <c r="AG24" s="58">
        <v>4976.3900000000003</v>
      </c>
      <c r="AH24" s="58">
        <v>4968.37</v>
      </c>
      <c r="AI24" s="58">
        <v>4959.57</v>
      </c>
      <c r="AJ24" s="58">
        <v>4950.88</v>
      </c>
      <c r="AK24" s="58">
        <v>4945.05</v>
      </c>
    </row>
    <row r="25" spans="1:37" x14ac:dyDescent="0.35">
      <c r="A25" s="58" t="s">
        <v>134</v>
      </c>
      <c r="B25" s="58">
        <v>1333.6</v>
      </c>
      <c r="C25" s="58">
        <v>1334.05</v>
      </c>
      <c r="D25" s="58">
        <v>1330.22</v>
      </c>
      <c r="E25" s="58">
        <v>1193.24</v>
      </c>
      <c r="F25" s="58">
        <v>1000.9</v>
      </c>
      <c r="G25" s="58">
        <v>1018.75</v>
      </c>
      <c r="H25" s="58">
        <v>906.76</v>
      </c>
      <c r="I25" s="58">
        <v>772.89</v>
      </c>
      <c r="J25" s="58">
        <v>791.03</v>
      </c>
      <c r="K25" s="58">
        <v>901.59</v>
      </c>
      <c r="L25" s="58">
        <v>849.68</v>
      </c>
      <c r="M25" s="58">
        <v>848.08</v>
      </c>
      <c r="N25" s="58">
        <v>837</v>
      </c>
      <c r="O25" s="58">
        <v>762.13</v>
      </c>
      <c r="P25" s="58">
        <v>780.42</v>
      </c>
      <c r="Q25" s="58">
        <v>752.3</v>
      </c>
      <c r="R25" s="58">
        <v>716.8</v>
      </c>
      <c r="S25" s="58">
        <v>736.16</v>
      </c>
      <c r="T25" s="58">
        <v>725.98</v>
      </c>
      <c r="U25" s="58">
        <v>695.5</v>
      </c>
      <c r="V25" s="58">
        <v>678.67</v>
      </c>
      <c r="W25" s="58">
        <v>658.43</v>
      </c>
      <c r="X25" s="58">
        <v>631.17999999999995</v>
      </c>
      <c r="Y25" s="58">
        <v>624.58000000000004</v>
      </c>
      <c r="Z25" s="58">
        <v>526.74</v>
      </c>
      <c r="AA25" s="58">
        <v>499.29</v>
      </c>
      <c r="AB25" s="58">
        <v>510.78</v>
      </c>
      <c r="AC25" s="58">
        <v>529.02</v>
      </c>
      <c r="AD25" s="58">
        <v>528.34</v>
      </c>
      <c r="AE25" s="58">
        <v>564.69000000000005</v>
      </c>
      <c r="AF25" s="58">
        <v>555.58000000000004</v>
      </c>
      <c r="AG25" s="58">
        <v>552.88</v>
      </c>
      <c r="AH25" s="58">
        <v>529.23</v>
      </c>
      <c r="AI25" s="58">
        <v>528.42999999999995</v>
      </c>
      <c r="AJ25" s="58">
        <v>523.52</v>
      </c>
      <c r="AK25" s="58">
        <v>522.86</v>
      </c>
    </row>
    <row r="26" spans="1:37" x14ac:dyDescent="0.35">
      <c r="A26" s="58" t="s">
        <v>133</v>
      </c>
      <c r="B26" s="58">
        <v>1294.6300000000001</v>
      </c>
      <c r="C26" s="58">
        <v>1303.29</v>
      </c>
      <c r="D26" s="58">
        <v>1308.5899999999999</v>
      </c>
      <c r="E26" s="58">
        <v>1352.34</v>
      </c>
      <c r="F26" s="58">
        <v>1306.48</v>
      </c>
      <c r="G26" s="58">
        <v>1245.47</v>
      </c>
      <c r="H26" s="58">
        <v>1333.93</v>
      </c>
      <c r="I26" s="58">
        <v>1343.6</v>
      </c>
      <c r="J26" s="58">
        <v>1383.41</v>
      </c>
      <c r="K26" s="58">
        <v>1364.02</v>
      </c>
      <c r="L26" s="58">
        <v>1386.01</v>
      </c>
      <c r="M26" s="58">
        <v>1391.81</v>
      </c>
      <c r="N26" s="58">
        <v>1408.68</v>
      </c>
      <c r="O26" s="58">
        <v>1429.71</v>
      </c>
      <c r="P26" s="58">
        <v>1440.5</v>
      </c>
      <c r="Q26" s="58">
        <v>1451.2</v>
      </c>
      <c r="R26" s="58">
        <v>1471.8</v>
      </c>
      <c r="S26" s="58">
        <v>1477.8</v>
      </c>
      <c r="T26" s="58">
        <v>1482.99</v>
      </c>
      <c r="U26" s="58">
        <v>1504.13</v>
      </c>
      <c r="V26" s="58">
        <v>1512.23</v>
      </c>
      <c r="W26" s="58">
        <v>1518.45</v>
      </c>
      <c r="X26" s="58">
        <v>1520.37</v>
      </c>
      <c r="Y26" s="58">
        <v>1513.66</v>
      </c>
      <c r="Z26" s="58">
        <v>1520.99</v>
      </c>
      <c r="AA26" s="58">
        <v>1531.26</v>
      </c>
      <c r="AB26" s="58">
        <v>1539.83</v>
      </c>
      <c r="AC26" s="58">
        <v>1548.07</v>
      </c>
      <c r="AD26" s="58">
        <v>1555.51</v>
      </c>
      <c r="AE26" s="58">
        <v>1565.96</v>
      </c>
      <c r="AF26" s="58">
        <v>1573.28</v>
      </c>
      <c r="AG26" s="58">
        <v>1579.11</v>
      </c>
      <c r="AH26" s="58">
        <v>1585.37</v>
      </c>
      <c r="AI26" s="58">
        <v>1591.11</v>
      </c>
      <c r="AJ26" s="58">
        <v>1597.46</v>
      </c>
      <c r="AK26" s="58">
        <v>1603.27</v>
      </c>
    </row>
    <row r="27" spans="1:37" x14ac:dyDescent="0.35">
      <c r="A27" s="58" t="s">
        <v>31</v>
      </c>
      <c r="B27" s="58">
        <v>1029.53</v>
      </c>
      <c r="C27" s="58">
        <v>1029.53</v>
      </c>
      <c r="D27" s="58">
        <v>1029.53</v>
      </c>
      <c r="E27" s="58">
        <v>953.48</v>
      </c>
      <c r="F27" s="58">
        <v>940.95</v>
      </c>
      <c r="G27" s="58">
        <v>955.09</v>
      </c>
      <c r="H27" s="58">
        <v>1048.26</v>
      </c>
      <c r="I27" s="58">
        <v>1020.43</v>
      </c>
      <c r="J27" s="58">
        <v>1099.6099999999999</v>
      </c>
      <c r="K27" s="58">
        <v>1208.82</v>
      </c>
      <c r="L27" s="58">
        <v>1178.45</v>
      </c>
      <c r="M27" s="58">
        <v>1119.72</v>
      </c>
      <c r="N27" s="58">
        <v>956.09</v>
      </c>
      <c r="O27" s="58">
        <v>935.41</v>
      </c>
      <c r="P27" s="58">
        <v>940.8</v>
      </c>
      <c r="Q27" s="58">
        <v>862.15</v>
      </c>
      <c r="R27" s="58">
        <v>809.96</v>
      </c>
      <c r="S27" s="58">
        <v>812.23</v>
      </c>
      <c r="T27" s="58">
        <v>795.37</v>
      </c>
      <c r="U27" s="58">
        <v>797.27</v>
      </c>
      <c r="V27" s="58">
        <v>796.75</v>
      </c>
      <c r="W27" s="58">
        <v>797.97</v>
      </c>
      <c r="X27" s="58">
        <v>803.12</v>
      </c>
      <c r="Y27" s="58">
        <v>840.87</v>
      </c>
      <c r="Z27" s="58">
        <v>845.65</v>
      </c>
      <c r="AA27" s="58">
        <v>892.02</v>
      </c>
      <c r="AB27" s="58">
        <v>933.84</v>
      </c>
      <c r="AC27" s="58">
        <v>941.56</v>
      </c>
      <c r="AD27" s="58">
        <v>945.09</v>
      </c>
      <c r="AE27" s="58">
        <v>927.65</v>
      </c>
      <c r="AF27" s="58">
        <v>924.95</v>
      </c>
      <c r="AG27" s="58">
        <v>930.58</v>
      </c>
      <c r="AH27" s="58">
        <v>934.58</v>
      </c>
      <c r="AI27" s="58">
        <v>940.89</v>
      </c>
      <c r="AJ27" s="58">
        <v>946.96</v>
      </c>
      <c r="AK27" s="58">
        <v>954.69</v>
      </c>
    </row>
    <row r="28" spans="1:37" x14ac:dyDescent="0.35">
      <c r="A28" s="58" t="s">
        <v>132</v>
      </c>
      <c r="B28" s="58">
        <v>864.5</v>
      </c>
      <c r="C28" s="58">
        <v>833.76</v>
      </c>
      <c r="D28" s="58">
        <v>839.22</v>
      </c>
      <c r="E28" s="58">
        <v>774.47</v>
      </c>
      <c r="F28" s="58">
        <v>674.07</v>
      </c>
      <c r="G28" s="58">
        <v>869.42</v>
      </c>
      <c r="H28" s="58">
        <v>866.61</v>
      </c>
      <c r="I28" s="58">
        <v>855.34</v>
      </c>
      <c r="J28" s="58">
        <v>882.7</v>
      </c>
      <c r="K28" s="58">
        <v>894.74</v>
      </c>
      <c r="L28" s="58">
        <v>926.25</v>
      </c>
      <c r="M28" s="58">
        <v>969.66</v>
      </c>
      <c r="N28" s="58">
        <v>991.26</v>
      </c>
      <c r="O28" s="58">
        <v>996.18</v>
      </c>
      <c r="P28" s="58">
        <v>1011.2</v>
      </c>
      <c r="Q28" s="58">
        <v>1023.68</v>
      </c>
      <c r="R28" s="58">
        <v>1025.8399999999999</v>
      </c>
      <c r="S28" s="58">
        <v>1026.26</v>
      </c>
      <c r="T28" s="58">
        <v>1029.31</v>
      </c>
      <c r="U28" s="58">
        <v>1026.42</v>
      </c>
      <c r="V28" s="58">
        <v>1033.06</v>
      </c>
      <c r="W28" s="58">
        <v>1031.0899999999999</v>
      </c>
      <c r="X28" s="58">
        <v>1035.5</v>
      </c>
      <c r="Y28" s="58">
        <v>1036.6600000000001</v>
      </c>
      <c r="Z28" s="58">
        <v>1039.3499999999999</v>
      </c>
      <c r="AA28" s="58">
        <v>1039.8599999999999</v>
      </c>
      <c r="AB28" s="58">
        <v>1042.9000000000001</v>
      </c>
      <c r="AC28" s="58">
        <v>1043.3499999999999</v>
      </c>
      <c r="AD28" s="58">
        <v>1045.73</v>
      </c>
      <c r="AE28" s="58">
        <v>1042.27</v>
      </c>
      <c r="AF28" s="58">
        <v>1043.73</v>
      </c>
      <c r="AG28" s="58">
        <v>1040.52</v>
      </c>
      <c r="AH28" s="58">
        <v>1041.83</v>
      </c>
      <c r="AI28" s="58">
        <v>1038.26</v>
      </c>
      <c r="AJ28" s="58">
        <v>1034.3399999999999</v>
      </c>
      <c r="AK28" s="58">
        <v>1030.33</v>
      </c>
    </row>
  </sheetData>
  <pageMargins left="0.75" right="0.75" top="0.75" bottom="0.5" header="0.5" footer="0.75"/>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F33"/>
  <sheetViews>
    <sheetView workbookViewId="0"/>
  </sheetViews>
  <sheetFormatPr defaultRowHeight="14.5" x14ac:dyDescent="0.35"/>
  <cols>
    <col min="1" max="1" width="16.81640625" customWidth="1"/>
    <col min="2" max="8" width="16.26953125" customWidth="1"/>
  </cols>
  <sheetData>
    <row r="1" spans="1:2" x14ac:dyDescent="0.35">
      <c r="A1" s="1" t="s">
        <v>181</v>
      </c>
    </row>
    <row r="2" spans="1:2" x14ac:dyDescent="0.35">
      <c r="A2" t="s">
        <v>57</v>
      </c>
      <c r="B2" s="66">
        <f>SUMIFS('CAN Fossil Subsidies'!E:E,'CAN Fossil Subsidies'!C:C,A2)</f>
        <v>1229.9960000000001</v>
      </c>
    </row>
    <row r="3" spans="1:2" x14ac:dyDescent="0.35">
      <c r="A3" t="s">
        <v>61</v>
      </c>
      <c r="B3" s="66">
        <f>SUMIFS('CAN Fossil Subsidies'!E:E,'CAN Fossil Subsidies'!C:C,A3)</f>
        <v>502.589</v>
      </c>
    </row>
    <row r="4" spans="1:2" x14ac:dyDescent="0.35">
      <c r="A4" t="s">
        <v>64</v>
      </c>
      <c r="B4" s="66">
        <f>SUMIFS('CAN Fossil Subsidies'!E:E,'CAN Fossil Subsidies'!C:C,A4)</f>
        <v>936.89649999999995</v>
      </c>
    </row>
    <row r="5" spans="1:2" x14ac:dyDescent="0.35">
      <c r="A5" t="s">
        <v>29</v>
      </c>
      <c r="B5" s="66">
        <f>SUMIFS('CAN Fossil Subsidies'!E:E,'CAN Fossil Subsidies'!C:C,A5)</f>
        <v>117.054</v>
      </c>
    </row>
    <row r="6" spans="1:2" x14ac:dyDescent="0.35">
      <c r="A6" t="s">
        <v>77</v>
      </c>
      <c r="B6" s="66">
        <f>SUMIFS('CAN Fossil Subsidies'!E:E,'CAN Fossil Subsidies'!C:C,A6)</f>
        <v>126.34400000000001</v>
      </c>
    </row>
    <row r="8" spans="1:2" x14ac:dyDescent="0.35">
      <c r="A8" s="1" t="s">
        <v>182</v>
      </c>
    </row>
    <row r="9" spans="1:2" x14ac:dyDescent="0.35">
      <c r="A9" t="s">
        <v>5</v>
      </c>
      <c r="B9" s="66">
        <f>'CAN Primary Energy'!J25</f>
        <v>791.03</v>
      </c>
    </row>
    <row r="10" spans="1:2" x14ac:dyDescent="0.35">
      <c r="A10" t="s">
        <v>6</v>
      </c>
      <c r="B10" s="66">
        <f>'CAN Primary Energy'!J23</f>
        <v>4539.49</v>
      </c>
    </row>
    <row r="11" spans="1:2" x14ac:dyDescent="0.35">
      <c r="A11" t="s">
        <v>180</v>
      </c>
      <c r="B11" s="66">
        <f>'CAN Primary Energy'!J24</f>
        <v>4748.18</v>
      </c>
    </row>
    <row r="13" spans="1:2" x14ac:dyDescent="0.35">
      <c r="A13" s="1" t="s">
        <v>200</v>
      </c>
    </row>
    <row r="14" spans="1:2" x14ac:dyDescent="0.35">
      <c r="A14" t="s">
        <v>184</v>
      </c>
    </row>
    <row r="15" spans="1:2" x14ac:dyDescent="0.35">
      <c r="A15" t="s">
        <v>185</v>
      </c>
    </row>
    <row r="16" spans="1:2" s="68" customFormat="1" x14ac:dyDescent="0.35">
      <c r="A16" s="67" t="s">
        <v>5</v>
      </c>
      <c r="B16" s="66">
        <f>B5+B6*(B9/SUM(B9:B11))</f>
        <v>126.97014933672001</v>
      </c>
    </row>
    <row r="17" spans="1:6" x14ac:dyDescent="0.35">
      <c r="A17" s="67" t="s">
        <v>6</v>
      </c>
      <c r="B17" s="66">
        <f>B3+B4*(B10/SUM(B10:B11))+B6*(B10/SUM(B9:B11))</f>
        <v>1017.4172999495516</v>
      </c>
    </row>
    <row r="18" spans="1:6" x14ac:dyDescent="0.35">
      <c r="A18" s="67" t="s">
        <v>180</v>
      </c>
      <c r="B18" s="66">
        <f>B2+B4*(B11/SUM(B10:B11))+B6*(B11/SUM(B9:B11))</f>
        <v>1768.4920507137283</v>
      </c>
    </row>
    <row r="20" spans="1:6" x14ac:dyDescent="0.35">
      <c r="A20" s="1" t="s">
        <v>183</v>
      </c>
    </row>
    <row r="21" spans="1:6" s="8" customFormat="1" x14ac:dyDescent="0.35">
      <c r="A21" s="70"/>
      <c r="B21" s="68" t="s">
        <v>195</v>
      </c>
      <c r="C21" s="68" t="s">
        <v>196</v>
      </c>
      <c r="D21" s="68" t="s">
        <v>197</v>
      </c>
      <c r="E21" s="68" t="s">
        <v>198</v>
      </c>
      <c r="F21" s="68" t="s">
        <v>199</v>
      </c>
    </row>
    <row r="22" spans="1:6" s="8" customFormat="1" x14ac:dyDescent="0.35">
      <c r="A22" s="67" t="s">
        <v>5</v>
      </c>
      <c r="B22" s="8">
        <f>B16/B9</f>
        <v>0.16051243231826862</v>
      </c>
      <c r="C22" s="69">
        <f>B22*10^6</f>
        <v>160512.43231826861</v>
      </c>
      <c r="D22" s="69">
        <f>C22/About!$A$42</f>
        <v>163309.93144390266</v>
      </c>
      <c r="E22" s="69">
        <f>D22*About!$A$43</f>
        <v>217038.89888894663</v>
      </c>
      <c r="F22" s="69">
        <f>E22/About!$A$44</f>
        <v>2.2898817080232294E-7</v>
      </c>
    </row>
    <row r="23" spans="1:6" s="8" customFormat="1" x14ac:dyDescent="0.35">
      <c r="A23" s="67" t="s">
        <v>6</v>
      </c>
      <c r="B23" s="8">
        <f>B17/B10</f>
        <v>0.22412590400013035</v>
      </c>
      <c r="C23" s="69">
        <f>B23*10^6</f>
        <v>224125.90400013037</v>
      </c>
      <c r="D23" s="69">
        <f>C23/About!$A$42</f>
        <v>228032.09376634791</v>
      </c>
      <c r="E23" s="69">
        <f>D23*About!$A$43</f>
        <v>303054.65261547634</v>
      </c>
      <c r="F23" s="69">
        <f>E23/About!$A$44</f>
        <v>3.1973959926445952E-7</v>
      </c>
    </row>
    <row r="24" spans="1:6" s="8" customFormat="1" x14ac:dyDescent="0.35">
      <c r="A24" s="67" t="s">
        <v>180</v>
      </c>
      <c r="B24" s="8">
        <f>B18/B11</f>
        <v>0.3724568257129528</v>
      </c>
      <c r="C24" s="69">
        <f>B24*10^6</f>
        <v>372456.82571295282</v>
      </c>
      <c r="D24" s="69">
        <f>C24/About!$A$42</f>
        <v>378948.20852498582</v>
      </c>
      <c r="E24" s="69">
        <f>D24*About!$A$43</f>
        <v>503622.16912970616</v>
      </c>
      <c r="F24" s="69">
        <f>E24/About!$A$44</f>
        <v>5.3134954091117878E-7</v>
      </c>
    </row>
    <row r="25" spans="1:6" s="8" customFormat="1" x14ac:dyDescent="0.35"/>
    <row r="26" spans="1:6" s="8" customFormat="1" x14ac:dyDescent="0.35"/>
    <row r="27" spans="1:6" s="8" customFormat="1" x14ac:dyDescent="0.35"/>
    <row r="28" spans="1:6" s="8" customFormat="1" x14ac:dyDescent="0.35"/>
    <row r="29" spans="1:6" s="8" customFormat="1" x14ac:dyDescent="0.35"/>
    <row r="30" spans="1:6" s="8" customFormat="1" x14ac:dyDescent="0.35"/>
    <row r="31" spans="1:6" s="8" customFormat="1" x14ac:dyDescent="0.35"/>
    <row r="32" spans="1:6" s="8" customFormat="1" x14ac:dyDescent="0.35"/>
    <row r="33" s="8" customForma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4.5" x14ac:dyDescent="0.35"/>
  <cols>
    <col min="1" max="1" width="27.54296875" customWidth="1"/>
    <col min="2" max="2" width="42.81640625" style="72" customWidth="1"/>
    <col min="3" max="3" width="22" style="8" customWidth="1"/>
    <col min="4" max="4" width="23.26953125" style="72" customWidth="1"/>
    <col min="5" max="5" width="20.08984375" style="2" customWidth="1"/>
    <col min="6" max="6" width="17.453125" customWidth="1"/>
  </cols>
  <sheetData>
    <row r="1" spans="1:6" x14ac:dyDescent="0.35">
      <c r="A1" t="s">
        <v>201</v>
      </c>
    </row>
    <row r="2" spans="1:6" x14ac:dyDescent="0.35">
      <c r="A2" t="s">
        <v>202</v>
      </c>
    </row>
    <row r="3" spans="1:6" s="8" customFormat="1" x14ac:dyDescent="0.35">
      <c r="B3" s="72"/>
      <c r="D3" s="72"/>
      <c r="E3" s="2"/>
    </row>
    <row r="4" spans="1:6" s="8" customFormat="1" x14ac:dyDescent="0.35">
      <c r="A4" s="8" t="s">
        <v>306</v>
      </c>
      <c r="B4" s="72"/>
      <c r="D4" s="72"/>
      <c r="E4" s="2"/>
    </row>
    <row r="5" spans="1:6" s="8" customFormat="1" x14ac:dyDescent="0.35">
      <c r="A5" s="8" t="s">
        <v>307</v>
      </c>
      <c r="B5" s="72"/>
      <c r="D5" s="72"/>
      <c r="E5" s="2"/>
    </row>
    <row r="6" spans="1:6" s="8" customFormat="1" x14ac:dyDescent="0.35">
      <c r="B6" s="72"/>
      <c r="D6" s="72"/>
      <c r="E6" s="2"/>
    </row>
    <row r="7" spans="1:6" x14ac:dyDescent="0.35">
      <c r="A7" s="7" t="s">
        <v>203</v>
      </c>
      <c r="B7" s="73" t="s">
        <v>217</v>
      </c>
      <c r="C7" s="7" t="s">
        <v>244</v>
      </c>
      <c r="D7" s="73" t="s">
        <v>222</v>
      </c>
      <c r="E7" s="74" t="s">
        <v>234</v>
      </c>
      <c r="F7" s="7" t="s">
        <v>218</v>
      </c>
    </row>
    <row r="8" spans="1:6" x14ac:dyDescent="0.35">
      <c r="A8" t="s">
        <v>204</v>
      </c>
      <c r="B8" s="72" t="s">
        <v>220</v>
      </c>
      <c r="C8" s="8" t="s">
        <v>245</v>
      </c>
      <c r="D8" s="72" t="s">
        <v>225</v>
      </c>
      <c r="E8" s="2" t="s">
        <v>236</v>
      </c>
      <c r="F8" t="s">
        <v>219</v>
      </c>
    </row>
    <row r="9" spans="1:6" s="8" customFormat="1" x14ac:dyDescent="0.35">
      <c r="A9" s="8" t="s">
        <v>204</v>
      </c>
      <c r="B9" s="72" t="s">
        <v>221</v>
      </c>
      <c r="C9" s="8" t="s">
        <v>245</v>
      </c>
      <c r="D9" s="72" t="s">
        <v>224</v>
      </c>
      <c r="E9" s="71">
        <v>42840</v>
      </c>
      <c r="F9" s="8" t="s">
        <v>223</v>
      </c>
    </row>
    <row r="10" spans="1:6" s="8" customFormat="1" x14ac:dyDescent="0.35">
      <c r="A10" s="8" t="s">
        <v>204</v>
      </c>
      <c r="B10" s="72" t="s">
        <v>228</v>
      </c>
      <c r="C10" s="8" t="s">
        <v>245</v>
      </c>
      <c r="D10" s="72" t="s">
        <v>227</v>
      </c>
      <c r="E10" s="71">
        <v>42405</v>
      </c>
      <c r="F10" s="8" t="s">
        <v>226</v>
      </c>
    </row>
    <row r="11" spans="1:6" x14ac:dyDescent="0.35">
      <c r="A11" t="s">
        <v>205</v>
      </c>
      <c r="B11" s="72" t="s">
        <v>229</v>
      </c>
      <c r="C11" s="8" t="s">
        <v>245</v>
      </c>
      <c r="D11" s="72" t="s">
        <v>230</v>
      </c>
      <c r="E11" s="2" t="s">
        <v>236</v>
      </c>
      <c r="F11" t="s">
        <v>231</v>
      </c>
    </row>
    <row r="12" spans="1:6" x14ac:dyDescent="0.35">
      <c r="A12" t="s">
        <v>206</v>
      </c>
      <c r="B12" s="72" t="s">
        <v>232</v>
      </c>
      <c r="C12" s="8" t="s">
        <v>245</v>
      </c>
      <c r="D12" s="72" t="s">
        <v>233</v>
      </c>
      <c r="E12" s="71">
        <v>43220</v>
      </c>
      <c r="F12" t="s">
        <v>235</v>
      </c>
    </row>
    <row r="13" spans="1:6" ht="29" x14ac:dyDescent="0.35">
      <c r="A13" t="s">
        <v>207</v>
      </c>
      <c r="B13" s="72" t="s">
        <v>238</v>
      </c>
      <c r="C13" s="72" t="s">
        <v>257</v>
      </c>
      <c r="D13" s="72" t="s">
        <v>239</v>
      </c>
      <c r="E13" s="2" t="s">
        <v>236</v>
      </c>
      <c r="F13" t="s">
        <v>237</v>
      </c>
    </row>
    <row r="14" spans="1:6" x14ac:dyDescent="0.35">
      <c r="A14" t="s">
        <v>214</v>
      </c>
      <c r="B14" s="72" t="s">
        <v>240</v>
      </c>
    </row>
    <row r="15" spans="1:6" ht="29" x14ac:dyDescent="0.35">
      <c r="A15" t="s">
        <v>208</v>
      </c>
      <c r="B15" s="72" t="s">
        <v>242</v>
      </c>
      <c r="C15" s="72" t="s">
        <v>241</v>
      </c>
      <c r="D15" s="72" t="s">
        <v>326</v>
      </c>
      <c r="E15" s="2" t="s">
        <v>236</v>
      </c>
      <c r="F15" t="s">
        <v>243</v>
      </c>
    </row>
    <row r="16" spans="1:6" x14ac:dyDescent="0.35">
      <c r="A16" t="s">
        <v>209</v>
      </c>
      <c r="B16" s="72" t="s">
        <v>240</v>
      </c>
    </row>
    <row r="17" spans="1:6" x14ac:dyDescent="0.35">
      <c r="A17" t="s">
        <v>210</v>
      </c>
      <c r="B17" s="72" t="s">
        <v>240</v>
      </c>
    </row>
    <row r="18" spans="1:6" ht="29" x14ac:dyDescent="0.35">
      <c r="A18" t="s">
        <v>211</v>
      </c>
      <c r="B18" s="72" t="s">
        <v>246</v>
      </c>
      <c r="C18" s="72" t="s">
        <v>249</v>
      </c>
      <c r="D18" s="6" t="s">
        <v>252</v>
      </c>
      <c r="E18" s="2" t="s">
        <v>236</v>
      </c>
      <c r="F18" t="s">
        <v>251</v>
      </c>
    </row>
    <row r="19" spans="1:6" s="8" customFormat="1" ht="29" x14ac:dyDescent="0.35">
      <c r="A19" s="8" t="s">
        <v>211</v>
      </c>
      <c r="B19" s="72" t="s">
        <v>247</v>
      </c>
      <c r="C19" s="72" t="s">
        <v>250</v>
      </c>
      <c r="D19" s="6" t="s">
        <v>252</v>
      </c>
      <c r="E19" s="71">
        <v>43070</v>
      </c>
      <c r="F19" s="8" t="s">
        <v>248</v>
      </c>
    </row>
    <row r="20" spans="1:6" x14ac:dyDescent="0.35">
      <c r="A20" t="s">
        <v>212</v>
      </c>
      <c r="B20" s="72" t="s">
        <v>240</v>
      </c>
      <c r="C20" s="72"/>
    </row>
    <row r="21" spans="1:6" ht="29" x14ac:dyDescent="0.35">
      <c r="A21" t="s">
        <v>213</v>
      </c>
      <c r="B21" s="72" t="s">
        <v>253</v>
      </c>
      <c r="C21" s="72" t="s">
        <v>260</v>
      </c>
      <c r="D21" s="72" t="s">
        <v>259</v>
      </c>
      <c r="E21" s="2" t="s">
        <v>236</v>
      </c>
      <c r="F21" t="s">
        <v>261</v>
      </c>
    </row>
    <row r="22" spans="1:6" s="8" customFormat="1" ht="29" x14ac:dyDescent="0.35">
      <c r="A22" s="8" t="s">
        <v>213</v>
      </c>
      <c r="B22" s="72" t="s">
        <v>254</v>
      </c>
      <c r="C22" s="72" t="s">
        <v>256</v>
      </c>
      <c r="D22" s="72" t="s">
        <v>255</v>
      </c>
      <c r="E22" s="71">
        <v>43190</v>
      </c>
      <c r="F22" s="8" t="s">
        <v>258</v>
      </c>
    </row>
    <row r="23" spans="1:6" ht="29" x14ac:dyDescent="0.35">
      <c r="A23" t="s">
        <v>216</v>
      </c>
      <c r="B23" s="72" t="s">
        <v>262</v>
      </c>
      <c r="C23" s="72" t="s">
        <v>273</v>
      </c>
      <c r="D23" s="72" t="s">
        <v>272</v>
      </c>
      <c r="E23" s="2" t="s">
        <v>236</v>
      </c>
      <c r="F23" t="s">
        <v>274</v>
      </c>
    </row>
    <row r="24" spans="1:6" s="8" customFormat="1" x14ac:dyDescent="0.35">
      <c r="A24" s="8" t="s">
        <v>216</v>
      </c>
      <c r="B24" s="72" t="s">
        <v>263</v>
      </c>
      <c r="C24" s="72" t="s">
        <v>268</v>
      </c>
      <c r="D24" s="72" t="s">
        <v>271</v>
      </c>
      <c r="E24" s="2" t="s">
        <v>270</v>
      </c>
      <c r="F24" s="8" t="s">
        <v>269</v>
      </c>
    </row>
    <row r="25" spans="1:6" s="8" customFormat="1" x14ac:dyDescent="0.35">
      <c r="A25" s="8" t="s">
        <v>216</v>
      </c>
      <c r="B25" s="72" t="s">
        <v>264</v>
      </c>
      <c r="C25" s="8" t="s">
        <v>267</v>
      </c>
      <c r="D25" s="72" t="s">
        <v>265</v>
      </c>
      <c r="E25" s="71">
        <v>43434</v>
      </c>
      <c r="F25" s="8" t="s">
        <v>266</v>
      </c>
    </row>
    <row r="26" spans="1:6" ht="43.5" x14ac:dyDescent="0.35">
      <c r="A26" t="s">
        <v>215</v>
      </c>
      <c r="B26" s="72" t="s">
        <v>275</v>
      </c>
      <c r="C26" s="72" t="s">
        <v>277</v>
      </c>
      <c r="D26" s="72" t="s">
        <v>327</v>
      </c>
      <c r="E26" s="2" t="s">
        <v>236</v>
      </c>
      <c r="F26" t="s">
        <v>276</v>
      </c>
    </row>
    <row r="27" spans="1:6" ht="43.5" x14ac:dyDescent="0.35">
      <c r="A27" s="8" t="s">
        <v>215</v>
      </c>
      <c r="B27" s="72" t="s">
        <v>278</v>
      </c>
      <c r="C27" s="72" t="s">
        <v>279</v>
      </c>
      <c r="D27" s="72" t="s">
        <v>280</v>
      </c>
      <c r="E27" s="2" t="s">
        <v>236</v>
      </c>
      <c r="F27" t="s">
        <v>281</v>
      </c>
    </row>
    <row r="28" spans="1:6" ht="29" x14ac:dyDescent="0.35">
      <c r="A28" s="8" t="s">
        <v>215</v>
      </c>
      <c r="B28" s="72" t="s">
        <v>282</v>
      </c>
      <c r="C28" s="72" t="s">
        <v>283</v>
      </c>
      <c r="D28" s="72" t="s">
        <v>285</v>
      </c>
      <c r="E28" s="2" t="s">
        <v>236</v>
      </c>
      <c r="F28" t="s">
        <v>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heetViews>
  <sheetFormatPr defaultRowHeight="14.5" x14ac:dyDescent="0.35"/>
  <cols>
    <col min="1" max="1" width="33.453125" customWidth="1"/>
    <col min="2" max="2" width="20.81640625" customWidth="1"/>
  </cols>
  <sheetData>
    <row r="1" spans="1:3" x14ac:dyDescent="0.35">
      <c r="A1" s="1" t="s">
        <v>312</v>
      </c>
    </row>
    <row r="2" spans="1:3" x14ac:dyDescent="0.35">
      <c r="A2" t="s">
        <v>313</v>
      </c>
    </row>
    <row r="3" spans="1:3" x14ac:dyDescent="0.35">
      <c r="A3" t="s">
        <v>314</v>
      </c>
      <c r="B3" s="4">
        <v>0.13</v>
      </c>
      <c r="C3" s="9" t="s">
        <v>315</v>
      </c>
    </row>
    <row r="4" spans="1:3" x14ac:dyDescent="0.35">
      <c r="A4" t="s">
        <v>316</v>
      </c>
      <c r="B4" s="4">
        <v>3</v>
      </c>
      <c r="C4" t="s">
        <v>317</v>
      </c>
    </row>
    <row r="5" spans="1:3" x14ac:dyDescent="0.35">
      <c r="A5" t="s">
        <v>318</v>
      </c>
    </row>
    <row r="6" spans="1:3" x14ac:dyDescent="0.35">
      <c r="A6" t="s">
        <v>319</v>
      </c>
    </row>
    <row r="7" spans="1:3" x14ac:dyDescent="0.35">
      <c r="A7" t="s">
        <v>323</v>
      </c>
      <c r="B7" s="75">
        <v>4529970.0112122661</v>
      </c>
      <c r="C7" s="9" t="s">
        <v>334</v>
      </c>
    </row>
    <row r="8" spans="1:3" x14ac:dyDescent="0.35">
      <c r="A8" t="s">
        <v>321</v>
      </c>
    </row>
    <row r="10" spans="1:3" x14ac:dyDescent="0.35">
      <c r="A10" s="1" t="s">
        <v>303</v>
      </c>
    </row>
    <row r="11" spans="1:3" x14ac:dyDescent="0.35">
      <c r="A11" s="8" t="s">
        <v>290</v>
      </c>
      <c r="B11" s="66">
        <v>72287.323900000003</v>
      </c>
    </row>
    <row r="12" spans="1:3" x14ac:dyDescent="0.35">
      <c r="A12" s="8" t="s">
        <v>291</v>
      </c>
      <c r="B12" s="66">
        <v>91211.1443</v>
      </c>
    </row>
    <row r="13" spans="1:3" x14ac:dyDescent="0.35">
      <c r="A13" s="8" t="s">
        <v>292</v>
      </c>
      <c r="B13" s="66">
        <v>26242.086200000002</v>
      </c>
    </row>
    <row r="14" spans="1:3" x14ac:dyDescent="0.35">
      <c r="A14" s="8" t="s">
        <v>293</v>
      </c>
      <c r="B14" s="66">
        <v>40211.313399999999</v>
      </c>
    </row>
    <row r="15" spans="1:3" x14ac:dyDescent="0.35">
      <c r="A15" s="8" t="s">
        <v>294</v>
      </c>
      <c r="B15" s="66">
        <v>174651.49280000001</v>
      </c>
    </row>
    <row r="16" spans="1:3" x14ac:dyDescent="0.35">
      <c r="A16" s="8" t="s">
        <v>295</v>
      </c>
      <c r="B16" s="66">
        <v>195804.10200000001</v>
      </c>
    </row>
    <row r="17" spans="1:5" x14ac:dyDescent="0.35">
      <c r="A17" s="8" t="s">
        <v>296</v>
      </c>
      <c r="B17" s="66">
        <v>10834.447899999999</v>
      </c>
    </row>
    <row r="18" spans="1:5" x14ac:dyDescent="0.35">
      <c r="A18" s="8" t="s">
        <v>297</v>
      </c>
      <c r="B18" s="66">
        <v>12698.9269</v>
      </c>
    </row>
    <row r="19" spans="1:5" x14ac:dyDescent="0.35">
      <c r="A19" s="8" t="s">
        <v>298</v>
      </c>
      <c r="B19" s="66">
        <v>41145.587299999999</v>
      </c>
    </row>
    <row r="20" spans="1:5" x14ac:dyDescent="0.35">
      <c r="A20" s="8" t="s">
        <v>299</v>
      </c>
      <c r="B20" s="66">
        <v>440.48450000000003</v>
      </c>
    </row>
    <row r="21" spans="1:5" x14ac:dyDescent="0.35">
      <c r="A21" s="8" t="s">
        <v>300</v>
      </c>
      <c r="B21" s="66">
        <v>442.90550000000002</v>
      </c>
    </row>
    <row r="22" spans="1:5" x14ac:dyDescent="0.35">
      <c r="A22" s="8" t="s">
        <v>301</v>
      </c>
      <c r="B22" s="66">
        <v>831.02359999999999</v>
      </c>
    </row>
    <row r="23" spans="1:5" x14ac:dyDescent="0.35">
      <c r="A23" s="8" t="s">
        <v>302</v>
      </c>
      <c r="B23" s="66">
        <v>152.11869999999999</v>
      </c>
    </row>
    <row r="27" spans="1:5" x14ac:dyDescent="0.35">
      <c r="A27" s="1" t="s">
        <v>203</v>
      </c>
      <c r="B27" s="1" t="s">
        <v>336</v>
      </c>
      <c r="C27" s="3" t="s">
        <v>320</v>
      </c>
      <c r="D27" s="3" t="s">
        <v>335</v>
      </c>
      <c r="E27" s="3" t="s">
        <v>329</v>
      </c>
    </row>
    <row r="28" spans="1:5" x14ac:dyDescent="0.35">
      <c r="A28" s="8" t="s">
        <v>290</v>
      </c>
      <c r="B28" t="s">
        <v>322</v>
      </c>
      <c r="C28" s="66">
        <f>B7*0.05</f>
        <v>226498.50056061332</v>
      </c>
      <c r="D28">
        <f>365*24*$B$4</f>
        <v>26280</v>
      </c>
      <c r="E28" s="65">
        <f>C28/D28*$B$3</f>
        <v>1.1204263726362151</v>
      </c>
    </row>
    <row r="29" spans="1:5" x14ac:dyDescent="0.35">
      <c r="A29" s="8" t="s">
        <v>291</v>
      </c>
      <c r="B29" s="8" t="s">
        <v>225</v>
      </c>
      <c r="C29">
        <v>750000</v>
      </c>
      <c r="D29" s="8">
        <f>365*24*$B$4</f>
        <v>26280</v>
      </c>
      <c r="E29" s="65">
        <f>C29/D29*$B$3</f>
        <v>3.7100456621004567</v>
      </c>
    </row>
    <row r="30" spans="1:5" x14ac:dyDescent="0.35">
      <c r="A30" s="8" t="s">
        <v>292</v>
      </c>
      <c r="B30" t="s">
        <v>271</v>
      </c>
      <c r="C30" s="76"/>
      <c r="D30" s="76"/>
      <c r="E30" s="66">
        <f>10.82/100*10^3</f>
        <v>108.2</v>
      </c>
    </row>
    <row r="31" spans="1:5" x14ac:dyDescent="0.35">
      <c r="A31" s="8" t="s">
        <v>293</v>
      </c>
      <c r="B31" t="s">
        <v>325</v>
      </c>
      <c r="C31" s="76"/>
      <c r="D31" s="76"/>
      <c r="E31" s="76"/>
    </row>
    <row r="32" spans="1:5" x14ac:dyDescent="0.35">
      <c r="A32" s="8" t="s">
        <v>294</v>
      </c>
      <c r="B32" t="s">
        <v>324</v>
      </c>
      <c r="C32" s="76"/>
      <c r="D32" s="76"/>
      <c r="E32" s="67">
        <v>192</v>
      </c>
    </row>
    <row r="33" spans="1:5" x14ac:dyDescent="0.35">
      <c r="A33" s="8" t="s">
        <v>295</v>
      </c>
      <c r="B33" s="8" t="s">
        <v>325</v>
      </c>
      <c r="C33" s="76"/>
      <c r="D33" s="76"/>
      <c r="E33" s="76"/>
    </row>
    <row r="34" spans="1:5" x14ac:dyDescent="0.35">
      <c r="A34" s="8" t="s">
        <v>296</v>
      </c>
      <c r="B34" s="8" t="s">
        <v>325</v>
      </c>
      <c r="C34" s="76"/>
      <c r="D34" s="76"/>
      <c r="E34" s="76"/>
    </row>
    <row r="35" spans="1:5" x14ac:dyDescent="0.35">
      <c r="A35" s="8" t="s">
        <v>297</v>
      </c>
      <c r="B35" s="8" t="s">
        <v>325</v>
      </c>
      <c r="C35" s="76"/>
      <c r="D35" s="76"/>
      <c r="E35" s="76"/>
    </row>
    <row r="36" spans="1:5" x14ac:dyDescent="0.35">
      <c r="A36" s="8" t="s">
        <v>298</v>
      </c>
      <c r="B36" s="8" t="s">
        <v>325</v>
      </c>
      <c r="C36" s="76"/>
      <c r="D36" s="76"/>
      <c r="E36" s="76"/>
    </row>
    <row r="37" spans="1:5" x14ac:dyDescent="0.35">
      <c r="A37" s="8" t="s">
        <v>299</v>
      </c>
      <c r="B37" s="8" t="s">
        <v>325</v>
      </c>
      <c r="C37" s="76"/>
      <c r="D37" s="76"/>
      <c r="E37" s="76"/>
    </row>
    <row r="38" spans="1:5" x14ac:dyDescent="0.35">
      <c r="A38" s="8" t="s">
        <v>300</v>
      </c>
      <c r="B38" t="s">
        <v>328</v>
      </c>
      <c r="C38" s="76"/>
      <c r="D38" s="76"/>
      <c r="E38">
        <f>AVERAGE(0.21,0.3)*10^3</f>
        <v>255</v>
      </c>
    </row>
    <row r="39" spans="1:5" x14ac:dyDescent="0.35">
      <c r="A39" s="8" t="s">
        <v>301</v>
      </c>
      <c r="B39" s="4" t="s">
        <v>330</v>
      </c>
      <c r="C39" s="76"/>
      <c r="D39" s="76"/>
      <c r="E39" s="5">
        <f>E38</f>
        <v>255</v>
      </c>
    </row>
    <row r="40" spans="1:5" x14ac:dyDescent="0.35">
      <c r="A40" s="8" t="s">
        <v>302</v>
      </c>
      <c r="B40" s="8" t="s">
        <v>325</v>
      </c>
      <c r="C40" s="76"/>
      <c r="D40" s="76"/>
      <c r="E40" s="76"/>
    </row>
    <row r="42" spans="1:5" x14ac:dyDescent="0.35">
      <c r="A42" t="s">
        <v>331</v>
      </c>
    </row>
    <row r="43" spans="1:5" x14ac:dyDescent="0.35">
      <c r="A43" t="s">
        <v>332</v>
      </c>
    </row>
    <row r="44" spans="1:5" x14ac:dyDescent="0.35">
      <c r="A44" t="s">
        <v>333</v>
      </c>
    </row>
    <row r="46" spans="1:5" x14ac:dyDescent="0.35">
      <c r="A46" s="1" t="s">
        <v>337</v>
      </c>
    </row>
    <row r="47" spans="1:5" x14ac:dyDescent="0.35">
      <c r="A47" s="65">
        <f>SUMPRODUCT(B11:B23,E28:E40)/SUM(B11:B23)</f>
        <v>55.651185004477455</v>
      </c>
      <c r="B47" t="s">
        <v>329</v>
      </c>
    </row>
    <row r="49" spans="1:1" x14ac:dyDescent="0.35">
      <c r="A49" t="s">
        <v>338</v>
      </c>
    </row>
    <row r="50" spans="1:1" x14ac:dyDescent="0.35">
      <c r="A50" t="s">
        <v>339</v>
      </c>
    </row>
    <row r="51" spans="1:1" x14ac:dyDescent="0.35">
      <c r="A51" t="s">
        <v>340</v>
      </c>
    </row>
    <row r="52" spans="1:1" x14ac:dyDescent="0.35">
      <c r="A52" t="s">
        <v>341</v>
      </c>
    </row>
    <row r="54" spans="1:1" x14ac:dyDescent="0.35">
      <c r="A54" t="s">
        <v>342</v>
      </c>
    </row>
    <row r="55" spans="1:1" x14ac:dyDescent="0.35">
      <c r="A55" t="s">
        <v>343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7"/>
  <sheetViews>
    <sheetView workbookViewId="0"/>
  </sheetViews>
  <sheetFormatPr defaultColWidth="9.1796875" defaultRowHeight="14.5" x14ac:dyDescent="0.35"/>
  <cols>
    <col min="1" max="1" width="26.54296875" style="6" customWidth="1"/>
    <col min="2" max="16384" width="9.1796875" style="6"/>
  </cols>
  <sheetData>
    <row r="1" spans="1:37" x14ac:dyDescent="0.25">
      <c r="A1" s="6" t="s">
        <v>11</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25">
      <c r="A2" s="6" t="s">
        <v>12</v>
      </c>
      <c r="B2" s="6">
        <v>0</v>
      </c>
      <c r="C2" s="6">
        <v>0</v>
      </c>
      <c r="D2" s="6">
        <v>0</v>
      </c>
      <c r="E2" s="6">
        <v>0</v>
      </c>
      <c r="F2" s="6">
        <v>0</v>
      </c>
      <c r="G2" s="6">
        <v>0</v>
      </c>
      <c r="H2" s="6">
        <v>0</v>
      </c>
      <c r="I2" s="6">
        <v>0</v>
      </c>
      <c r="J2" s="6">
        <v>0</v>
      </c>
      <c r="K2" s="6">
        <v>0</v>
      </c>
      <c r="L2" s="6">
        <v>0</v>
      </c>
      <c r="M2" s="6">
        <v>0</v>
      </c>
      <c r="N2" s="6">
        <v>0</v>
      </c>
      <c r="O2" s="6">
        <v>0</v>
      </c>
      <c r="P2" s="6">
        <v>0</v>
      </c>
      <c r="Q2" s="6">
        <v>0</v>
      </c>
      <c r="R2" s="6">
        <f>TREND($I2:$Q2,$I$1:$Q$1,R$1)</f>
        <v>0</v>
      </c>
      <c r="S2" s="6">
        <f>TREND($I2:$Q2,$I$1:$Q$1,S$1)</f>
        <v>0</v>
      </c>
      <c r="T2" s="6">
        <f>TREND($I2:$Q2,$I$1:$Q$1,T$1)</f>
        <v>0</v>
      </c>
      <c r="U2" s="6">
        <f>TREND($I2:$Q2,$I$1:$Q$1,U$1)</f>
        <v>0</v>
      </c>
      <c r="V2" s="6">
        <f>TREND($I2:$Q2,$I$1:$Q$1,V$1)</f>
        <v>0</v>
      </c>
      <c r="W2" s="6">
        <f>TREND($I2:$Q2,$I$1:$Q$1,W$1)</f>
        <v>0</v>
      </c>
      <c r="X2" s="6">
        <f>TREND($I2:$Q2,$I$1:$Q$1,X$1)</f>
        <v>0</v>
      </c>
      <c r="Y2" s="6">
        <f>TREND($I2:$Q2,$I$1:$Q$1,Y$1)</f>
        <v>0</v>
      </c>
      <c r="Z2" s="6">
        <f>TREND($I2:$Q2,$I$1:$Q$1,Z$1)</f>
        <v>0</v>
      </c>
      <c r="AA2" s="6">
        <f>TREND($I2:$Q2,$I$1:$Q$1,AA$1)</f>
        <v>0</v>
      </c>
      <c r="AB2" s="6">
        <f>TREND($I2:$Q2,$I$1:$Q$1,AB$1)</f>
        <v>0</v>
      </c>
      <c r="AC2" s="6">
        <f>TREND($I2:$Q2,$I$1:$Q$1,AC$1)</f>
        <v>0</v>
      </c>
      <c r="AD2" s="6">
        <f>TREND($I2:$Q2,$I$1:$Q$1,AD$1)</f>
        <v>0</v>
      </c>
      <c r="AE2" s="6">
        <f>TREND($I2:$Q2,$I$1:$Q$1,AE$1)</f>
        <v>0</v>
      </c>
      <c r="AF2" s="6">
        <f>TREND($I2:$Q2,$I$1:$Q$1,AF$1)</f>
        <v>0</v>
      </c>
      <c r="AG2" s="6">
        <f>TREND($I2:$Q2,$I$1:$Q$1,AG$1)</f>
        <v>0</v>
      </c>
      <c r="AH2" s="6">
        <f>TREND($I2:$Q2,$I$1:$Q$1,AH$1)</f>
        <v>0</v>
      </c>
      <c r="AI2" s="6">
        <f>TREND($I2:$Q2,$I$1:$Q$1,AI$1)</f>
        <v>0</v>
      </c>
      <c r="AJ2" s="6">
        <f>TREND($I2:$Q2,$I$1:$Q$1,AJ$1)</f>
        <v>0</v>
      </c>
      <c r="AK2" s="6">
        <f>TREND($I2:$Q2,$I$1:$Q$1,AK$1)</f>
        <v>0</v>
      </c>
    </row>
    <row r="3" spans="1:37" x14ac:dyDescent="0.25">
      <c r="A3" s="6" t="s">
        <v>42</v>
      </c>
      <c r="B3" s="10">
        <f>'CAN Fossil Calculations'!F22</f>
        <v>2.2898817080232294E-7</v>
      </c>
      <c r="C3" s="10">
        <f>$B3</f>
        <v>2.2898817080232294E-7</v>
      </c>
      <c r="D3" s="10">
        <f t="shared" ref="D3:AK4" si="0">$B3</f>
        <v>2.2898817080232294E-7</v>
      </c>
      <c r="E3" s="10">
        <f t="shared" si="0"/>
        <v>2.2898817080232294E-7</v>
      </c>
      <c r="F3" s="10">
        <f t="shared" si="0"/>
        <v>2.2898817080232294E-7</v>
      </c>
      <c r="G3" s="10">
        <f t="shared" si="0"/>
        <v>2.2898817080232294E-7</v>
      </c>
      <c r="H3" s="10">
        <f t="shared" si="0"/>
        <v>2.2898817080232294E-7</v>
      </c>
      <c r="I3" s="10">
        <f t="shared" si="0"/>
        <v>2.2898817080232294E-7</v>
      </c>
      <c r="J3" s="10">
        <f t="shared" si="0"/>
        <v>2.2898817080232294E-7</v>
      </c>
      <c r="K3" s="10">
        <f t="shared" si="0"/>
        <v>2.2898817080232294E-7</v>
      </c>
      <c r="L3" s="10">
        <f t="shared" si="0"/>
        <v>2.2898817080232294E-7</v>
      </c>
      <c r="M3" s="10">
        <f t="shared" si="0"/>
        <v>2.2898817080232294E-7</v>
      </c>
      <c r="N3" s="10">
        <f t="shared" si="0"/>
        <v>2.2898817080232294E-7</v>
      </c>
      <c r="O3" s="10">
        <f t="shared" si="0"/>
        <v>2.2898817080232294E-7</v>
      </c>
      <c r="P3" s="10">
        <f t="shared" si="0"/>
        <v>2.2898817080232294E-7</v>
      </c>
      <c r="Q3" s="10">
        <f t="shared" si="0"/>
        <v>2.2898817080232294E-7</v>
      </c>
      <c r="R3" s="10">
        <f t="shared" si="0"/>
        <v>2.2898817080232294E-7</v>
      </c>
      <c r="S3" s="10">
        <f t="shared" si="0"/>
        <v>2.2898817080232294E-7</v>
      </c>
      <c r="T3" s="10">
        <f t="shared" si="0"/>
        <v>2.2898817080232294E-7</v>
      </c>
      <c r="U3" s="10">
        <f t="shared" si="0"/>
        <v>2.2898817080232294E-7</v>
      </c>
      <c r="V3" s="10">
        <f t="shared" si="0"/>
        <v>2.2898817080232294E-7</v>
      </c>
      <c r="W3" s="10">
        <f t="shared" si="0"/>
        <v>2.2898817080232294E-7</v>
      </c>
      <c r="X3" s="10">
        <f t="shared" si="0"/>
        <v>2.2898817080232294E-7</v>
      </c>
      <c r="Y3" s="10">
        <f t="shared" si="0"/>
        <v>2.2898817080232294E-7</v>
      </c>
      <c r="Z3" s="10">
        <f t="shared" si="0"/>
        <v>2.2898817080232294E-7</v>
      </c>
      <c r="AA3" s="10">
        <f t="shared" si="0"/>
        <v>2.2898817080232294E-7</v>
      </c>
      <c r="AB3" s="10">
        <f t="shared" si="0"/>
        <v>2.2898817080232294E-7</v>
      </c>
      <c r="AC3" s="10">
        <f t="shared" si="0"/>
        <v>2.2898817080232294E-7</v>
      </c>
      <c r="AD3" s="10">
        <f t="shared" si="0"/>
        <v>2.2898817080232294E-7</v>
      </c>
      <c r="AE3" s="10">
        <f t="shared" si="0"/>
        <v>2.2898817080232294E-7</v>
      </c>
      <c r="AF3" s="10">
        <f t="shared" si="0"/>
        <v>2.2898817080232294E-7</v>
      </c>
      <c r="AG3" s="10">
        <f t="shared" si="0"/>
        <v>2.2898817080232294E-7</v>
      </c>
      <c r="AH3" s="10">
        <f t="shared" si="0"/>
        <v>2.2898817080232294E-7</v>
      </c>
      <c r="AI3" s="10">
        <f t="shared" si="0"/>
        <v>2.2898817080232294E-7</v>
      </c>
      <c r="AJ3" s="10">
        <f t="shared" si="0"/>
        <v>2.2898817080232294E-7</v>
      </c>
      <c r="AK3" s="10">
        <f t="shared" si="0"/>
        <v>2.2898817080232294E-7</v>
      </c>
    </row>
    <row r="4" spans="1:37" x14ac:dyDescent="0.25">
      <c r="A4" s="6" t="s">
        <v>17</v>
      </c>
      <c r="B4" s="10">
        <f>'CAN Fossil Calculations'!F23</f>
        <v>3.1973959926445952E-7</v>
      </c>
      <c r="C4" s="10">
        <f>$B4</f>
        <v>3.1973959926445952E-7</v>
      </c>
      <c r="D4" s="10">
        <f t="shared" si="0"/>
        <v>3.1973959926445952E-7</v>
      </c>
      <c r="E4" s="10">
        <f t="shared" si="0"/>
        <v>3.1973959926445952E-7</v>
      </c>
      <c r="F4" s="10">
        <f t="shared" si="0"/>
        <v>3.1973959926445952E-7</v>
      </c>
      <c r="G4" s="10">
        <f t="shared" si="0"/>
        <v>3.1973959926445952E-7</v>
      </c>
      <c r="H4" s="10">
        <f t="shared" si="0"/>
        <v>3.1973959926445952E-7</v>
      </c>
      <c r="I4" s="10">
        <f t="shared" si="0"/>
        <v>3.1973959926445952E-7</v>
      </c>
      <c r="J4" s="10">
        <f t="shared" si="0"/>
        <v>3.1973959926445952E-7</v>
      </c>
      <c r="K4" s="10">
        <f t="shared" si="0"/>
        <v>3.1973959926445952E-7</v>
      </c>
      <c r="L4" s="10">
        <f t="shared" si="0"/>
        <v>3.1973959926445952E-7</v>
      </c>
      <c r="M4" s="10">
        <f t="shared" si="0"/>
        <v>3.1973959926445952E-7</v>
      </c>
      <c r="N4" s="10">
        <f t="shared" si="0"/>
        <v>3.1973959926445952E-7</v>
      </c>
      <c r="O4" s="10">
        <f t="shared" si="0"/>
        <v>3.1973959926445952E-7</v>
      </c>
      <c r="P4" s="10">
        <f t="shared" si="0"/>
        <v>3.1973959926445952E-7</v>
      </c>
      <c r="Q4" s="10">
        <f t="shared" si="0"/>
        <v>3.1973959926445952E-7</v>
      </c>
      <c r="R4" s="10">
        <f t="shared" si="0"/>
        <v>3.1973959926445952E-7</v>
      </c>
      <c r="S4" s="10">
        <f t="shared" si="0"/>
        <v>3.1973959926445952E-7</v>
      </c>
      <c r="T4" s="10">
        <f t="shared" si="0"/>
        <v>3.1973959926445952E-7</v>
      </c>
      <c r="U4" s="10">
        <f t="shared" si="0"/>
        <v>3.1973959926445952E-7</v>
      </c>
      <c r="V4" s="10">
        <f t="shared" si="0"/>
        <v>3.1973959926445952E-7</v>
      </c>
      <c r="W4" s="10">
        <f t="shared" si="0"/>
        <v>3.1973959926445952E-7</v>
      </c>
      <c r="X4" s="10">
        <f t="shared" si="0"/>
        <v>3.1973959926445952E-7</v>
      </c>
      <c r="Y4" s="10">
        <f t="shared" si="0"/>
        <v>3.1973959926445952E-7</v>
      </c>
      <c r="Z4" s="10">
        <f t="shared" si="0"/>
        <v>3.1973959926445952E-7</v>
      </c>
      <c r="AA4" s="10">
        <f t="shared" si="0"/>
        <v>3.1973959926445952E-7</v>
      </c>
      <c r="AB4" s="10">
        <f t="shared" si="0"/>
        <v>3.1973959926445952E-7</v>
      </c>
      <c r="AC4" s="10">
        <f t="shared" si="0"/>
        <v>3.1973959926445952E-7</v>
      </c>
      <c r="AD4" s="10">
        <f t="shared" si="0"/>
        <v>3.1973959926445952E-7</v>
      </c>
      <c r="AE4" s="10">
        <f t="shared" si="0"/>
        <v>3.1973959926445952E-7</v>
      </c>
      <c r="AF4" s="10">
        <f t="shared" si="0"/>
        <v>3.1973959926445952E-7</v>
      </c>
      <c r="AG4" s="10">
        <f t="shared" si="0"/>
        <v>3.1973959926445952E-7</v>
      </c>
      <c r="AH4" s="10">
        <f t="shared" si="0"/>
        <v>3.1973959926445952E-7</v>
      </c>
      <c r="AI4" s="10">
        <f t="shared" si="0"/>
        <v>3.1973959926445952E-7</v>
      </c>
      <c r="AJ4" s="10">
        <f t="shared" si="0"/>
        <v>3.1973959926445952E-7</v>
      </c>
      <c r="AK4" s="10">
        <f t="shared" si="0"/>
        <v>3.1973959926445952E-7</v>
      </c>
    </row>
    <row r="5" spans="1:37" x14ac:dyDescent="0.25">
      <c r="A5" s="6" t="s">
        <v>7</v>
      </c>
      <c r="B5" s="6">
        <v>0</v>
      </c>
      <c r="C5" s="6">
        <v>0</v>
      </c>
      <c r="D5" s="6">
        <v>0</v>
      </c>
      <c r="E5" s="6">
        <v>0</v>
      </c>
      <c r="F5" s="6">
        <v>0</v>
      </c>
      <c r="G5" s="6">
        <v>0</v>
      </c>
      <c r="H5" s="6">
        <v>0</v>
      </c>
      <c r="I5" s="6">
        <v>0</v>
      </c>
      <c r="J5" s="6">
        <v>0</v>
      </c>
      <c r="K5" s="6">
        <v>0</v>
      </c>
      <c r="L5" s="6">
        <v>0</v>
      </c>
      <c r="M5" s="6">
        <v>0</v>
      </c>
      <c r="N5" s="6">
        <v>0</v>
      </c>
      <c r="O5" s="6">
        <v>0</v>
      </c>
      <c r="P5" s="6">
        <v>0</v>
      </c>
      <c r="Q5" s="6">
        <v>0</v>
      </c>
      <c r="R5" s="6">
        <f>TREND($I5:$Q5,$I$1:$Q$1,R$1)</f>
        <v>0</v>
      </c>
      <c r="S5" s="6">
        <f>TREND($I5:$Q5,$I$1:$Q$1,S$1)</f>
        <v>0</v>
      </c>
      <c r="T5" s="6">
        <f>TREND($I5:$Q5,$I$1:$Q$1,T$1)</f>
        <v>0</v>
      </c>
      <c r="U5" s="6">
        <f>TREND($I5:$Q5,$I$1:$Q$1,U$1)</f>
        <v>0</v>
      </c>
      <c r="V5" s="6">
        <f>TREND($I5:$Q5,$I$1:$Q$1,V$1)</f>
        <v>0</v>
      </c>
      <c r="W5" s="6">
        <f>TREND($I5:$Q5,$I$1:$Q$1,W$1)</f>
        <v>0</v>
      </c>
      <c r="X5" s="6">
        <f>TREND($I5:$Q5,$I$1:$Q$1,X$1)</f>
        <v>0</v>
      </c>
      <c r="Y5" s="6">
        <f>TREND($I5:$Q5,$I$1:$Q$1,Y$1)</f>
        <v>0</v>
      </c>
      <c r="Z5" s="6">
        <f>TREND($I5:$Q5,$I$1:$Q$1,Z$1)</f>
        <v>0</v>
      </c>
      <c r="AA5" s="6">
        <f>TREND($I5:$Q5,$I$1:$Q$1,AA$1)</f>
        <v>0</v>
      </c>
      <c r="AB5" s="6">
        <f>TREND($I5:$Q5,$I$1:$Q$1,AB$1)</f>
        <v>0</v>
      </c>
      <c r="AC5" s="6">
        <f>TREND($I5:$Q5,$I$1:$Q$1,AC$1)</f>
        <v>0</v>
      </c>
      <c r="AD5" s="6">
        <f>TREND($I5:$Q5,$I$1:$Q$1,AD$1)</f>
        <v>0</v>
      </c>
      <c r="AE5" s="6">
        <f>TREND($I5:$Q5,$I$1:$Q$1,AE$1)</f>
        <v>0</v>
      </c>
      <c r="AF5" s="6">
        <f>TREND($I5:$Q5,$I$1:$Q$1,AF$1)</f>
        <v>0</v>
      </c>
      <c r="AG5" s="6">
        <f>TREND($I5:$Q5,$I$1:$Q$1,AG$1)</f>
        <v>0</v>
      </c>
      <c r="AH5" s="6">
        <f>TREND($I5:$Q5,$I$1:$Q$1,AH$1)</f>
        <v>0</v>
      </c>
      <c r="AI5" s="6">
        <f>TREND($I5:$Q5,$I$1:$Q$1,AI$1)</f>
        <v>0</v>
      </c>
      <c r="AJ5" s="6">
        <f>TREND($I5:$Q5,$I$1:$Q$1,AJ$1)</f>
        <v>0</v>
      </c>
      <c r="AK5" s="6">
        <f>TREND($I5:$Q5,$I$1:$Q$1,AK$1)</f>
        <v>0</v>
      </c>
    </row>
    <row r="6" spans="1:37" x14ac:dyDescent="0.25">
      <c r="A6" s="6" t="s">
        <v>4</v>
      </c>
      <c r="B6" s="6">
        <v>0</v>
      </c>
      <c r="C6" s="6">
        <v>0</v>
      </c>
      <c r="D6" s="6">
        <v>0</v>
      </c>
      <c r="E6" s="6">
        <v>0</v>
      </c>
      <c r="F6" s="6">
        <v>0</v>
      </c>
      <c r="G6" s="6">
        <v>0</v>
      </c>
      <c r="H6" s="6">
        <v>0</v>
      </c>
      <c r="I6" s="6">
        <v>0</v>
      </c>
      <c r="J6" s="6">
        <v>0</v>
      </c>
      <c r="K6" s="6">
        <v>0</v>
      </c>
      <c r="L6" s="6">
        <v>0</v>
      </c>
      <c r="M6" s="6">
        <v>0</v>
      </c>
      <c r="N6" s="6">
        <v>0</v>
      </c>
      <c r="O6" s="6">
        <v>0</v>
      </c>
      <c r="P6" s="6">
        <v>0</v>
      </c>
      <c r="Q6" s="6">
        <v>0</v>
      </c>
      <c r="R6" s="6">
        <f>TREND($I6:$Q6,$I$1:$Q$1,R$1)</f>
        <v>0</v>
      </c>
      <c r="S6" s="6">
        <f>TREND($I6:$Q6,$I$1:$Q$1,S$1)</f>
        <v>0</v>
      </c>
      <c r="T6" s="6">
        <f>TREND($I6:$Q6,$I$1:$Q$1,T$1)</f>
        <v>0</v>
      </c>
      <c r="U6" s="6">
        <f>TREND($I6:$Q6,$I$1:$Q$1,U$1)</f>
        <v>0</v>
      </c>
      <c r="V6" s="6">
        <f>TREND($I6:$Q6,$I$1:$Q$1,V$1)</f>
        <v>0</v>
      </c>
      <c r="W6" s="6">
        <f>TREND($I6:$Q6,$I$1:$Q$1,W$1)</f>
        <v>0</v>
      </c>
      <c r="X6" s="6">
        <f>TREND($I6:$Q6,$I$1:$Q$1,X$1)</f>
        <v>0</v>
      </c>
      <c r="Y6" s="6">
        <f>TREND($I6:$Q6,$I$1:$Q$1,Y$1)</f>
        <v>0</v>
      </c>
      <c r="Z6" s="6">
        <f>TREND($I6:$Q6,$I$1:$Q$1,Z$1)</f>
        <v>0</v>
      </c>
      <c r="AA6" s="6">
        <f>TREND($I6:$Q6,$I$1:$Q$1,AA$1)</f>
        <v>0</v>
      </c>
      <c r="AB6" s="6">
        <f>TREND($I6:$Q6,$I$1:$Q$1,AB$1)</f>
        <v>0</v>
      </c>
      <c r="AC6" s="6">
        <f>TREND($I6:$Q6,$I$1:$Q$1,AC$1)</f>
        <v>0</v>
      </c>
      <c r="AD6" s="6">
        <f>TREND($I6:$Q6,$I$1:$Q$1,AD$1)</f>
        <v>0</v>
      </c>
      <c r="AE6" s="6">
        <f>TREND($I6:$Q6,$I$1:$Q$1,AE$1)</f>
        <v>0</v>
      </c>
      <c r="AF6" s="6">
        <f>TREND($I6:$Q6,$I$1:$Q$1,AF$1)</f>
        <v>0</v>
      </c>
      <c r="AG6" s="6">
        <f>TREND($I6:$Q6,$I$1:$Q$1,AG$1)</f>
        <v>0</v>
      </c>
      <c r="AH6" s="6">
        <f>TREND($I6:$Q6,$I$1:$Q$1,AH$1)</f>
        <v>0</v>
      </c>
      <c r="AI6" s="6">
        <f>TREND($I6:$Q6,$I$1:$Q$1,AI$1)</f>
        <v>0</v>
      </c>
      <c r="AJ6" s="6">
        <f>TREND($I6:$Q6,$I$1:$Q$1,AJ$1)</f>
        <v>0</v>
      </c>
      <c r="AK6" s="6">
        <f>TREND($I6:$Q6,$I$1:$Q$1,AK$1)</f>
        <v>0</v>
      </c>
    </row>
    <row r="7" spans="1:37" x14ac:dyDescent="0.25">
      <c r="A7" s="6" t="s">
        <v>3</v>
      </c>
      <c r="B7" s="6">
        <v>0</v>
      </c>
      <c r="C7" s="6">
        <v>0</v>
      </c>
      <c r="D7" s="6">
        <v>0</v>
      </c>
      <c r="E7" s="6">
        <v>0</v>
      </c>
      <c r="F7" s="6">
        <v>0</v>
      </c>
      <c r="G7" s="6">
        <v>0</v>
      </c>
      <c r="H7" s="6">
        <v>0</v>
      </c>
      <c r="I7" s="6">
        <v>0</v>
      </c>
      <c r="J7" s="6">
        <v>0</v>
      </c>
      <c r="K7" s="6">
        <v>0</v>
      </c>
      <c r="L7" s="6">
        <v>0</v>
      </c>
      <c r="M7" s="6">
        <v>0</v>
      </c>
      <c r="N7" s="6">
        <v>0</v>
      </c>
      <c r="O7" s="6">
        <v>0</v>
      </c>
      <c r="P7" s="6">
        <v>0</v>
      </c>
      <c r="Q7" s="6">
        <v>0</v>
      </c>
      <c r="R7" s="6">
        <f>TREND($I7:$Q7,$I$1:$Q$1,R$1)</f>
        <v>0</v>
      </c>
      <c r="S7" s="6">
        <f>TREND($I7:$Q7,$I$1:$Q$1,S$1)</f>
        <v>0</v>
      </c>
      <c r="T7" s="6">
        <f>TREND($I7:$Q7,$I$1:$Q$1,T$1)</f>
        <v>0</v>
      </c>
      <c r="U7" s="6">
        <f>TREND($I7:$Q7,$I$1:$Q$1,U$1)</f>
        <v>0</v>
      </c>
      <c r="V7" s="6">
        <f>TREND($I7:$Q7,$I$1:$Q$1,V$1)</f>
        <v>0</v>
      </c>
      <c r="W7" s="6">
        <f>TREND($I7:$Q7,$I$1:$Q$1,W$1)</f>
        <v>0</v>
      </c>
      <c r="X7" s="6">
        <f>TREND($I7:$Q7,$I$1:$Q$1,X$1)</f>
        <v>0</v>
      </c>
      <c r="Y7" s="6">
        <f>TREND($I7:$Q7,$I$1:$Q$1,Y$1)</f>
        <v>0</v>
      </c>
      <c r="Z7" s="6">
        <f>TREND($I7:$Q7,$I$1:$Q$1,Z$1)</f>
        <v>0</v>
      </c>
      <c r="AA7" s="6">
        <f>TREND($I7:$Q7,$I$1:$Q$1,AA$1)</f>
        <v>0</v>
      </c>
      <c r="AB7" s="6">
        <f>TREND($I7:$Q7,$I$1:$Q$1,AB$1)</f>
        <v>0</v>
      </c>
      <c r="AC7" s="6">
        <f>TREND($I7:$Q7,$I$1:$Q$1,AC$1)</f>
        <v>0</v>
      </c>
      <c r="AD7" s="6">
        <f>TREND($I7:$Q7,$I$1:$Q$1,AD$1)</f>
        <v>0</v>
      </c>
      <c r="AE7" s="6">
        <f>TREND($I7:$Q7,$I$1:$Q$1,AE$1)</f>
        <v>0</v>
      </c>
      <c r="AF7" s="6">
        <f>TREND($I7:$Q7,$I$1:$Q$1,AF$1)</f>
        <v>0</v>
      </c>
      <c r="AG7" s="6">
        <f>TREND($I7:$Q7,$I$1:$Q$1,AG$1)</f>
        <v>0</v>
      </c>
      <c r="AH7" s="6">
        <f>TREND($I7:$Q7,$I$1:$Q$1,AH$1)</f>
        <v>0</v>
      </c>
      <c r="AI7" s="6">
        <f>TREND($I7:$Q7,$I$1:$Q$1,AI$1)</f>
        <v>0</v>
      </c>
      <c r="AJ7" s="6">
        <f>TREND($I7:$Q7,$I$1:$Q$1,AJ$1)</f>
        <v>0</v>
      </c>
      <c r="AK7" s="6">
        <f>TREND($I7:$Q7,$I$1:$Q$1,AK$1)</f>
        <v>0</v>
      </c>
    </row>
    <row r="8" spans="1:37" x14ac:dyDescent="0.25">
      <c r="A8" s="6" t="s">
        <v>2</v>
      </c>
      <c r="B8" s="6">
        <v>0</v>
      </c>
      <c r="C8" s="6">
        <v>0</v>
      </c>
      <c r="D8" s="6">
        <v>0</v>
      </c>
      <c r="E8" s="6">
        <v>0</v>
      </c>
      <c r="F8" s="6">
        <v>0</v>
      </c>
      <c r="G8" s="6">
        <v>0</v>
      </c>
      <c r="H8" s="6">
        <v>0</v>
      </c>
      <c r="I8" s="6">
        <v>0</v>
      </c>
      <c r="J8" s="6">
        <v>0</v>
      </c>
      <c r="K8" s="6">
        <v>0</v>
      </c>
      <c r="L8" s="6">
        <v>0</v>
      </c>
      <c r="M8" s="6">
        <v>0</v>
      </c>
      <c r="N8" s="6">
        <v>0</v>
      </c>
      <c r="O8" s="6">
        <v>0</v>
      </c>
      <c r="P8" s="6">
        <v>0</v>
      </c>
      <c r="Q8" s="6">
        <v>0</v>
      </c>
      <c r="R8" s="6">
        <f>TREND($I8:$Q8,$I$1:$Q$1,R$1)</f>
        <v>0</v>
      </c>
      <c r="S8" s="6">
        <f>TREND($I8:$Q8,$I$1:$Q$1,S$1)</f>
        <v>0</v>
      </c>
      <c r="T8" s="6">
        <f>TREND($I8:$Q8,$I$1:$Q$1,T$1)</f>
        <v>0</v>
      </c>
      <c r="U8" s="6">
        <f>TREND($I8:$Q8,$I$1:$Q$1,U$1)</f>
        <v>0</v>
      </c>
      <c r="V8" s="6">
        <f>TREND($I8:$Q8,$I$1:$Q$1,V$1)</f>
        <v>0</v>
      </c>
      <c r="W8" s="6">
        <f>TREND($I8:$Q8,$I$1:$Q$1,W$1)</f>
        <v>0</v>
      </c>
      <c r="X8" s="6">
        <f>TREND($I8:$Q8,$I$1:$Q$1,X$1)</f>
        <v>0</v>
      </c>
      <c r="Y8" s="6">
        <f>TREND($I8:$Q8,$I$1:$Q$1,Y$1)</f>
        <v>0</v>
      </c>
      <c r="Z8" s="6">
        <f>TREND($I8:$Q8,$I$1:$Q$1,Z$1)</f>
        <v>0</v>
      </c>
      <c r="AA8" s="6">
        <f>TREND($I8:$Q8,$I$1:$Q$1,AA$1)</f>
        <v>0</v>
      </c>
      <c r="AB8" s="6">
        <f>TREND($I8:$Q8,$I$1:$Q$1,AB$1)</f>
        <v>0</v>
      </c>
      <c r="AC8" s="6">
        <f>TREND($I8:$Q8,$I$1:$Q$1,AC$1)</f>
        <v>0</v>
      </c>
      <c r="AD8" s="6">
        <f>TREND($I8:$Q8,$I$1:$Q$1,AD$1)</f>
        <v>0</v>
      </c>
      <c r="AE8" s="6">
        <f>TREND($I8:$Q8,$I$1:$Q$1,AE$1)</f>
        <v>0</v>
      </c>
      <c r="AF8" s="6">
        <f>TREND($I8:$Q8,$I$1:$Q$1,AF$1)</f>
        <v>0</v>
      </c>
      <c r="AG8" s="6">
        <f>TREND($I8:$Q8,$I$1:$Q$1,AG$1)</f>
        <v>0</v>
      </c>
      <c r="AH8" s="6">
        <f>TREND($I8:$Q8,$I$1:$Q$1,AH$1)</f>
        <v>0</v>
      </c>
      <c r="AI8" s="6">
        <f>TREND($I8:$Q8,$I$1:$Q$1,AI$1)</f>
        <v>0</v>
      </c>
      <c r="AJ8" s="6">
        <f>TREND($I8:$Q8,$I$1:$Q$1,AJ$1)</f>
        <v>0</v>
      </c>
      <c r="AK8" s="6">
        <f>TREND($I8:$Q8,$I$1:$Q$1,AK$1)</f>
        <v>0</v>
      </c>
    </row>
    <row r="9" spans="1:37" x14ac:dyDescent="0.25">
      <c r="A9" s="6" t="s">
        <v>18</v>
      </c>
      <c r="B9" s="6">
        <v>0</v>
      </c>
      <c r="C9" s="6">
        <v>0</v>
      </c>
      <c r="D9" s="6">
        <v>0</v>
      </c>
      <c r="E9" s="6">
        <v>0</v>
      </c>
      <c r="F9" s="6">
        <v>0</v>
      </c>
      <c r="G9" s="6">
        <v>0</v>
      </c>
      <c r="H9" s="6">
        <v>0</v>
      </c>
      <c r="I9" s="6">
        <v>0</v>
      </c>
      <c r="J9" s="6">
        <v>0</v>
      </c>
      <c r="K9" s="6">
        <v>0</v>
      </c>
      <c r="L9" s="6">
        <v>0</v>
      </c>
      <c r="M9" s="6">
        <v>0</v>
      </c>
      <c r="N9" s="6">
        <v>0</v>
      </c>
      <c r="O9" s="6">
        <v>0</v>
      </c>
      <c r="P9" s="6">
        <v>0</v>
      </c>
      <c r="Q9" s="6">
        <v>0</v>
      </c>
      <c r="R9" s="6">
        <f>TREND($I9:$Q9,$I$1:$Q$1,R$1)</f>
        <v>0</v>
      </c>
      <c r="S9" s="6">
        <f>TREND($I9:$Q9,$I$1:$Q$1,S$1)</f>
        <v>0</v>
      </c>
      <c r="T9" s="6">
        <f>TREND($I9:$Q9,$I$1:$Q$1,T$1)</f>
        <v>0</v>
      </c>
      <c r="U9" s="6">
        <f>TREND($I9:$Q9,$I$1:$Q$1,U$1)</f>
        <v>0</v>
      </c>
      <c r="V9" s="6">
        <f>TREND($I9:$Q9,$I$1:$Q$1,V$1)</f>
        <v>0</v>
      </c>
      <c r="W9" s="6">
        <f>TREND($I9:$Q9,$I$1:$Q$1,W$1)</f>
        <v>0</v>
      </c>
      <c r="X9" s="6">
        <f>TREND($I9:$Q9,$I$1:$Q$1,X$1)</f>
        <v>0</v>
      </c>
      <c r="Y9" s="6">
        <f>TREND($I9:$Q9,$I$1:$Q$1,Y$1)</f>
        <v>0</v>
      </c>
      <c r="Z9" s="6">
        <f>TREND($I9:$Q9,$I$1:$Q$1,Z$1)</f>
        <v>0</v>
      </c>
      <c r="AA9" s="6">
        <f>TREND($I9:$Q9,$I$1:$Q$1,AA$1)</f>
        <v>0</v>
      </c>
      <c r="AB9" s="6">
        <f>TREND($I9:$Q9,$I$1:$Q$1,AB$1)</f>
        <v>0</v>
      </c>
      <c r="AC9" s="6">
        <f>TREND($I9:$Q9,$I$1:$Q$1,AC$1)</f>
        <v>0</v>
      </c>
      <c r="AD9" s="6">
        <f>TREND($I9:$Q9,$I$1:$Q$1,AD$1)</f>
        <v>0</v>
      </c>
      <c r="AE9" s="6">
        <f>TREND($I9:$Q9,$I$1:$Q$1,AE$1)</f>
        <v>0</v>
      </c>
      <c r="AF9" s="6">
        <f>TREND($I9:$Q9,$I$1:$Q$1,AF$1)</f>
        <v>0</v>
      </c>
      <c r="AG9" s="6">
        <f>TREND($I9:$Q9,$I$1:$Q$1,AG$1)</f>
        <v>0</v>
      </c>
      <c r="AH9" s="6">
        <f t="shared" ref="AH9:AK9" si="1">TREND($I9:$Q9,$I$1:$Q$1,AH$1)</f>
        <v>0</v>
      </c>
      <c r="AI9" s="6">
        <f t="shared" si="1"/>
        <v>0</v>
      </c>
      <c r="AJ9" s="6">
        <f t="shared" si="1"/>
        <v>0</v>
      </c>
      <c r="AK9" s="6">
        <f t="shared" si="1"/>
        <v>0</v>
      </c>
    </row>
    <row r="10" spans="1:37" x14ac:dyDescent="0.25">
      <c r="A10" s="6" t="s">
        <v>19</v>
      </c>
      <c r="B10" s="10">
        <f>'CAN Fossil Calculations'!F$24</f>
        <v>5.3134954091117878E-7</v>
      </c>
      <c r="C10" s="10">
        <f>$B10</f>
        <v>5.3134954091117878E-7</v>
      </c>
      <c r="D10" s="10">
        <f t="shared" ref="D10:AK11" si="2">$B10</f>
        <v>5.3134954091117878E-7</v>
      </c>
      <c r="E10" s="10">
        <f t="shared" si="2"/>
        <v>5.3134954091117878E-7</v>
      </c>
      <c r="F10" s="10">
        <f t="shared" si="2"/>
        <v>5.3134954091117878E-7</v>
      </c>
      <c r="G10" s="10">
        <f t="shared" si="2"/>
        <v>5.3134954091117878E-7</v>
      </c>
      <c r="H10" s="10">
        <f t="shared" si="2"/>
        <v>5.3134954091117878E-7</v>
      </c>
      <c r="I10" s="10">
        <f t="shared" si="2"/>
        <v>5.3134954091117878E-7</v>
      </c>
      <c r="J10" s="10">
        <f t="shared" si="2"/>
        <v>5.3134954091117878E-7</v>
      </c>
      <c r="K10" s="10">
        <f t="shared" si="2"/>
        <v>5.3134954091117878E-7</v>
      </c>
      <c r="L10" s="10">
        <f t="shared" si="2"/>
        <v>5.3134954091117878E-7</v>
      </c>
      <c r="M10" s="10">
        <f t="shared" si="2"/>
        <v>5.3134954091117878E-7</v>
      </c>
      <c r="N10" s="10">
        <f t="shared" si="2"/>
        <v>5.3134954091117878E-7</v>
      </c>
      <c r="O10" s="10">
        <f t="shared" si="2"/>
        <v>5.3134954091117878E-7</v>
      </c>
      <c r="P10" s="10">
        <f t="shared" si="2"/>
        <v>5.3134954091117878E-7</v>
      </c>
      <c r="Q10" s="10">
        <f t="shared" si="2"/>
        <v>5.3134954091117878E-7</v>
      </c>
      <c r="R10" s="10">
        <f t="shared" si="2"/>
        <v>5.3134954091117878E-7</v>
      </c>
      <c r="S10" s="10">
        <f t="shared" si="2"/>
        <v>5.3134954091117878E-7</v>
      </c>
      <c r="T10" s="10">
        <f t="shared" si="2"/>
        <v>5.3134954091117878E-7</v>
      </c>
      <c r="U10" s="10">
        <f t="shared" si="2"/>
        <v>5.3134954091117878E-7</v>
      </c>
      <c r="V10" s="10">
        <f t="shared" si="2"/>
        <v>5.3134954091117878E-7</v>
      </c>
      <c r="W10" s="10">
        <f t="shared" si="2"/>
        <v>5.3134954091117878E-7</v>
      </c>
      <c r="X10" s="10">
        <f t="shared" si="2"/>
        <v>5.3134954091117878E-7</v>
      </c>
      <c r="Y10" s="10">
        <f t="shared" si="2"/>
        <v>5.3134954091117878E-7</v>
      </c>
      <c r="Z10" s="10">
        <f t="shared" si="2"/>
        <v>5.3134954091117878E-7</v>
      </c>
      <c r="AA10" s="10">
        <f t="shared" si="2"/>
        <v>5.3134954091117878E-7</v>
      </c>
      <c r="AB10" s="10">
        <f t="shared" si="2"/>
        <v>5.3134954091117878E-7</v>
      </c>
      <c r="AC10" s="10">
        <f t="shared" si="2"/>
        <v>5.3134954091117878E-7</v>
      </c>
      <c r="AD10" s="10">
        <f t="shared" si="2"/>
        <v>5.3134954091117878E-7</v>
      </c>
      <c r="AE10" s="10">
        <f t="shared" si="2"/>
        <v>5.3134954091117878E-7</v>
      </c>
      <c r="AF10" s="10">
        <f t="shared" si="2"/>
        <v>5.3134954091117878E-7</v>
      </c>
      <c r="AG10" s="10">
        <f t="shared" si="2"/>
        <v>5.3134954091117878E-7</v>
      </c>
      <c r="AH10" s="10">
        <f t="shared" si="2"/>
        <v>5.3134954091117878E-7</v>
      </c>
      <c r="AI10" s="10">
        <f t="shared" si="2"/>
        <v>5.3134954091117878E-7</v>
      </c>
      <c r="AJ10" s="10">
        <f t="shared" si="2"/>
        <v>5.3134954091117878E-7</v>
      </c>
      <c r="AK10" s="10">
        <f t="shared" si="2"/>
        <v>5.3134954091117878E-7</v>
      </c>
    </row>
    <row r="11" spans="1:37" x14ac:dyDescent="0.25">
      <c r="A11" s="6" t="s">
        <v>20</v>
      </c>
      <c r="B11" s="10">
        <f>'CAN Fossil Calculations'!F$24</f>
        <v>5.3134954091117878E-7</v>
      </c>
      <c r="C11" s="10">
        <f>$B11</f>
        <v>5.3134954091117878E-7</v>
      </c>
      <c r="D11" s="10">
        <f t="shared" si="2"/>
        <v>5.3134954091117878E-7</v>
      </c>
      <c r="E11" s="10">
        <f t="shared" si="2"/>
        <v>5.3134954091117878E-7</v>
      </c>
      <c r="F11" s="10">
        <f t="shared" si="2"/>
        <v>5.3134954091117878E-7</v>
      </c>
      <c r="G11" s="10">
        <f t="shared" si="2"/>
        <v>5.3134954091117878E-7</v>
      </c>
      <c r="H11" s="10">
        <f t="shared" si="2"/>
        <v>5.3134954091117878E-7</v>
      </c>
      <c r="I11" s="10">
        <f t="shared" si="2"/>
        <v>5.3134954091117878E-7</v>
      </c>
      <c r="J11" s="10">
        <f t="shared" si="2"/>
        <v>5.3134954091117878E-7</v>
      </c>
      <c r="K11" s="10">
        <f t="shared" si="2"/>
        <v>5.3134954091117878E-7</v>
      </c>
      <c r="L11" s="10">
        <f t="shared" si="2"/>
        <v>5.3134954091117878E-7</v>
      </c>
      <c r="M11" s="10">
        <f t="shared" si="2"/>
        <v>5.3134954091117878E-7</v>
      </c>
      <c r="N11" s="10">
        <f t="shared" si="2"/>
        <v>5.3134954091117878E-7</v>
      </c>
      <c r="O11" s="10">
        <f t="shared" si="2"/>
        <v>5.3134954091117878E-7</v>
      </c>
      <c r="P11" s="10">
        <f t="shared" si="2"/>
        <v>5.3134954091117878E-7</v>
      </c>
      <c r="Q11" s="10">
        <f t="shared" si="2"/>
        <v>5.3134954091117878E-7</v>
      </c>
      <c r="R11" s="10">
        <f t="shared" si="2"/>
        <v>5.3134954091117878E-7</v>
      </c>
      <c r="S11" s="10">
        <f t="shared" si="2"/>
        <v>5.3134954091117878E-7</v>
      </c>
      <c r="T11" s="10">
        <f t="shared" si="2"/>
        <v>5.3134954091117878E-7</v>
      </c>
      <c r="U11" s="10">
        <f t="shared" si="2"/>
        <v>5.3134954091117878E-7</v>
      </c>
      <c r="V11" s="10">
        <f t="shared" si="2"/>
        <v>5.3134954091117878E-7</v>
      </c>
      <c r="W11" s="10">
        <f t="shared" si="2"/>
        <v>5.3134954091117878E-7</v>
      </c>
      <c r="X11" s="10">
        <f t="shared" si="2"/>
        <v>5.3134954091117878E-7</v>
      </c>
      <c r="Y11" s="10">
        <f t="shared" si="2"/>
        <v>5.3134954091117878E-7</v>
      </c>
      <c r="Z11" s="10">
        <f t="shared" si="2"/>
        <v>5.3134954091117878E-7</v>
      </c>
      <c r="AA11" s="10">
        <f t="shared" si="2"/>
        <v>5.3134954091117878E-7</v>
      </c>
      <c r="AB11" s="10">
        <f t="shared" si="2"/>
        <v>5.3134954091117878E-7</v>
      </c>
      <c r="AC11" s="10">
        <f t="shared" si="2"/>
        <v>5.3134954091117878E-7</v>
      </c>
      <c r="AD11" s="10">
        <f t="shared" si="2"/>
        <v>5.3134954091117878E-7</v>
      </c>
      <c r="AE11" s="10">
        <f t="shared" si="2"/>
        <v>5.3134954091117878E-7</v>
      </c>
      <c r="AF11" s="10">
        <f t="shared" si="2"/>
        <v>5.3134954091117878E-7</v>
      </c>
      <c r="AG11" s="10">
        <f t="shared" si="2"/>
        <v>5.3134954091117878E-7</v>
      </c>
      <c r="AH11" s="10">
        <f t="shared" si="2"/>
        <v>5.3134954091117878E-7</v>
      </c>
      <c r="AI11" s="10">
        <f t="shared" si="2"/>
        <v>5.3134954091117878E-7</v>
      </c>
      <c r="AJ11" s="10">
        <f t="shared" si="2"/>
        <v>5.3134954091117878E-7</v>
      </c>
      <c r="AK11" s="10">
        <f t="shared" si="2"/>
        <v>5.3134954091117878E-7</v>
      </c>
    </row>
    <row r="12" spans="1:37" x14ac:dyDescent="0.25">
      <c r="A12" s="6" t="s">
        <v>8</v>
      </c>
      <c r="B12" s="6">
        <v>0</v>
      </c>
      <c r="C12" s="6">
        <v>0</v>
      </c>
      <c r="D12" s="6">
        <v>0</v>
      </c>
      <c r="E12" s="6">
        <v>0</v>
      </c>
      <c r="F12" s="6">
        <v>0</v>
      </c>
      <c r="G12" s="6">
        <v>0</v>
      </c>
      <c r="H12" s="6">
        <v>0</v>
      </c>
      <c r="I12" s="6">
        <v>0</v>
      </c>
      <c r="J12" s="6">
        <v>0</v>
      </c>
      <c r="K12" s="6">
        <v>0</v>
      </c>
      <c r="L12" s="6">
        <v>0</v>
      </c>
      <c r="M12" s="6">
        <v>0</v>
      </c>
      <c r="N12" s="6">
        <v>0</v>
      </c>
      <c r="O12" s="6">
        <v>0</v>
      </c>
      <c r="P12" s="6">
        <v>0</v>
      </c>
      <c r="Q12" s="6">
        <v>0</v>
      </c>
      <c r="R12" s="6">
        <f>TREND($I12:$Q12,$I$1:$Q$1,R$1)</f>
        <v>0</v>
      </c>
      <c r="S12" s="6">
        <f>TREND($I12:$Q12,$I$1:$Q$1,S$1)</f>
        <v>0</v>
      </c>
      <c r="T12" s="6">
        <f>TREND($I12:$Q12,$I$1:$Q$1,T$1)</f>
        <v>0</v>
      </c>
      <c r="U12" s="6">
        <f>TREND($I12:$Q12,$I$1:$Q$1,U$1)</f>
        <v>0</v>
      </c>
      <c r="V12" s="6">
        <f>TREND($I12:$Q12,$I$1:$Q$1,V$1)</f>
        <v>0</v>
      </c>
      <c r="W12" s="6">
        <f>TREND($I12:$Q12,$I$1:$Q$1,W$1)</f>
        <v>0</v>
      </c>
      <c r="X12" s="6">
        <f>TREND($I12:$Q12,$I$1:$Q$1,X$1)</f>
        <v>0</v>
      </c>
      <c r="Y12" s="6">
        <f>TREND($I12:$Q12,$I$1:$Q$1,Y$1)</f>
        <v>0</v>
      </c>
      <c r="Z12" s="6">
        <f>TREND($I12:$Q12,$I$1:$Q$1,Z$1)</f>
        <v>0</v>
      </c>
      <c r="AA12" s="6">
        <f>TREND($I12:$Q12,$I$1:$Q$1,AA$1)</f>
        <v>0</v>
      </c>
      <c r="AB12" s="6">
        <f>TREND($I12:$Q12,$I$1:$Q$1,AB$1)</f>
        <v>0</v>
      </c>
      <c r="AC12" s="6">
        <f>TREND($I12:$Q12,$I$1:$Q$1,AC$1)</f>
        <v>0</v>
      </c>
      <c r="AD12" s="6">
        <f>TREND($I12:$Q12,$I$1:$Q$1,AD$1)</f>
        <v>0</v>
      </c>
      <c r="AE12" s="6">
        <f>TREND($I12:$Q12,$I$1:$Q$1,AE$1)</f>
        <v>0</v>
      </c>
      <c r="AF12" s="6">
        <f>TREND($I12:$Q12,$I$1:$Q$1,AF$1)</f>
        <v>0</v>
      </c>
      <c r="AG12" s="6">
        <f>TREND($I12:$Q12,$I$1:$Q$1,AG$1)</f>
        <v>0</v>
      </c>
      <c r="AH12" s="6">
        <f>TREND($I12:$Q12,$I$1:$Q$1,AH$1)</f>
        <v>0</v>
      </c>
      <c r="AI12" s="6">
        <f>TREND($I12:$Q12,$I$1:$Q$1,AI$1)</f>
        <v>0</v>
      </c>
      <c r="AJ12" s="6">
        <f>TREND($I12:$Q12,$I$1:$Q$1,AJ$1)</f>
        <v>0</v>
      </c>
      <c r="AK12" s="6">
        <f>TREND($I12:$Q12,$I$1:$Q$1,AK$1)</f>
        <v>0</v>
      </c>
    </row>
    <row r="13" spans="1:37" x14ac:dyDescent="0.25">
      <c r="A13" s="6" t="s">
        <v>9</v>
      </c>
      <c r="B13" s="6">
        <v>0</v>
      </c>
      <c r="C13" s="6">
        <v>0</v>
      </c>
      <c r="D13" s="6">
        <v>0</v>
      </c>
      <c r="E13" s="6">
        <v>0</v>
      </c>
      <c r="F13" s="6">
        <v>0</v>
      </c>
      <c r="G13" s="6">
        <v>0</v>
      </c>
      <c r="H13" s="6">
        <v>0</v>
      </c>
      <c r="I13" s="6">
        <v>0</v>
      </c>
      <c r="J13" s="6">
        <v>0</v>
      </c>
      <c r="K13" s="6">
        <v>0</v>
      </c>
      <c r="L13" s="6">
        <v>0</v>
      </c>
      <c r="M13" s="6">
        <v>0</v>
      </c>
      <c r="N13" s="6">
        <v>0</v>
      </c>
      <c r="O13" s="6">
        <v>0</v>
      </c>
      <c r="P13" s="6">
        <v>0</v>
      </c>
      <c r="Q13" s="6">
        <v>0</v>
      </c>
      <c r="R13" s="6">
        <f>TREND($I13:$Q13,$I$1:$Q$1,R$1)</f>
        <v>0</v>
      </c>
      <c r="S13" s="6">
        <f>TREND($I13:$Q13,$I$1:$Q$1,S$1)</f>
        <v>0</v>
      </c>
      <c r="T13" s="6">
        <f>TREND($I13:$Q13,$I$1:$Q$1,T$1)</f>
        <v>0</v>
      </c>
      <c r="U13" s="6">
        <f>TREND($I13:$Q13,$I$1:$Q$1,U$1)</f>
        <v>0</v>
      </c>
      <c r="V13" s="6">
        <f>TREND($I13:$Q13,$I$1:$Q$1,V$1)</f>
        <v>0</v>
      </c>
      <c r="W13" s="6">
        <f>TREND($I13:$Q13,$I$1:$Q$1,W$1)</f>
        <v>0</v>
      </c>
      <c r="X13" s="6">
        <f>TREND($I13:$Q13,$I$1:$Q$1,X$1)</f>
        <v>0</v>
      </c>
      <c r="Y13" s="6">
        <f>TREND($I13:$Q13,$I$1:$Q$1,Y$1)</f>
        <v>0</v>
      </c>
      <c r="Z13" s="6">
        <f>TREND($I13:$Q13,$I$1:$Q$1,Z$1)</f>
        <v>0</v>
      </c>
      <c r="AA13" s="6">
        <f>TREND($I13:$Q13,$I$1:$Q$1,AA$1)</f>
        <v>0</v>
      </c>
      <c r="AB13" s="6">
        <f>TREND($I13:$Q13,$I$1:$Q$1,AB$1)</f>
        <v>0</v>
      </c>
      <c r="AC13" s="6">
        <f>TREND($I13:$Q13,$I$1:$Q$1,AC$1)</f>
        <v>0</v>
      </c>
      <c r="AD13" s="6">
        <f>TREND($I13:$Q13,$I$1:$Q$1,AD$1)</f>
        <v>0</v>
      </c>
      <c r="AE13" s="6">
        <f>TREND($I13:$Q13,$I$1:$Q$1,AE$1)</f>
        <v>0</v>
      </c>
      <c r="AF13" s="6">
        <f>TREND($I13:$Q13,$I$1:$Q$1,AF$1)</f>
        <v>0</v>
      </c>
      <c r="AG13" s="6">
        <f>TREND($I13:$Q13,$I$1:$Q$1,AG$1)</f>
        <v>0</v>
      </c>
      <c r="AH13" s="6">
        <f>TREND($I13:$Q13,$I$1:$Q$1,AH$1)</f>
        <v>0</v>
      </c>
      <c r="AI13" s="6">
        <f>TREND($I13:$Q13,$I$1:$Q$1,AI$1)</f>
        <v>0</v>
      </c>
      <c r="AJ13" s="6">
        <f>TREND($I13:$Q13,$I$1:$Q$1,AJ$1)</f>
        <v>0</v>
      </c>
      <c r="AK13" s="6">
        <f>TREND($I13:$Q13,$I$1:$Q$1,AK$1)</f>
        <v>0</v>
      </c>
    </row>
    <row r="14" spans="1:37" x14ac:dyDescent="0.25">
      <c r="A14" s="6" t="s">
        <v>21</v>
      </c>
      <c r="B14" s="10">
        <f>'CAN Fossil Calculations'!F$24</f>
        <v>5.3134954091117878E-7</v>
      </c>
      <c r="C14" s="10">
        <f>$B14</f>
        <v>5.3134954091117878E-7</v>
      </c>
      <c r="D14" s="10">
        <f t="shared" ref="D14:AK14" si="3">$B14</f>
        <v>5.3134954091117878E-7</v>
      </c>
      <c r="E14" s="10">
        <f t="shared" si="3"/>
        <v>5.3134954091117878E-7</v>
      </c>
      <c r="F14" s="10">
        <f t="shared" si="3"/>
        <v>5.3134954091117878E-7</v>
      </c>
      <c r="G14" s="10">
        <f t="shared" si="3"/>
        <v>5.3134954091117878E-7</v>
      </c>
      <c r="H14" s="10">
        <f t="shared" si="3"/>
        <v>5.3134954091117878E-7</v>
      </c>
      <c r="I14" s="10">
        <f t="shared" si="3"/>
        <v>5.3134954091117878E-7</v>
      </c>
      <c r="J14" s="10">
        <f t="shared" si="3"/>
        <v>5.3134954091117878E-7</v>
      </c>
      <c r="K14" s="10">
        <f t="shared" si="3"/>
        <v>5.3134954091117878E-7</v>
      </c>
      <c r="L14" s="10">
        <f t="shared" si="3"/>
        <v>5.3134954091117878E-7</v>
      </c>
      <c r="M14" s="10">
        <f t="shared" si="3"/>
        <v>5.3134954091117878E-7</v>
      </c>
      <c r="N14" s="10">
        <f t="shared" si="3"/>
        <v>5.3134954091117878E-7</v>
      </c>
      <c r="O14" s="10">
        <f t="shared" si="3"/>
        <v>5.3134954091117878E-7</v>
      </c>
      <c r="P14" s="10">
        <f t="shared" si="3"/>
        <v>5.3134954091117878E-7</v>
      </c>
      <c r="Q14" s="10">
        <f t="shared" si="3"/>
        <v>5.3134954091117878E-7</v>
      </c>
      <c r="R14" s="10">
        <f t="shared" si="3"/>
        <v>5.3134954091117878E-7</v>
      </c>
      <c r="S14" s="10">
        <f t="shared" si="3"/>
        <v>5.3134954091117878E-7</v>
      </c>
      <c r="T14" s="10">
        <f t="shared" si="3"/>
        <v>5.3134954091117878E-7</v>
      </c>
      <c r="U14" s="10">
        <f t="shared" si="3"/>
        <v>5.3134954091117878E-7</v>
      </c>
      <c r="V14" s="10">
        <f t="shared" si="3"/>
        <v>5.3134954091117878E-7</v>
      </c>
      <c r="W14" s="10">
        <f t="shared" si="3"/>
        <v>5.3134954091117878E-7</v>
      </c>
      <c r="X14" s="10">
        <f t="shared" si="3"/>
        <v>5.3134954091117878E-7</v>
      </c>
      <c r="Y14" s="10">
        <f t="shared" si="3"/>
        <v>5.3134954091117878E-7</v>
      </c>
      <c r="Z14" s="10">
        <f t="shared" si="3"/>
        <v>5.3134954091117878E-7</v>
      </c>
      <c r="AA14" s="10">
        <f t="shared" si="3"/>
        <v>5.3134954091117878E-7</v>
      </c>
      <c r="AB14" s="10">
        <f t="shared" si="3"/>
        <v>5.3134954091117878E-7</v>
      </c>
      <c r="AC14" s="10">
        <f t="shared" si="3"/>
        <v>5.3134954091117878E-7</v>
      </c>
      <c r="AD14" s="10">
        <f t="shared" si="3"/>
        <v>5.3134954091117878E-7</v>
      </c>
      <c r="AE14" s="10">
        <f t="shared" si="3"/>
        <v>5.3134954091117878E-7</v>
      </c>
      <c r="AF14" s="10">
        <f t="shared" si="3"/>
        <v>5.3134954091117878E-7</v>
      </c>
      <c r="AG14" s="10">
        <f t="shared" si="3"/>
        <v>5.3134954091117878E-7</v>
      </c>
      <c r="AH14" s="10">
        <f t="shared" si="3"/>
        <v>5.3134954091117878E-7</v>
      </c>
      <c r="AI14" s="10">
        <f t="shared" si="3"/>
        <v>5.3134954091117878E-7</v>
      </c>
      <c r="AJ14" s="10">
        <f t="shared" si="3"/>
        <v>5.3134954091117878E-7</v>
      </c>
      <c r="AK14" s="10">
        <f t="shared" si="3"/>
        <v>5.3134954091117878E-7</v>
      </c>
    </row>
    <row r="15" spans="1:37" x14ac:dyDescent="0.25">
      <c r="A15" s="6" t="s">
        <v>26</v>
      </c>
      <c r="B15" s="6">
        <v>0</v>
      </c>
      <c r="C15" s="6">
        <v>0</v>
      </c>
      <c r="D15" s="6">
        <v>0</v>
      </c>
      <c r="E15" s="6">
        <v>0</v>
      </c>
      <c r="F15" s="6">
        <v>0</v>
      </c>
      <c r="G15" s="6">
        <v>0</v>
      </c>
      <c r="H15" s="6">
        <v>0</v>
      </c>
      <c r="I15" s="6">
        <v>0</v>
      </c>
      <c r="J15" s="6">
        <v>0</v>
      </c>
      <c r="K15" s="6">
        <v>0</v>
      </c>
      <c r="L15" s="6">
        <v>0</v>
      </c>
      <c r="M15" s="6">
        <v>0</v>
      </c>
      <c r="N15" s="6">
        <v>0</v>
      </c>
      <c r="O15" s="6">
        <v>0</v>
      </c>
      <c r="P15" s="6">
        <v>0</v>
      </c>
      <c r="Q15" s="6">
        <v>0</v>
      </c>
      <c r="R15" s="6">
        <f>TREND($I15:$Q15,$I$1:$Q$1,R$1)</f>
        <v>0</v>
      </c>
      <c r="S15" s="6">
        <f>TREND($I15:$Q15,$I$1:$Q$1,S$1)</f>
        <v>0</v>
      </c>
      <c r="T15" s="6">
        <f>TREND($I15:$Q15,$I$1:$Q$1,T$1)</f>
        <v>0</v>
      </c>
      <c r="U15" s="6">
        <f>TREND($I15:$Q15,$I$1:$Q$1,U$1)</f>
        <v>0</v>
      </c>
      <c r="V15" s="6">
        <f>TREND($I15:$Q15,$I$1:$Q$1,V$1)</f>
        <v>0</v>
      </c>
      <c r="W15" s="6">
        <f>TREND($I15:$Q15,$I$1:$Q$1,W$1)</f>
        <v>0</v>
      </c>
      <c r="X15" s="6">
        <f>TREND($I15:$Q15,$I$1:$Q$1,X$1)</f>
        <v>0</v>
      </c>
      <c r="Y15" s="6">
        <f>TREND($I15:$Q15,$I$1:$Q$1,Y$1)</f>
        <v>0</v>
      </c>
      <c r="Z15" s="6">
        <f>TREND($I15:$Q15,$I$1:$Q$1,Z$1)</f>
        <v>0</v>
      </c>
      <c r="AA15" s="6">
        <f>TREND($I15:$Q15,$I$1:$Q$1,AA$1)</f>
        <v>0</v>
      </c>
      <c r="AB15" s="6">
        <f>TREND($I15:$Q15,$I$1:$Q$1,AB$1)</f>
        <v>0</v>
      </c>
      <c r="AC15" s="6">
        <f>TREND($I15:$Q15,$I$1:$Q$1,AC$1)</f>
        <v>0</v>
      </c>
      <c r="AD15" s="6">
        <f>TREND($I15:$Q15,$I$1:$Q$1,AD$1)</f>
        <v>0</v>
      </c>
      <c r="AE15" s="6">
        <f>TREND($I15:$Q15,$I$1:$Q$1,AE$1)</f>
        <v>0</v>
      </c>
      <c r="AF15" s="6">
        <f>TREND($I15:$Q15,$I$1:$Q$1,AF$1)</f>
        <v>0</v>
      </c>
      <c r="AG15" s="6">
        <f>TREND($I15:$Q15,$I$1:$Q$1,AG$1)</f>
        <v>0</v>
      </c>
      <c r="AH15" s="6">
        <f>TREND($I15:$Q15,$I$1:$Q$1,AH$1)</f>
        <v>0</v>
      </c>
      <c r="AI15" s="6">
        <f>TREND($I15:$Q15,$I$1:$Q$1,AI$1)</f>
        <v>0</v>
      </c>
      <c r="AJ15" s="6">
        <f>TREND($I15:$Q15,$I$1:$Q$1,AJ$1)</f>
        <v>0</v>
      </c>
      <c r="AK15" s="6">
        <f>TREND($I15:$Q15,$I$1:$Q$1,AK$1)</f>
        <v>0</v>
      </c>
    </row>
    <row r="16" spans="1:37" x14ac:dyDescent="0.25">
      <c r="A16" s="6" t="s">
        <v>33</v>
      </c>
      <c r="B16" s="6">
        <v>0</v>
      </c>
      <c r="C16" s="6">
        <v>0</v>
      </c>
      <c r="D16" s="6">
        <v>0</v>
      </c>
      <c r="E16" s="6">
        <v>0</v>
      </c>
      <c r="F16" s="6">
        <v>0</v>
      </c>
      <c r="G16" s="6">
        <v>0</v>
      </c>
      <c r="H16" s="6">
        <v>0</v>
      </c>
      <c r="I16" s="6">
        <v>0</v>
      </c>
      <c r="J16" s="6">
        <v>0</v>
      </c>
      <c r="K16" s="6">
        <v>0</v>
      </c>
      <c r="L16" s="6">
        <v>0</v>
      </c>
      <c r="M16" s="6">
        <v>0</v>
      </c>
      <c r="N16" s="6">
        <v>0</v>
      </c>
      <c r="O16" s="6">
        <v>0</v>
      </c>
      <c r="P16" s="6">
        <v>0</v>
      </c>
      <c r="Q16" s="6">
        <v>0</v>
      </c>
      <c r="R16" s="6">
        <f>TREND($I16:$Q16,$I$1:$Q$1,R$1)</f>
        <v>0</v>
      </c>
      <c r="S16" s="6">
        <f>TREND($I16:$Q16,$I$1:$Q$1,S$1)</f>
        <v>0</v>
      </c>
      <c r="T16" s="6">
        <f>TREND($I16:$Q16,$I$1:$Q$1,T$1)</f>
        <v>0</v>
      </c>
      <c r="U16" s="6">
        <f>TREND($I16:$Q16,$I$1:$Q$1,U$1)</f>
        <v>0</v>
      </c>
      <c r="V16" s="6">
        <f>TREND($I16:$Q16,$I$1:$Q$1,V$1)</f>
        <v>0</v>
      </c>
      <c r="W16" s="6">
        <f t="shared" ref="W16:AK17" si="4">TREND($I16:$Q16,$I$1:$Q$1,W$1)</f>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f t="shared" si="4"/>
        <v>0</v>
      </c>
      <c r="AI16" s="6">
        <f t="shared" si="4"/>
        <v>0</v>
      </c>
      <c r="AJ16" s="6">
        <f t="shared" si="4"/>
        <v>0</v>
      </c>
      <c r="AK16" s="6">
        <f t="shared" si="4"/>
        <v>0</v>
      </c>
    </row>
    <row r="17" spans="1:37" x14ac:dyDescent="0.25">
      <c r="A17" s="6" t="s">
        <v>39</v>
      </c>
      <c r="B17" s="6">
        <v>0</v>
      </c>
      <c r="C17" s="6">
        <v>0</v>
      </c>
      <c r="D17" s="6">
        <v>0</v>
      </c>
      <c r="E17" s="6">
        <v>0</v>
      </c>
      <c r="F17" s="6">
        <v>0</v>
      </c>
      <c r="G17" s="6">
        <v>0</v>
      </c>
      <c r="H17" s="6">
        <v>0</v>
      </c>
      <c r="I17" s="6">
        <v>0</v>
      </c>
      <c r="J17" s="6">
        <v>0</v>
      </c>
      <c r="K17" s="6">
        <v>0</v>
      </c>
      <c r="L17" s="6">
        <v>0</v>
      </c>
      <c r="M17" s="6">
        <v>0</v>
      </c>
      <c r="N17" s="6">
        <v>0</v>
      </c>
      <c r="O17" s="6">
        <v>0</v>
      </c>
      <c r="P17" s="6">
        <v>0</v>
      </c>
      <c r="Q17" s="6">
        <v>0</v>
      </c>
      <c r="R17" s="6">
        <f>TREND($I17:$Q17,$I$1:$Q$1,R$1)</f>
        <v>0</v>
      </c>
      <c r="S17" s="6">
        <f>TREND($I17:$Q17,$I$1:$Q$1,S$1)</f>
        <v>0</v>
      </c>
      <c r="T17" s="6">
        <f>TREND($I17:$Q17,$I$1:$Q$1,T$1)</f>
        <v>0</v>
      </c>
      <c r="U17" s="6">
        <f>TREND($I17:$Q17,$I$1:$Q$1,U$1)</f>
        <v>0</v>
      </c>
      <c r="V17" s="6">
        <f>TREND($I17:$Q17,$I$1:$Q$1,V$1)</f>
        <v>0</v>
      </c>
      <c r="W17" s="6">
        <f t="shared" si="4"/>
        <v>0</v>
      </c>
      <c r="X17" s="6">
        <f t="shared" si="4"/>
        <v>0</v>
      </c>
      <c r="Y17" s="6">
        <f t="shared" si="4"/>
        <v>0</v>
      </c>
      <c r="Z17" s="6">
        <f t="shared" si="4"/>
        <v>0</v>
      </c>
      <c r="AA17" s="6">
        <f t="shared" si="4"/>
        <v>0</v>
      </c>
      <c r="AB17" s="6">
        <f t="shared" si="4"/>
        <v>0</v>
      </c>
      <c r="AC17" s="6">
        <f t="shared" si="4"/>
        <v>0</v>
      </c>
      <c r="AD17" s="6">
        <f t="shared" si="4"/>
        <v>0</v>
      </c>
      <c r="AE17" s="6">
        <f t="shared" si="4"/>
        <v>0</v>
      </c>
      <c r="AF17" s="6">
        <f t="shared" si="4"/>
        <v>0</v>
      </c>
      <c r="AG17" s="6">
        <f t="shared" si="4"/>
        <v>0</v>
      </c>
      <c r="AH17" s="6">
        <f t="shared" si="4"/>
        <v>0</v>
      </c>
      <c r="AI17" s="6">
        <f t="shared" si="4"/>
        <v>0</v>
      </c>
      <c r="AJ17" s="6">
        <f t="shared" si="4"/>
        <v>0</v>
      </c>
      <c r="AK17" s="6">
        <f t="shared" si="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6"/>
  <sheetViews>
    <sheetView workbookViewId="0"/>
  </sheetViews>
  <sheetFormatPr defaultRowHeight="14.5" x14ac:dyDescent="0.35"/>
  <cols>
    <col min="1" max="1" width="31" customWidth="1"/>
  </cols>
  <sheetData>
    <row r="1" spans="1:37" x14ac:dyDescent="0.35">
      <c r="A1" t="s">
        <v>11</v>
      </c>
      <c r="B1">
        <v>2015</v>
      </c>
      <c r="C1">
        <v>2016</v>
      </c>
      <c r="D1">
        <v>2017</v>
      </c>
      <c r="E1">
        <v>2018</v>
      </c>
      <c r="F1">
        <v>2019</v>
      </c>
      <c r="G1">
        <v>2020</v>
      </c>
      <c r="H1">
        <v>2021</v>
      </c>
      <c r="I1">
        <v>2022</v>
      </c>
      <c r="J1">
        <v>2023</v>
      </c>
      <c r="K1">
        <v>2024</v>
      </c>
      <c r="L1">
        <v>2025</v>
      </c>
      <c r="M1">
        <v>2026</v>
      </c>
      <c r="N1">
        <v>2027</v>
      </c>
      <c r="O1">
        <v>2028</v>
      </c>
      <c r="P1">
        <v>2029</v>
      </c>
      <c r="Q1">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7" x14ac:dyDescent="0.35">
      <c r="A2" t="s">
        <v>43</v>
      </c>
      <c r="B2" s="8">
        <v>0</v>
      </c>
      <c r="C2" s="8">
        <v>0</v>
      </c>
      <c r="D2" s="8">
        <v>0</v>
      </c>
      <c r="E2" s="8">
        <v>0</v>
      </c>
      <c r="F2" s="8">
        <v>0</v>
      </c>
      <c r="G2" s="8">
        <v>0</v>
      </c>
      <c r="H2" s="8">
        <v>0</v>
      </c>
      <c r="I2" s="8">
        <v>0</v>
      </c>
      <c r="J2" s="8">
        <v>0</v>
      </c>
      <c r="K2" s="8">
        <v>0</v>
      </c>
      <c r="L2" s="8">
        <v>0</v>
      </c>
      <c r="M2" s="8">
        <v>0</v>
      </c>
      <c r="N2" s="8">
        <v>0</v>
      </c>
      <c r="O2" s="8">
        <v>0</v>
      </c>
      <c r="P2" s="8">
        <v>0</v>
      </c>
      <c r="Q2" s="8">
        <v>0</v>
      </c>
      <c r="R2" s="8">
        <f t="shared" ref="R2:AG14" si="0">TREND($I2:$Q2,$I$1:$Q$1,R$1)</f>
        <v>0</v>
      </c>
      <c r="S2" s="8">
        <f t="shared" ref="S2:AK13" si="1">TREND($I2:$Q2,$I$1:$Q$1,S$1)</f>
        <v>0</v>
      </c>
      <c r="T2" s="8">
        <f t="shared" si="1"/>
        <v>0</v>
      </c>
      <c r="U2" s="8">
        <f t="shared" si="1"/>
        <v>0</v>
      </c>
      <c r="V2" s="8">
        <f t="shared" si="1"/>
        <v>0</v>
      </c>
      <c r="W2" s="8">
        <f t="shared" si="1"/>
        <v>0</v>
      </c>
      <c r="X2" s="8">
        <f t="shared" si="1"/>
        <v>0</v>
      </c>
      <c r="Y2" s="8">
        <f t="shared" si="1"/>
        <v>0</v>
      </c>
      <c r="Z2" s="8">
        <f t="shared" si="1"/>
        <v>0</v>
      </c>
      <c r="AA2" s="8">
        <f t="shared" si="1"/>
        <v>0</v>
      </c>
      <c r="AB2" s="8">
        <f t="shared" si="1"/>
        <v>0</v>
      </c>
      <c r="AC2" s="8">
        <f t="shared" si="1"/>
        <v>0</v>
      </c>
      <c r="AD2" s="8">
        <f t="shared" si="1"/>
        <v>0</v>
      </c>
      <c r="AE2" s="8">
        <f t="shared" si="1"/>
        <v>0</v>
      </c>
      <c r="AF2" s="8">
        <f t="shared" si="1"/>
        <v>0</v>
      </c>
      <c r="AG2" s="8">
        <f t="shared" si="1"/>
        <v>0</v>
      </c>
      <c r="AH2" s="8">
        <f t="shared" si="1"/>
        <v>0</v>
      </c>
      <c r="AI2" s="8">
        <f t="shared" si="1"/>
        <v>0</v>
      </c>
      <c r="AJ2" s="8">
        <f t="shared" si="1"/>
        <v>0</v>
      </c>
      <c r="AK2" s="8">
        <f t="shared" si="1"/>
        <v>0</v>
      </c>
    </row>
    <row r="3" spans="1:37" x14ac:dyDescent="0.35">
      <c r="A3" t="s">
        <v>35</v>
      </c>
      <c r="B3" s="8">
        <v>0</v>
      </c>
      <c r="C3" s="8">
        <v>0</v>
      </c>
      <c r="D3" s="8">
        <v>0</v>
      </c>
      <c r="E3" s="8">
        <v>0</v>
      </c>
      <c r="F3" s="8">
        <v>0</v>
      </c>
      <c r="G3" s="8">
        <v>0</v>
      </c>
      <c r="H3" s="8">
        <v>0</v>
      </c>
      <c r="I3" s="8">
        <v>0</v>
      </c>
      <c r="J3" s="8">
        <v>0</v>
      </c>
      <c r="K3" s="8">
        <v>0</v>
      </c>
      <c r="L3" s="8">
        <v>0</v>
      </c>
      <c r="M3" s="8">
        <v>0</v>
      </c>
      <c r="N3" s="8">
        <v>0</v>
      </c>
      <c r="O3" s="8">
        <v>0</v>
      </c>
      <c r="P3" s="8">
        <v>0</v>
      </c>
      <c r="Q3" s="8">
        <v>0</v>
      </c>
      <c r="R3" s="8">
        <f t="shared" si="0"/>
        <v>0</v>
      </c>
      <c r="S3" s="8">
        <f t="shared" si="1"/>
        <v>0</v>
      </c>
      <c r="T3" s="8">
        <f t="shared" si="1"/>
        <v>0</v>
      </c>
      <c r="U3" s="8">
        <f t="shared" si="1"/>
        <v>0</v>
      </c>
      <c r="V3" s="8">
        <f t="shared" si="1"/>
        <v>0</v>
      </c>
      <c r="W3" s="8">
        <f t="shared" si="1"/>
        <v>0</v>
      </c>
      <c r="X3" s="8">
        <f t="shared" si="1"/>
        <v>0</v>
      </c>
      <c r="Y3" s="8">
        <f t="shared" si="1"/>
        <v>0</v>
      </c>
      <c r="Z3" s="8">
        <f t="shared" si="1"/>
        <v>0</v>
      </c>
      <c r="AA3" s="8">
        <f t="shared" si="1"/>
        <v>0</v>
      </c>
      <c r="AB3" s="8">
        <f t="shared" si="1"/>
        <v>0</v>
      </c>
      <c r="AC3" s="8">
        <f t="shared" si="1"/>
        <v>0</v>
      </c>
      <c r="AD3" s="8">
        <f t="shared" si="1"/>
        <v>0</v>
      </c>
      <c r="AE3" s="8">
        <f t="shared" si="1"/>
        <v>0</v>
      </c>
      <c r="AF3" s="8">
        <f t="shared" si="1"/>
        <v>0</v>
      </c>
      <c r="AG3" s="8">
        <f t="shared" si="1"/>
        <v>0</v>
      </c>
      <c r="AH3" s="8">
        <f t="shared" si="1"/>
        <v>0</v>
      </c>
      <c r="AI3" s="8">
        <f t="shared" si="1"/>
        <v>0</v>
      </c>
      <c r="AJ3" s="8">
        <f t="shared" si="1"/>
        <v>0</v>
      </c>
      <c r="AK3" s="8">
        <f t="shared" si="1"/>
        <v>0</v>
      </c>
    </row>
    <row r="4" spans="1:37" x14ac:dyDescent="0.35">
      <c r="A4" t="s">
        <v>22</v>
      </c>
      <c r="B4" s="8">
        <v>0</v>
      </c>
      <c r="C4" s="8">
        <v>0</v>
      </c>
      <c r="D4" s="8">
        <v>0</v>
      </c>
      <c r="E4" s="8">
        <v>0</v>
      </c>
      <c r="F4" s="8">
        <v>0</v>
      </c>
      <c r="G4" s="8">
        <v>0</v>
      </c>
      <c r="H4" s="8">
        <v>0</v>
      </c>
      <c r="I4" s="8">
        <v>0</v>
      </c>
      <c r="J4" s="8">
        <v>0</v>
      </c>
      <c r="K4" s="8">
        <v>0</v>
      </c>
      <c r="L4" s="8">
        <v>0</v>
      </c>
      <c r="M4" s="8">
        <v>0</v>
      </c>
      <c r="N4" s="8">
        <v>0</v>
      </c>
      <c r="O4" s="8">
        <v>0</v>
      </c>
      <c r="P4" s="8">
        <v>0</v>
      </c>
      <c r="Q4" s="8">
        <v>0</v>
      </c>
      <c r="R4" s="8">
        <f t="shared" si="0"/>
        <v>0</v>
      </c>
      <c r="S4" s="8">
        <f t="shared" si="1"/>
        <v>0</v>
      </c>
      <c r="T4" s="8">
        <f t="shared" si="1"/>
        <v>0</v>
      </c>
      <c r="U4" s="8">
        <f t="shared" si="1"/>
        <v>0</v>
      </c>
      <c r="V4" s="8">
        <f t="shared" si="1"/>
        <v>0</v>
      </c>
      <c r="W4" s="8">
        <f t="shared" si="1"/>
        <v>0</v>
      </c>
      <c r="X4" s="8">
        <f t="shared" si="1"/>
        <v>0</v>
      </c>
      <c r="Y4" s="8">
        <f t="shared" si="1"/>
        <v>0</v>
      </c>
      <c r="Z4" s="8">
        <f t="shared" si="1"/>
        <v>0</v>
      </c>
      <c r="AA4" s="8">
        <f t="shared" si="1"/>
        <v>0</v>
      </c>
      <c r="AB4" s="8">
        <f t="shared" si="1"/>
        <v>0</v>
      </c>
      <c r="AC4" s="8">
        <f t="shared" si="1"/>
        <v>0</v>
      </c>
      <c r="AD4" s="8">
        <f t="shared" si="1"/>
        <v>0</v>
      </c>
      <c r="AE4" s="8">
        <f t="shared" si="1"/>
        <v>0</v>
      </c>
      <c r="AF4" s="8">
        <f t="shared" si="1"/>
        <v>0</v>
      </c>
      <c r="AG4" s="8">
        <f t="shared" si="1"/>
        <v>0</v>
      </c>
      <c r="AH4" s="8">
        <f t="shared" si="1"/>
        <v>0</v>
      </c>
      <c r="AI4" s="8">
        <f t="shared" si="1"/>
        <v>0</v>
      </c>
      <c r="AJ4" s="8">
        <f t="shared" si="1"/>
        <v>0</v>
      </c>
      <c r="AK4" s="8">
        <f t="shared" si="1"/>
        <v>0</v>
      </c>
    </row>
    <row r="5" spans="1:37" x14ac:dyDescent="0.35">
      <c r="A5" t="s">
        <v>23</v>
      </c>
      <c r="B5" s="8">
        <v>0</v>
      </c>
      <c r="C5" s="8">
        <v>0</v>
      </c>
      <c r="D5" s="8">
        <v>0</v>
      </c>
      <c r="E5" s="8">
        <v>0</v>
      </c>
      <c r="F5" s="8">
        <v>0</v>
      </c>
      <c r="G5" s="8">
        <v>0</v>
      </c>
      <c r="H5" s="8">
        <v>0</v>
      </c>
      <c r="I5" s="8">
        <v>0</v>
      </c>
      <c r="J5" s="8">
        <v>0</v>
      </c>
      <c r="K5" s="8">
        <v>0</v>
      </c>
      <c r="L5" s="8">
        <v>0</v>
      </c>
      <c r="M5" s="8">
        <v>0</v>
      </c>
      <c r="N5" s="8">
        <v>0</v>
      </c>
      <c r="O5" s="8">
        <v>0</v>
      </c>
      <c r="P5" s="8">
        <v>0</v>
      </c>
      <c r="Q5" s="8">
        <v>0</v>
      </c>
      <c r="R5" s="8">
        <f t="shared" si="0"/>
        <v>0</v>
      </c>
      <c r="S5" s="8">
        <f t="shared" si="1"/>
        <v>0</v>
      </c>
      <c r="T5" s="8">
        <f t="shared" si="1"/>
        <v>0</v>
      </c>
      <c r="U5" s="8">
        <f t="shared" si="1"/>
        <v>0</v>
      </c>
      <c r="V5" s="8">
        <f t="shared" si="1"/>
        <v>0</v>
      </c>
      <c r="W5" s="8">
        <f t="shared" si="1"/>
        <v>0</v>
      </c>
      <c r="X5" s="8">
        <f t="shared" si="1"/>
        <v>0</v>
      </c>
      <c r="Y5" s="8">
        <f t="shared" si="1"/>
        <v>0</v>
      </c>
      <c r="Z5" s="8">
        <f t="shared" si="1"/>
        <v>0</v>
      </c>
      <c r="AA5" s="8">
        <f t="shared" si="1"/>
        <v>0</v>
      </c>
      <c r="AB5" s="8">
        <f t="shared" si="1"/>
        <v>0</v>
      </c>
      <c r="AC5" s="8">
        <f t="shared" si="1"/>
        <v>0</v>
      </c>
      <c r="AD5" s="8">
        <f t="shared" si="1"/>
        <v>0</v>
      </c>
      <c r="AE5" s="8">
        <f t="shared" si="1"/>
        <v>0</v>
      </c>
      <c r="AF5" s="8">
        <f t="shared" si="1"/>
        <v>0</v>
      </c>
      <c r="AG5" s="8">
        <f t="shared" si="1"/>
        <v>0</v>
      </c>
      <c r="AH5" s="8">
        <f t="shared" si="1"/>
        <v>0</v>
      </c>
      <c r="AI5" s="8">
        <f t="shared" si="1"/>
        <v>0</v>
      </c>
      <c r="AJ5" s="8">
        <f t="shared" si="1"/>
        <v>0</v>
      </c>
      <c r="AK5" s="8">
        <f t="shared" si="1"/>
        <v>0</v>
      </c>
    </row>
    <row r="6" spans="1:37" x14ac:dyDescent="0.35">
      <c r="A6" t="s">
        <v>44</v>
      </c>
      <c r="B6" s="8">
        <v>0</v>
      </c>
      <c r="C6" s="8">
        <v>0</v>
      </c>
      <c r="D6" s="8">
        <v>0</v>
      </c>
      <c r="E6" s="8">
        <v>0</v>
      </c>
      <c r="F6" s="8">
        <v>0</v>
      </c>
      <c r="G6" s="8">
        <v>0</v>
      </c>
      <c r="H6" s="8">
        <v>0</v>
      </c>
      <c r="I6" s="8">
        <v>0</v>
      </c>
      <c r="J6" s="8">
        <v>0</v>
      </c>
      <c r="K6" s="8">
        <v>0</v>
      </c>
      <c r="L6" s="8">
        <v>0</v>
      </c>
      <c r="M6" s="8">
        <v>0</v>
      </c>
      <c r="N6" s="8">
        <v>0</v>
      </c>
      <c r="O6" s="8">
        <v>0</v>
      </c>
      <c r="P6" s="8">
        <v>0</v>
      </c>
      <c r="Q6" s="8">
        <v>0</v>
      </c>
      <c r="R6" s="8">
        <f t="shared" si="0"/>
        <v>0</v>
      </c>
      <c r="S6" s="8">
        <f t="shared" si="1"/>
        <v>0</v>
      </c>
      <c r="T6" s="8">
        <f t="shared" si="1"/>
        <v>0</v>
      </c>
      <c r="U6" s="8">
        <f t="shared" si="1"/>
        <v>0</v>
      </c>
      <c r="V6" s="8">
        <f t="shared" si="1"/>
        <v>0</v>
      </c>
      <c r="W6" s="8">
        <f t="shared" ref="W6:AK14" si="2">TREND($I6:$Q6,$I$1:$Q$1,W$1)</f>
        <v>0</v>
      </c>
      <c r="X6" s="8">
        <f t="shared" si="2"/>
        <v>0</v>
      </c>
      <c r="Y6" s="8">
        <f t="shared" si="2"/>
        <v>0</v>
      </c>
      <c r="Z6" s="8">
        <f t="shared" si="2"/>
        <v>0</v>
      </c>
      <c r="AA6" s="8">
        <f t="shared" si="2"/>
        <v>0</v>
      </c>
      <c r="AB6" s="8">
        <f t="shared" si="2"/>
        <v>0</v>
      </c>
      <c r="AC6" s="8">
        <f t="shared" si="2"/>
        <v>0</v>
      </c>
      <c r="AD6" s="8">
        <f t="shared" si="2"/>
        <v>0</v>
      </c>
      <c r="AE6" s="8">
        <f t="shared" si="2"/>
        <v>0</v>
      </c>
      <c r="AF6" s="8">
        <f t="shared" si="2"/>
        <v>0</v>
      </c>
      <c r="AG6" s="8">
        <f t="shared" si="2"/>
        <v>0</v>
      </c>
      <c r="AH6" s="8">
        <f t="shared" si="2"/>
        <v>0</v>
      </c>
      <c r="AI6" s="8">
        <f t="shared" si="2"/>
        <v>0</v>
      </c>
      <c r="AJ6" s="8">
        <f t="shared" si="2"/>
        <v>0</v>
      </c>
      <c r="AK6" s="8">
        <f t="shared" si="2"/>
        <v>0</v>
      </c>
    </row>
    <row r="7" spans="1:37" x14ac:dyDescent="0.35">
      <c r="A7" t="s">
        <v>27</v>
      </c>
      <c r="B7" s="8">
        <v>0</v>
      </c>
      <c r="C7" s="8">
        <v>0</v>
      </c>
      <c r="D7" s="8">
        <v>0</v>
      </c>
      <c r="E7" s="8">
        <v>0</v>
      </c>
      <c r="F7" s="8">
        <v>0</v>
      </c>
      <c r="G7" s="8">
        <v>0</v>
      </c>
      <c r="H7" s="8">
        <v>0</v>
      </c>
      <c r="I7" s="8">
        <v>0</v>
      </c>
      <c r="J7" s="8">
        <v>0</v>
      </c>
      <c r="K7" s="8">
        <v>0</v>
      </c>
      <c r="L7" s="8">
        <v>0</v>
      </c>
      <c r="M7" s="8">
        <v>0</v>
      </c>
      <c r="N7" s="8">
        <v>0</v>
      </c>
      <c r="O7" s="8">
        <v>0</v>
      </c>
      <c r="P7" s="8">
        <v>0</v>
      </c>
      <c r="Q7" s="8">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2"/>
        <v>0</v>
      </c>
      <c r="AI7" s="8">
        <f t="shared" si="2"/>
        <v>0</v>
      </c>
      <c r="AJ7" s="8">
        <f t="shared" si="2"/>
        <v>0</v>
      </c>
      <c r="AK7" s="8">
        <f t="shared" si="2"/>
        <v>0</v>
      </c>
    </row>
    <row r="8" spans="1:37" x14ac:dyDescent="0.35">
      <c r="A8" t="s">
        <v>28</v>
      </c>
      <c r="B8" s="8">
        <v>0</v>
      </c>
      <c r="C8" s="8">
        <v>0</v>
      </c>
      <c r="D8" s="8">
        <v>0</v>
      </c>
      <c r="E8" s="8">
        <v>0</v>
      </c>
      <c r="F8" s="8">
        <v>0</v>
      </c>
      <c r="G8" s="8">
        <v>0</v>
      </c>
      <c r="H8" s="8">
        <v>0</v>
      </c>
      <c r="I8" s="8">
        <v>0</v>
      </c>
      <c r="J8" s="8">
        <v>0</v>
      </c>
      <c r="K8" s="8">
        <v>0</v>
      </c>
      <c r="L8" s="8">
        <v>0</v>
      </c>
      <c r="M8" s="8">
        <v>0</v>
      </c>
      <c r="N8" s="8">
        <v>0</v>
      </c>
      <c r="O8" s="8">
        <v>0</v>
      </c>
      <c r="P8" s="8">
        <v>0</v>
      </c>
      <c r="Q8" s="8">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0</v>
      </c>
      <c r="AB8" s="8">
        <f t="shared" si="0"/>
        <v>0</v>
      </c>
      <c r="AC8" s="8">
        <f t="shared" si="0"/>
        <v>0</v>
      </c>
      <c r="AD8" s="8">
        <f t="shared" si="0"/>
        <v>0</v>
      </c>
      <c r="AE8" s="8">
        <f t="shared" si="0"/>
        <v>0</v>
      </c>
      <c r="AF8" s="8">
        <f t="shared" si="0"/>
        <v>0</v>
      </c>
      <c r="AG8" s="8">
        <f t="shared" si="0"/>
        <v>0</v>
      </c>
      <c r="AH8" s="8">
        <f t="shared" si="2"/>
        <v>0</v>
      </c>
      <c r="AI8" s="8">
        <f t="shared" si="2"/>
        <v>0</v>
      </c>
      <c r="AJ8" s="8">
        <f t="shared" si="2"/>
        <v>0</v>
      </c>
      <c r="AK8" s="8">
        <f t="shared" si="2"/>
        <v>0</v>
      </c>
    </row>
    <row r="9" spans="1:37" x14ac:dyDescent="0.35">
      <c r="A9" t="s">
        <v>34</v>
      </c>
      <c r="B9" s="8">
        <v>0</v>
      </c>
      <c r="C9" s="8">
        <v>0</v>
      </c>
      <c r="D9" s="8">
        <v>0</v>
      </c>
      <c r="E9" s="8">
        <v>0</v>
      </c>
      <c r="F9" s="8">
        <v>0</v>
      </c>
      <c r="G9" s="8">
        <v>0</v>
      </c>
      <c r="H9" s="8">
        <v>0</v>
      </c>
      <c r="I9" s="8">
        <v>0</v>
      </c>
      <c r="J9" s="8">
        <v>0</v>
      </c>
      <c r="K9" s="8">
        <v>0</v>
      </c>
      <c r="L9" s="8">
        <v>0</v>
      </c>
      <c r="M9" s="8">
        <v>0</v>
      </c>
      <c r="N9" s="8">
        <v>0</v>
      </c>
      <c r="O9" s="8">
        <v>0</v>
      </c>
      <c r="P9" s="8">
        <v>0</v>
      </c>
      <c r="Q9" s="8">
        <v>0</v>
      </c>
      <c r="R9" s="8">
        <f t="shared" si="0"/>
        <v>0</v>
      </c>
      <c r="S9" s="8">
        <f t="shared" si="0"/>
        <v>0</v>
      </c>
      <c r="T9" s="8">
        <f t="shared" si="0"/>
        <v>0</v>
      </c>
      <c r="U9" s="8">
        <f t="shared" si="0"/>
        <v>0</v>
      </c>
      <c r="V9" s="8">
        <f t="shared" si="0"/>
        <v>0</v>
      </c>
      <c r="W9" s="8">
        <f t="shared" si="0"/>
        <v>0</v>
      </c>
      <c r="X9" s="8">
        <f t="shared" si="0"/>
        <v>0</v>
      </c>
      <c r="Y9" s="8">
        <f t="shared" si="0"/>
        <v>0</v>
      </c>
      <c r="Z9" s="8">
        <f t="shared" si="0"/>
        <v>0</v>
      </c>
      <c r="AA9" s="8">
        <f t="shared" si="0"/>
        <v>0</v>
      </c>
      <c r="AB9" s="8">
        <f t="shared" si="0"/>
        <v>0</v>
      </c>
      <c r="AC9" s="8">
        <f t="shared" si="0"/>
        <v>0</v>
      </c>
      <c r="AD9" s="8">
        <f t="shared" si="0"/>
        <v>0</v>
      </c>
      <c r="AE9" s="8">
        <f t="shared" si="0"/>
        <v>0</v>
      </c>
      <c r="AF9" s="8">
        <f t="shared" si="0"/>
        <v>0</v>
      </c>
      <c r="AG9" s="8">
        <f t="shared" si="0"/>
        <v>0</v>
      </c>
      <c r="AH9" s="8">
        <f t="shared" si="2"/>
        <v>0</v>
      </c>
      <c r="AI9" s="8">
        <f t="shared" si="2"/>
        <v>0</v>
      </c>
      <c r="AJ9" s="8">
        <f t="shared" si="2"/>
        <v>0</v>
      </c>
      <c r="AK9" s="8">
        <f t="shared" si="2"/>
        <v>0</v>
      </c>
    </row>
    <row r="10" spans="1:37" x14ac:dyDescent="0.35">
      <c r="A10" t="s">
        <v>37</v>
      </c>
      <c r="B10" s="8">
        <v>0</v>
      </c>
      <c r="C10" s="8">
        <v>0</v>
      </c>
      <c r="D10" s="8">
        <v>0</v>
      </c>
      <c r="E10" s="8">
        <v>0</v>
      </c>
      <c r="F10" s="8">
        <v>0</v>
      </c>
      <c r="G10" s="8">
        <v>0</v>
      </c>
      <c r="H10" s="8">
        <v>0</v>
      </c>
      <c r="I10" s="8">
        <v>0</v>
      </c>
      <c r="J10" s="8">
        <v>0</v>
      </c>
      <c r="K10" s="8">
        <v>0</v>
      </c>
      <c r="L10" s="8">
        <v>0</v>
      </c>
      <c r="M10" s="8">
        <v>0</v>
      </c>
      <c r="N10" s="8">
        <v>0</v>
      </c>
      <c r="O10" s="8">
        <v>0</v>
      </c>
      <c r="P10" s="8">
        <v>0</v>
      </c>
      <c r="Q10" s="8">
        <v>0</v>
      </c>
      <c r="R10" s="8">
        <f t="shared" si="0"/>
        <v>0</v>
      </c>
      <c r="S10" s="8">
        <f t="shared" si="0"/>
        <v>0</v>
      </c>
      <c r="T10" s="8">
        <f t="shared" si="0"/>
        <v>0</v>
      </c>
      <c r="U10" s="8">
        <f t="shared" si="0"/>
        <v>0</v>
      </c>
      <c r="V10" s="8">
        <f t="shared" si="0"/>
        <v>0</v>
      </c>
      <c r="W10" s="8">
        <f t="shared" si="0"/>
        <v>0</v>
      </c>
      <c r="X10" s="8">
        <f t="shared" si="0"/>
        <v>0</v>
      </c>
      <c r="Y10" s="8">
        <f t="shared" si="0"/>
        <v>0</v>
      </c>
      <c r="Z10" s="8">
        <f t="shared" si="0"/>
        <v>0</v>
      </c>
      <c r="AA10" s="8">
        <f t="shared" si="0"/>
        <v>0</v>
      </c>
      <c r="AB10" s="8">
        <f t="shared" si="0"/>
        <v>0</v>
      </c>
      <c r="AC10" s="8">
        <f t="shared" si="0"/>
        <v>0</v>
      </c>
      <c r="AD10" s="8">
        <f t="shared" si="0"/>
        <v>0</v>
      </c>
      <c r="AE10" s="8">
        <f t="shared" si="0"/>
        <v>0</v>
      </c>
      <c r="AF10" s="8">
        <f t="shared" si="0"/>
        <v>0</v>
      </c>
      <c r="AG10" s="8">
        <f t="shared" si="0"/>
        <v>0</v>
      </c>
      <c r="AH10" s="8">
        <f t="shared" si="2"/>
        <v>0</v>
      </c>
      <c r="AI10" s="8">
        <f t="shared" si="2"/>
        <v>0</v>
      </c>
      <c r="AJ10" s="8">
        <f t="shared" si="2"/>
        <v>0</v>
      </c>
      <c r="AK10" s="8">
        <f t="shared" si="2"/>
        <v>0</v>
      </c>
    </row>
    <row r="11" spans="1:37" x14ac:dyDescent="0.35">
      <c r="A11" t="s">
        <v>36</v>
      </c>
      <c r="B11" s="8">
        <v>0</v>
      </c>
      <c r="C11" s="8">
        <v>0</v>
      </c>
      <c r="D11" s="8">
        <v>0</v>
      </c>
      <c r="E11" s="8">
        <v>0</v>
      </c>
      <c r="F11" s="8">
        <v>0</v>
      </c>
      <c r="G11" s="8">
        <v>0</v>
      </c>
      <c r="H11" s="8">
        <v>0</v>
      </c>
      <c r="I11" s="8">
        <v>0</v>
      </c>
      <c r="J11" s="8">
        <v>0</v>
      </c>
      <c r="K11" s="8">
        <v>0</v>
      </c>
      <c r="L11" s="8">
        <v>0</v>
      </c>
      <c r="M11" s="8">
        <v>0</v>
      </c>
      <c r="N11" s="8">
        <v>0</v>
      </c>
      <c r="O11" s="8">
        <v>0</v>
      </c>
      <c r="P11" s="8">
        <v>0</v>
      </c>
      <c r="Q11" s="8">
        <v>0</v>
      </c>
      <c r="R11" s="8">
        <f t="shared" si="0"/>
        <v>0</v>
      </c>
      <c r="S11" s="8">
        <f t="shared" si="0"/>
        <v>0</v>
      </c>
      <c r="T11" s="8">
        <f t="shared" si="0"/>
        <v>0</v>
      </c>
      <c r="U11" s="8">
        <f t="shared" si="0"/>
        <v>0</v>
      </c>
      <c r="V11" s="8">
        <f t="shared" si="0"/>
        <v>0</v>
      </c>
      <c r="W11" s="8">
        <f t="shared" si="0"/>
        <v>0</v>
      </c>
      <c r="X11" s="8">
        <f t="shared" si="0"/>
        <v>0</v>
      </c>
      <c r="Y11" s="8">
        <f t="shared" si="0"/>
        <v>0</v>
      </c>
      <c r="Z11" s="8">
        <f t="shared" si="0"/>
        <v>0</v>
      </c>
      <c r="AA11" s="8">
        <f t="shared" si="0"/>
        <v>0</v>
      </c>
      <c r="AB11" s="8">
        <f t="shared" si="0"/>
        <v>0</v>
      </c>
      <c r="AC11" s="8">
        <f t="shared" si="0"/>
        <v>0</v>
      </c>
      <c r="AD11" s="8">
        <f t="shared" si="0"/>
        <v>0</v>
      </c>
      <c r="AE11" s="8">
        <f t="shared" si="0"/>
        <v>0</v>
      </c>
      <c r="AF11" s="8">
        <f t="shared" si="0"/>
        <v>0</v>
      </c>
      <c r="AG11" s="8">
        <f t="shared" si="0"/>
        <v>0</v>
      </c>
      <c r="AH11" s="8">
        <f t="shared" si="2"/>
        <v>0</v>
      </c>
      <c r="AI11" s="8">
        <f t="shared" si="2"/>
        <v>0</v>
      </c>
      <c r="AJ11" s="8">
        <f t="shared" si="2"/>
        <v>0</v>
      </c>
      <c r="AK11" s="8">
        <f t="shared" si="2"/>
        <v>0</v>
      </c>
    </row>
    <row r="12" spans="1:37" x14ac:dyDescent="0.35">
      <c r="A12" t="s">
        <v>38</v>
      </c>
      <c r="B12" s="8">
        <v>0</v>
      </c>
      <c r="C12" s="8">
        <v>0</v>
      </c>
      <c r="D12" s="8">
        <v>0</v>
      </c>
      <c r="E12" s="8">
        <v>0</v>
      </c>
      <c r="F12" s="8">
        <v>0</v>
      </c>
      <c r="G12" s="8">
        <v>0</v>
      </c>
      <c r="H12" s="8">
        <v>0</v>
      </c>
      <c r="I12" s="8">
        <v>0</v>
      </c>
      <c r="J12" s="8">
        <v>0</v>
      </c>
      <c r="K12" s="8">
        <v>0</v>
      </c>
      <c r="L12" s="8">
        <v>0</v>
      </c>
      <c r="M12" s="8">
        <v>0</v>
      </c>
      <c r="N12" s="8">
        <v>0</v>
      </c>
      <c r="O12" s="8">
        <v>0</v>
      </c>
      <c r="P12" s="8">
        <v>0</v>
      </c>
      <c r="Q12" s="8">
        <v>0</v>
      </c>
      <c r="R12" s="8">
        <f t="shared" si="0"/>
        <v>0</v>
      </c>
      <c r="S12" s="8">
        <f t="shared" si="0"/>
        <v>0</v>
      </c>
      <c r="T12" s="8">
        <f t="shared" si="0"/>
        <v>0</v>
      </c>
      <c r="U12" s="8">
        <f t="shared" si="0"/>
        <v>0</v>
      </c>
      <c r="V12" s="8">
        <f t="shared" si="0"/>
        <v>0</v>
      </c>
      <c r="W12" s="8">
        <f t="shared" si="0"/>
        <v>0</v>
      </c>
      <c r="X12" s="8">
        <f t="shared" si="0"/>
        <v>0</v>
      </c>
      <c r="Y12" s="8">
        <f t="shared" si="0"/>
        <v>0</v>
      </c>
      <c r="Z12" s="8">
        <f t="shared" si="0"/>
        <v>0</v>
      </c>
      <c r="AA12" s="8">
        <f t="shared" si="0"/>
        <v>0</v>
      </c>
      <c r="AB12" s="8">
        <f t="shared" si="0"/>
        <v>0</v>
      </c>
      <c r="AC12" s="8">
        <f t="shared" si="0"/>
        <v>0</v>
      </c>
      <c r="AD12" s="8">
        <f t="shared" si="0"/>
        <v>0</v>
      </c>
      <c r="AE12" s="8">
        <f t="shared" si="0"/>
        <v>0</v>
      </c>
      <c r="AF12" s="8">
        <f t="shared" si="0"/>
        <v>0</v>
      </c>
      <c r="AG12" s="8">
        <f t="shared" si="0"/>
        <v>0</v>
      </c>
      <c r="AH12" s="8">
        <f t="shared" si="2"/>
        <v>0</v>
      </c>
      <c r="AI12" s="8">
        <f t="shared" si="2"/>
        <v>0</v>
      </c>
      <c r="AJ12" s="8">
        <f t="shared" si="2"/>
        <v>0</v>
      </c>
      <c r="AK12" s="8">
        <f t="shared" si="2"/>
        <v>0</v>
      </c>
    </row>
    <row r="13" spans="1:37" x14ac:dyDescent="0.25">
      <c r="A13" s="8" t="s">
        <v>40</v>
      </c>
      <c r="B13" s="8">
        <v>0</v>
      </c>
      <c r="C13" s="8">
        <v>0</v>
      </c>
      <c r="D13" s="8">
        <v>0</v>
      </c>
      <c r="E13" s="8">
        <v>0</v>
      </c>
      <c r="F13" s="8">
        <v>0</v>
      </c>
      <c r="G13" s="8">
        <v>0</v>
      </c>
      <c r="H13" s="8">
        <v>0</v>
      </c>
      <c r="I13" s="8">
        <v>0</v>
      </c>
      <c r="J13" s="8">
        <v>0</v>
      </c>
      <c r="K13" s="8">
        <v>0</v>
      </c>
      <c r="L13" s="8">
        <v>0</v>
      </c>
      <c r="M13" s="8">
        <v>0</v>
      </c>
      <c r="N13" s="8">
        <v>0</v>
      </c>
      <c r="O13" s="8">
        <v>0</v>
      </c>
      <c r="P13" s="8">
        <v>0</v>
      </c>
      <c r="Q13" s="8">
        <v>0</v>
      </c>
      <c r="R13" s="8">
        <f t="shared" si="0"/>
        <v>0</v>
      </c>
      <c r="S13" s="8">
        <f t="shared" si="0"/>
        <v>0</v>
      </c>
      <c r="T13" s="8">
        <f t="shared" si="0"/>
        <v>0</v>
      </c>
      <c r="U13" s="8">
        <f t="shared" si="0"/>
        <v>0</v>
      </c>
      <c r="V13" s="8">
        <f t="shared" si="0"/>
        <v>0</v>
      </c>
      <c r="W13" s="8">
        <f t="shared" si="0"/>
        <v>0</v>
      </c>
      <c r="X13" s="8">
        <f t="shared" si="0"/>
        <v>0</v>
      </c>
      <c r="Y13" s="8">
        <f t="shared" si="0"/>
        <v>0</v>
      </c>
      <c r="Z13" s="8">
        <f t="shared" si="0"/>
        <v>0</v>
      </c>
      <c r="AA13" s="8">
        <f t="shared" si="0"/>
        <v>0</v>
      </c>
      <c r="AB13" s="8">
        <f t="shared" si="0"/>
        <v>0</v>
      </c>
      <c r="AC13" s="8">
        <f t="shared" si="0"/>
        <v>0</v>
      </c>
      <c r="AD13" s="8">
        <f t="shared" si="0"/>
        <v>0</v>
      </c>
      <c r="AE13" s="8">
        <f t="shared" si="0"/>
        <v>0</v>
      </c>
      <c r="AF13" s="8">
        <f t="shared" si="0"/>
        <v>0</v>
      </c>
      <c r="AG13" s="8">
        <f t="shared" si="0"/>
        <v>0</v>
      </c>
      <c r="AH13" s="8">
        <f t="shared" si="2"/>
        <v>0</v>
      </c>
      <c r="AI13" s="8">
        <f t="shared" si="2"/>
        <v>0</v>
      </c>
      <c r="AJ13" s="8">
        <f t="shared" si="2"/>
        <v>0</v>
      </c>
      <c r="AK13" s="8">
        <f t="shared" si="2"/>
        <v>0</v>
      </c>
    </row>
    <row r="14" spans="1:37" x14ac:dyDescent="0.25">
      <c r="A14" t="s">
        <v>41</v>
      </c>
      <c r="B14" s="8">
        <v>0</v>
      </c>
      <c r="C14" s="8">
        <v>0</v>
      </c>
      <c r="D14" s="8">
        <v>0</v>
      </c>
      <c r="E14" s="8">
        <v>0</v>
      </c>
      <c r="F14" s="8">
        <v>0</v>
      </c>
      <c r="G14" s="8">
        <v>0</v>
      </c>
      <c r="H14" s="8">
        <v>0</v>
      </c>
      <c r="I14" s="8">
        <v>0</v>
      </c>
      <c r="J14" s="8">
        <v>0</v>
      </c>
      <c r="K14" s="8">
        <v>0</v>
      </c>
      <c r="L14" s="8">
        <v>0</v>
      </c>
      <c r="M14" s="8">
        <v>0</v>
      </c>
      <c r="N14" s="8">
        <v>0</v>
      </c>
      <c r="O14" s="8">
        <v>0</v>
      </c>
      <c r="P14" s="8">
        <v>0</v>
      </c>
      <c r="Q14" s="8">
        <v>0</v>
      </c>
      <c r="R14" s="8">
        <f t="shared" si="0"/>
        <v>0</v>
      </c>
      <c r="S14" s="8">
        <f t="shared" si="0"/>
        <v>0</v>
      </c>
      <c r="T14" s="8">
        <f t="shared" si="0"/>
        <v>0</v>
      </c>
      <c r="U14" s="8">
        <f t="shared" si="0"/>
        <v>0</v>
      </c>
      <c r="V14" s="8">
        <f t="shared" si="0"/>
        <v>0</v>
      </c>
      <c r="W14" s="8">
        <f t="shared" si="0"/>
        <v>0</v>
      </c>
      <c r="X14" s="8">
        <f t="shared" si="0"/>
        <v>0</v>
      </c>
      <c r="Y14" s="8">
        <f t="shared" si="0"/>
        <v>0</v>
      </c>
      <c r="Z14" s="8">
        <f t="shared" si="0"/>
        <v>0</v>
      </c>
      <c r="AA14" s="8">
        <f t="shared" si="0"/>
        <v>0</v>
      </c>
      <c r="AB14" s="8">
        <f t="shared" si="0"/>
        <v>0</v>
      </c>
      <c r="AC14" s="8">
        <f t="shared" si="0"/>
        <v>0</v>
      </c>
      <c r="AD14" s="8">
        <f t="shared" si="0"/>
        <v>0</v>
      </c>
      <c r="AE14" s="8">
        <f t="shared" si="0"/>
        <v>0</v>
      </c>
      <c r="AF14" s="8">
        <f t="shared" si="0"/>
        <v>0</v>
      </c>
      <c r="AG14" s="8">
        <f t="shared" si="0"/>
        <v>0</v>
      </c>
      <c r="AH14" s="8">
        <f t="shared" si="2"/>
        <v>0</v>
      </c>
      <c r="AI14" s="8">
        <f t="shared" si="2"/>
        <v>0</v>
      </c>
      <c r="AJ14" s="8">
        <f t="shared" si="2"/>
        <v>0</v>
      </c>
      <c r="AK14" s="8">
        <f t="shared" si="2"/>
        <v>0</v>
      </c>
    </row>
    <row r="15" spans="1:37" x14ac:dyDescent="0.25">
      <c r="R15" s="8"/>
      <c r="S15" s="8"/>
      <c r="T15" s="8"/>
      <c r="U15" s="8"/>
      <c r="V15" s="8"/>
      <c r="W15" s="8"/>
      <c r="X15" s="8"/>
      <c r="Y15" s="8"/>
      <c r="Z15" s="8"/>
      <c r="AA15" s="8"/>
      <c r="AB15" s="8"/>
      <c r="AC15" s="8"/>
      <c r="AD15" s="8"/>
      <c r="AE15" s="8"/>
      <c r="AF15" s="8"/>
      <c r="AG15" s="8"/>
      <c r="AH15" s="8"/>
      <c r="AI15" s="8"/>
      <c r="AJ15" s="8"/>
      <c r="AK15" s="8"/>
    </row>
    <row r="16" spans="1:37" x14ac:dyDescent="0.25">
      <c r="R16" s="8"/>
      <c r="S16" s="8"/>
      <c r="T16" s="8"/>
      <c r="U16" s="8"/>
      <c r="V16" s="8"/>
      <c r="W16" s="8"/>
      <c r="X16" s="8"/>
      <c r="Y16" s="8"/>
      <c r="Z16" s="8"/>
      <c r="AA16" s="8"/>
      <c r="AB16" s="8"/>
      <c r="AC16" s="8"/>
      <c r="AD16" s="8"/>
      <c r="AE16" s="8"/>
      <c r="AF16" s="8"/>
      <c r="AG16" s="8"/>
      <c r="AH16" s="8"/>
      <c r="AI16" s="8"/>
      <c r="AJ16" s="8"/>
      <c r="AK1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CAN Fossil Subsidies</vt:lpstr>
      <vt:lpstr>CAN Primary Energy</vt:lpstr>
      <vt:lpstr>CAN Fossil Calculations</vt:lpstr>
      <vt:lpstr>CAN RE subsidy programs</vt:lpstr>
      <vt:lpstr>CAN RE Calculations</vt:lpstr>
      <vt:lpstr>BS-BSfTFpEUP</vt:lpstr>
      <vt:lpstr>BS-BSpUEO</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2014-08-21T02:04:37Z</dcterms:created>
  <dcterms:modified xsi:type="dcterms:W3CDTF">2018-01-23T23:44:24Z</dcterms:modified>
</cp:coreProperties>
</file>