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autoCompressPictures="0" defaultThemeVersion="164011"/>
  <mc:AlternateContent xmlns:mc="http://schemas.openxmlformats.org/markup-compatibility/2006">
    <mc:Choice Requires="x15">
      <x15ac:absPath xmlns:x15ac="http://schemas.microsoft.com/office/spreadsheetml/2010/11/ac" url="C:\Users\Robbie\Dropbox (Energy InNovation)\My Documents\Policy Solutions Project\Canada\Models\eps-1.3.2-canada-wipL\InputData\indst\BPEiC\"/>
    </mc:Choice>
  </mc:AlternateContent>
  <bookViews>
    <workbookView xWindow="0" yWindow="0" windowWidth="23535" windowHeight="14805" tabRatio="775" firstSheet="15" activeTab="23"/>
  </bookViews>
  <sheets>
    <sheet name="About" sheetId="44" r:id="rId1"/>
    <sheet name="Cross-Page Data" sheetId="35" r:id="rId2"/>
    <sheet name="Cement CO2 Emissions" sheetId="1" r:id="rId3"/>
    <sheet name="Iron and Steel" sheetId="13" r:id="rId4"/>
    <sheet name="Coal Mining" sheetId="6" r:id="rId5"/>
    <sheet name="Natural Gas Systems" sheetId="8" r:id="rId6"/>
    <sheet name="Petroleum Systems" sheetId="11" r:id="rId7"/>
    <sheet name="Chem - HCFC 22 Production" sheetId="16" r:id="rId8"/>
    <sheet name="Chem - ODS" sheetId="17" r:id="rId9"/>
    <sheet name="Other - Aluminum" sheetId="23" r:id="rId10"/>
    <sheet name="Other - Magnesium" sheetId="24" r:id="rId11"/>
    <sheet name="Other - Semiconductor Mfg" sheetId="25" r:id="rId12"/>
    <sheet name="Other Industrial Processes" sheetId="43" r:id="rId13"/>
    <sheet name="Other - Elec Trans and Dist" sheetId="26" r:id="rId14"/>
    <sheet name="Agriculture - EF &amp; Manure Mgmt" sheetId="18" r:id="rId15"/>
    <sheet name="Agriculture - Rice Cultivation" sheetId="19" r:id="rId16"/>
    <sheet name="Agriculture - Soil Mgmt" sheetId="20" r:id="rId17"/>
    <sheet name="Waste - Landfills" sheetId="27" r:id="rId18"/>
    <sheet name="Waste - Water Treatment" sheetId="28" r:id="rId19"/>
    <sheet name="Combined Data" sheetId="30" r:id="rId20"/>
    <sheet name="BPEiC-CO2" sheetId="31" r:id="rId21"/>
    <sheet name="BPEiC-CH4" sheetId="32" r:id="rId22"/>
    <sheet name="BPEiC-N2O" sheetId="33" r:id="rId23"/>
    <sheet name="BPEiC-F-gases" sheetId="34" r:id="rId24"/>
    <sheet name="Coal Supply and Demand" sheetId="46" r:id="rId25"/>
    <sheet name="Natural Gas Production" sheetId="49" r:id="rId26"/>
    <sheet name="Crude Oil Production" sheetId="47" r:id="rId27"/>
    <sheet name="Refinery Balances" sheetId="48" r:id="rId28"/>
    <sheet name="Table3s1" sheetId="56" r:id="rId29"/>
    <sheet name="IFPRI Results" sheetId="55" r:id="rId30"/>
    <sheet name="FAO Stats" sheetId="52" r:id="rId31"/>
    <sheet name="Table3.D" sheetId="57" r:id="rId32"/>
    <sheet name="FAPRI Projections" sheetId="53" r:id="rId33"/>
    <sheet name="Table 5" sheetId="59" r:id="rId34"/>
    <sheet name="Macro Indicators" sheetId="51" r:id="rId35"/>
    <sheet name="15" sheetId="60" r:id="rId36"/>
    <sheet name="14" sheetId="61" r:id="rId37"/>
    <sheet name="13" sheetId="62" r:id="rId38"/>
    <sheet name="12" sheetId="63" r:id="rId39"/>
    <sheet name="11" sheetId="64" r:id="rId40"/>
    <sheet name="10" sheetId="65" r:id="rId41"/>
    <sheet name="09" sheetId="66" r:id="rId42"/>
    <sheet name="08" sheetId="67" r:id="rId43"/>
    <sheet name="07" sheetId="68" r:id="rId44"/>
    <sheet name="06" sheetId="69" r:id="rId45"/>
    <sheet name="05" sheetId="86" r:id="rId46"/>
    <sheet name="04" sheetId="87" r:id="rId47"/>
    <sheet name="03" sheetId="88" r:id="rId48"/>
    <sheet name="02" sheetId="89" r:id="rId49"/>
    <sheet name="01" sheetId="90" r:id="rId50"/>
    <sheet name="00" sheetId="91" r:id="rId51"/>
    <sheet name="99" sheetId="92" r:id="rId52"/>
    <sheet name="98" sheetId="93" r:id="rId53"/>
    <sheet name="97" sheetId="94" r:id="rId54"/>
    <sheet name="96" sheetId="95" r:id="rId55"/>
    <sheet name="95" sheetId="96" r:id="rId56"/>
    <sheet name="94" sheetId="97" r:id="rId57"/>
    <sheet name="93" sheetId="98" r:id="rId58"/>
    <sheet name="92" sheetId="99" r:id="rId59"/>
    <sheet name="91" sheetId="100" r:id="rId60"/>
    <sheet name="90" sheetId="101" r:id="rId61"/>
  </sheets>
  <externalReferences>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s>
  <definedNames>
    <definedName name="____W.O.R.K.B.O.O.K..C.O.N.T.E.N.T.S____">#REF!</definedName>
    <definedName name="_1990">#REF!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xlnm._FilterDatabase" localSheetId="8" hidden="1">'Chem - ODS'!#REF!</definedName>
    <definedName name="CH4_to_CO2e">'Cross-Page Data'!$C$12</definedName>
    <definedName name="CRF_4_KP__Doc">'[1]4(KP)'!$A$17:$E$18</definedName>
    <definedName name="CRF_4_KP__Main">'[1]4(KP)'!$A$5:$E$15</definedName>
    <definedName name="CRF_4_KP_I_A.1.1_Doc">'[3]4(KP-I)A.1'!#REF!</definedName>
    <definedName name="CRF_4_KP_I_A.1.1_Main">'[3]4(KP-I)A.1'!$A$6:$O$18</definedName>
    <definedName name="CRF_4_KP_I_A.1_Doc">'[2]4(KP-I)A'!$A$16:$AA$17</definedName>
    <definedName name="CRF_4_KP_I_A.1_Main">'[2]4(KP-I)A'!$A$6:$AA$14</definedName>
    <definedName name="CRF_4_KP_I_A.2.1_Doc">'[5]4(KP-I)A.2'!#REF!</definedName>
    <definedName name="CRF_4_KP_I_A.2.1_Main">'[5]4(KP-I)A.2'!$A$6:$B$9</definedName>
    <definedName name="CRF_4_KP_I_A.2_Doc">'[4]4(KP-I)A'!#REF!</definedName>
    <definedName name="CRF_4_KP_I_A.2_Main1">'[4]4(KP-I)A'!$A$6:$AA$14</definedName>
    <definedName name="CRF_4_KP_I_A.2_Main2">'[4]4(KP-I)A'!$A$18:$AA$24</definedName>
    <definedName name="CRF_4_KP_I_B.1.1_Doc">'[7]4(KP-I)B.1'!#REF!</definedName>
    <definedName name="CRF_4_KP_I_B.1.1_Main">'[7]4(KP-I)B.1'!$A$6:$C$10</definedName>
    <definedName name="CRF_4_KP_I_B.1.2_Doc">'[8]4(KP-I)B.1'!$A$13:$J$14</definedName>
    <definedName name="CRF_4_KP_I_B.1.2_Main">'[8]4(KP-I)B.1'!$A$7:$J$11</definedName>
    <definedName name="CRF_4_KP_I_B.1.3_Doc">'[9]4(KP-I)B.1'!#REF!</definedName>
    <definedName name="CRF_4_KP_I_B.1.3_Main">'[9]4(KP-I)B.1'!$A$6:$O$18</definedName>
    <definedName name="CRF_4_KP_I_B.1_Doc">'[6]4(KP-I)B'!$A$20:$AB$21</definedName>
    <definedName name="CRF_4_KP_I_B.1_Main">'[6]4(KP-I)B'!$A$6:$AB$18</definedName>
    <definedName name="CRF_4_KP_I_B.2_Doc">'[10]4(KP-I)B'!$A$13:$Z$14</definedName>
    <definedName name="CRF_4_KP_I_B.2_Main">'[10]4(KP-I)B'!$A$6:$Z$11</definedName>
    <definedName name="CRF_4_KP_I_B.3_Doc">'[11]4(KP-I)B'!$A$13:$Z$14</definedName>
    <definedName name="CRF_4_KP_I_B.3_Main">'[11]4(KP-I)B'!$A$6:$Z$11</definedName>
    <definedName name="CRF_4_KP_I_B.4_Doc">'[12]4(KP-I)B'!$A$13:$Z$14</definedName>
    <definedName name="CRF_4_KP_I_B.4_Main">'[12]4(KP-I)B'!$A$6:$Z$11</definedName>
    <definedName name="CRF_4_KP_I_B.5_Doc">'[13]4(KP-I)B'!$A$13:$Z$14</definedName>
    <definedName name="CRF_4_KP_I_B.5_Main">'[13]4(KP-I)B'!$A$6:$Z$11</definedName>
    <definedName name="CRF_4_KP_II_1_Doc">'[14]4(KP-II)1'!$A$15:$D$16</definedName>
    <definedName name="CRF_4_KP_II_1_Main">'[14]4(KP-II)1'!$A$6:$D$13</definedName>
    <definedName name="CRF_4_KP_II_2_Doc">'[15]4(KP-II)2'!$A$38:$F$39</definedName>
    <definedName name="CRF_4_KP_II_2_Main">'[15]4(KP-II)2'!$A$6:$F$36</definedName>
    <definedName name="CRF_4_KP_II_3_Doc">'[16]4(KP-II)3'!$A$22:$E$23</definedName>
    <definedName name="CRF_4_KP_II_3_Main">'[16]4(KP-II)3'!$A$6:$E$20</definedName>
    <definedName name="CRF_4_KP_II_4_Doc">'[17]4(KP-II)4'!$A$45:$J$46</definedName>
    <definedName name="CRF_4_KP_II_4_Main">'[17]4(KP-II)4'!$A$6:$J$43</definedName>
    <definedName name="CRF_4_KP_Recalculations_Doc">'[18]4(KP)Recalculations'!$A$74:$R$75</definedName>
    <definedName name="CRF_4_KP_Recalculations_Main1">'[18]4(KP)Recalculations'!$A$5:$R$60</definedName>
    <definedName name="CRF_4_KP_Recalculations_Main2">'[18]4(KP)Recalculations'!$A$62:$F$70</definedName>
    <definedName name="CRF_accounting_Main">[19]accounting!$A$7:$M$29</definedName>
    <definedName name="CRF_NIR_1_Add">'[20]NIR-1'!$A$33:$C$36</definedName>
    <definedName name="CRF_NIR_1_Main">'[20]NIR-1'!$A$5:$P$16</definedName>
    <definedName name="CRF_NIR_2.1_Main">'[22]NIR-2'!$A$5:$C$10</definedName>
    <definedName name="CRF_NIR_2_Main">'[21]NIR-2'!$A$5:$J$18</definedName>
    <definedName name="CRF_NIR_3_Main">'[23]NIR-3'!$A$5:$F$7</definedName>
    <definedName name="CRF_Table3.B_a_s2_Add">#REF!</definedName>
    <definedName name="CRF_Table3.D_Add">Table3.D!$A$31:$C$35</definedName>
    <definedName name="CRF_Table3.D_Doc">Table3.D!$A$38:$E$42</definedName>
    <definedName name="CRF_Table3.D_Main">Table3.D!$A$5:$E$21</definedName>
    <definedName name="CRF_Table3s1_Main">Table3s1!$A$5:$G$59</definedName>
    <definedName name="CRF_Table5_Doc">#REF!</definedName>
    <definedName name="CRF_Table5_Main">#REF!</definedName>
    <definedName name="CRF_Table7_Main">#REF!</definedName>
    <definedName name="N2O_to_CO2e">'Cross-Page Data'!$C$13</definedName>
    <definedName name="Summary">#REF!</definedName>
  </definedNames>
  <calcPr calcId="162913"/>
  <pivotCaches>
    <pivotCache cacheId="1" r:id="rId85"/>
  </pivotCaches>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A5" i="17" l="1"/>
  <c r="AB5" i="17" s="1"/>
  <c r="Q5" i="17"/>
  <c r="Q30" i="30" s="1"/>
  <c r="L5" i="17"/>
  <c r="G5" i="17"/>
  <c r="A2" i="17"/>
  <c r="B5" i="17"/>
  <c r="B30" i="30" s="1"/>
  <c r="Z5" i="17"/>
  <c r="Y5" i="17"/>
  <c r="X5" i="17"/>
  <c r="W5" i="17"/>
  <c r="W30" i="30" s="1"/>
  <c r="V5" i="17"/>
  <c r="U5" i="17"/>
  <c r="T5" i="17"/>
  <c r="S5" i="17"/>
  <c r="S30" i="30" s="1"/>
  <c r="R5" i="17"/>
  <c r="P5" i="17"/>
  <c r="O5" i="17"/>
  <c r="N5" i="17"/>
  <c r="N30" i="30" s="1"/>
  <c r="M5" i="17"/>
  <c r="K5" i="17"/>
  <c r="J5" i="17"/>
  <c r="I5" i="17"/>
  <c r="I30" i="30" s="1"/>
  <c r="H5" i="17"/>
  <c r="F5" i="17"/>
  <c r="E5" i="17"/>
  <c r="C5" i="17"/>
  <c r="C30" i="30" s="1"/>
  <c r="C62" i="30"/>
  <c r="D62" i="30"/>
  <c r="E62" i="30"/>
  <c r="F62" i="30"/>
  <c r="F50" i="30" s="1"/>
  <c r="H6" i="31" s="1"/>
  <c r="G62" i="30"/>
  <c r="H62" i="30"/>
  <c r="I62" i="30"/>
  <c r="J62" i="30"/>
  <c r="K62" i="30"/>
  <c r="L62" i="30"/>
  <c r="M62" i="30"/>
  <c r="N62" i="30"/>
  <c r="O62" i="30"/>
  <c r="P62" i="30"/>
  <c r="Q62" i="30"/>
  <c r="R62" i="30"/>
  <c r="S62" i="30"/>
  <c r="T62" i="30"/>
  <c r="U62" i="30"/>
  <c r="V62" i="30"/>
  <c r="W62" i="30"/>
  <c r="X62" i="30"/>
  <c r="Y62" i="30"/>
  <c r="Z62" i="30"/>
  <c r="AA62" i="30"/>
  <c r="AB62" i="30"/>
  <c r="AC62" i="30"/>
  <c r="AD62" i="30"/>
  <c r="AE62" i="30"/>
  <c r="AF62" i="30"/>
  <c r="AG62" i="30"/>
  <c r="AH62" i="30"/>
  <c r="AI62" i="30"/>
  <c r="AI50" i="30" s="1"/>
  <c r="H35" i="31" s="1"/>
  <c r="AJ62" i="30"/>
  <c r="AK62" i="30"/>
  <c r="B62" i="30"/>
  <c r="C50" i="30"/>
  <c r="H3" i="31" s="1"/>
  <c r="D50" i="30"/>
  <c r="H4" i="31"/>
  <c r="E50" i="30"/>
  <c r="H5" i="31" s="1"/>
  <c r="G50" i="30"/>
  <c r="H7" i="31" s="1"/>
  <c r="H50" i="30"/>
  <c r="H8" i="31"/>
  <c r="I50" i="30"/>
  <c r="H9" i="31" s="1"/>
  <c r="J50" i="30"/>
  <c r="H10" i="31"/>
  <c r="K50" i="30"/>
  <c r="H11" i="31" s="1"/>
  <c r="L50" i="30"/>
  <c r="H12" i="31"/>
  <c r="M50" i="30"/>
  <c r="H13" i="31" s="1"/>
  <c r="N50" i="30"/>
  <c r="H14" i="31"/>
  <c r="O50" i="30"/>
  <c r="H15" i="31" s="1"/>
  <c r="P50" i="30"/>
  <c r="H16" i="31"/>
  <c r="Q50" i="30"/>
  <c r="H17" i="31" s="1"/>
  <c r="R50" i="30"/>
  <c r="H18" i="31"/>
  <c r="S50" i="30"/>
  <c r="H19" i="31" s="1"/>
  <c r="T50" i="30"/>
  <c r="H20" i="31"/>
  <c r="U50" i="30"/>
  <c r="H21" i="31" s="1"/>
  <c r="V50" i="30"/>
  <c r="H22" i="31"/>
  <c r="W50" i="30"/>
  <c r="H23" i="31" s="1"/>
  <c r="X50" i="30"/>
  <c r="H24" i="31"/>
  <c r="Y50" i="30"/>
  <c r="H25" i="31" s="1"/>
  <c r="Z50" i="30"/>
  <c r="H26" i="31"/>
  <c r="AA50" i="30"/>
  <c r="H27" i="31" s="1"/>
  <c r="AB50" i="30"/>
  <c r="H28" i="31"/>
  <c r="AC50" i="30"/>
  <c r="H29" i="31" s="1"/>
  <c r="AD50" i="30"/>
  <c r="H30" i="31"/>
  <c r="AE50" i="30"/>
  <c r="H31" i="31" s="1"/>
  <c r="AF50" i="30"/>
  <c r="H32" i="31" s="1"/>
  <c r="AG50" i="30"/>
  <c r="H33" i="31"/>
  <c r="AH50" i="30"/>
  <c r="H34" i="31" s="1"/>
  <c r="AJ50" i="30"/>
  <c r="H36" i="31" s="1"/>
  <c r="AK50" i="30"/>
  <c r="H37" i="31" s="1"/>
  <c r="B50" i="30"/>
  <c r="H2" i="31"/>
  <c r="C73" i="30"/>
  <c r="C76" i="30"/>
  <c r="D73" i="30"/>
  <c r="D76" i="30"/>
  <c r="E73" i="30"/>
  <c r="E76" i="30"/>
  <c r="F73" i="30"/>
  <c r="F76" i="30"/>
  <c r="G73" i="30"/>
  <c r="G76" i="30"/>
  <c r="H73" i="30"/>
  <c r="H76" i="30"/>
  <c r="I73" i="30"/>
  <c r="I76" i="30"/>
  <c r="J73" i="30"/>
  <c r="J76" i="30"/>
  <c r="K73" i="30"/>
  <c r="K76" i="30"/>
  <c r="L73" i="30"/>
  <c r="L76" i="30"/>
  <c r="M73" i="30"/>
  <c r="M76" i="30"/>
  <c r="N73" i="30"/>
  <c r="N76" i="30"/>
  <c r="O73" i="30"/>
  <c r="O76" i="30"/>
  <c r="P73" i="30"/>
  <c r="P76" i="30"/>
  <c r="Q73" i="30"/>
  <c r="Q76" i="30"/>
  <c r="R73" i="30"/>
  <c r="R76" i="30"/>
  <c r="S73" i="30"/>
  <c r="S76" i="30"/>
  <c r="T73" i="30"/>
  <c r="T76" i="30"/>
  <c r="U73" i="30"/>
  <c r="U76" i="30"/>
  <c r="V73" i="30"/>
  <c r="V76" i="30"/>
  <c r="W73" i="30"/>
  <c r="W76" i="30"/>
  <c r="X73" i="30"/>
  <c r="X76" i="30"/>
  <c r="Y73" i="30"/>
  <c r="Y76" i="30"/>
  <c r="Z73" i="30"/>
  <c r="Z76" i="30"/>
  <c r="AA73" i="30"/>
  <c r="AA76" i="30"/>
  <c r="AB73" i="30"/>
  <c r="AB76" i="30"/>
  <c r="AC73" i="30"/>
  <c r="AC76" i="30"/>
  <c r="AD73" i="30"/>
  <c r="AD76" i="30"/>
  <c r="AE73" i="30"/>
  <c r="AE76" i="30"/>
  <c r="AF73" i="30"/>
  <c r="AF76" i="30"/>
  <c r="AG73" i="30"/>
  <c r="AG76" i="30"/>
  <c r="AH73" i="30"/>
  <c r="AH76" i="30"/>
  <c r="AI73" i="30"/>
  <c r="AI76" i="30"/>
  <c r="AJ73" i="30"/>
  <c r="AJ76" i="30"/>
  <c r="AK73" i="30"/>
  <c r="AK76" i="30"/>
  <c r="C74" i="30"/>
  <c r="D74" i="30"/>
  <c r="E74" i="30"/>
  <c r="F74" i="30"/>
  <c r="G74" i="30"/>
  <c r="H74" i="30"/>
  <c r="I74" i="30"/>
  <c r="J74" i="30"/>
  <c r="K74" i="30"/>
  <c r="L74" i="30"/>
  <c r="M74" i="30"/>
  <c r="N74" i="30"/>
  <c r="O74" i="30"/>
  <c r="P74" i="30"/>
  <c r="Q74" i="30"/>
  <c r="R74" i="30"/>
  <c r="S74" i="30"/>
  <c r="T74" i="30"/>
  <c r="U74" i="30"/>
  <c r="V74" i="30"/>
  <c r="W74" i="30"/>
  <c r="X74" i="30"/>
  <c r="Y74" i="30"/>
  <c r="Z74" i="30"/>
  <c r="AA74" i="30"/>
  <c r="AB74" i="30"/>
  <c r="AC74" i="30"/>
  <c r="AD74" i="30"/>
  <c r="AE74" i="30"/>
  <c r="AF74" i="30"/>
  <c r="AG74" i="30"/>
  <c r="AH74" i="30"/>
  <c r="AI74" i="30"/>
  <c r="AJ74" i="30"/>
  <c r="AK74" i="30"/>
  <c r="C75" i="30"/>
  <c r="C67" i="30"/>
  <c r="D75" i="30"/>
  <c r="D67" i="30" s="1"/>
  <c r="E75" i="30"/>
  <c r="E67" i="30"/>
  <c r="F75" i="30"/>
  <c r="F67" i="30" s="1"/>
  <c r="G75" i="30"/>
  <c r="G67" i="30"/>
  <c r="H75" i="30"/>
  <c r="H67" i="30" s="1"/>
  <c r="I75" i="30"/>
  <c r="I67" i="30" s="1"/>
  <c r="J75" i="30"/>
  <c r="J67" i="30" s="1"/>
  <c r="K75" i="30"/>
  <c r="K67" i="30" s="1"/>
  <c r="L75" i="30"/>
  <c r="L67" i="30" s="1"/>
  <c r="M75" i="30"/>
  <c r="M67" i="30" s="1"/>
  <c r="I13" i="33" s="1"/>
  <c r="N75" i="30"/>
  <c r="N67" i="30" s="1"/>
  <c r="O75" i="30"/>
  <c r="O67" i="30" s="1"/>
  <c r="P75" i="30"/>
  <c r="P67" i="30" s="1"/>
  <c r="Q75" i="30"/>
  <c r="Q67" i="30" s="1"/>
  <c r="R75" i="30"/>
  <c r="R67" i="30" s="1"/>
  <c r="S75" i="30"/>
  <c r="S67" i="30" s="1"/>
  <c r="T75" i="30"/>
  <c r="T67" i="30" s="1"/>
  <c r="U75" i="30"/>
  <c r="U67" i="30" s="1"/>
  <c r="I21" i="33" s="1"/>
  <c r="V75" i="30"/>
  <c r="V67" i="30" s="1"/>
  <c r="W75" i="30"/>
  <c r="W67" i="30" s="1"/>
  <c r="X75" i="30"/>
  <c r="X67" i="30" s="1"/>
  <c r="Y75" i="30"/>
  <c r="Y67" i="30" s="1"/>
  <c r="Z75" i="30"/>
  <c r="Z67" i="30" s="1"/>
  <c r="AA75" i="30"/>
  <c r="AA67" i="30" s="1"/>
  <c r="AB75" i="30"/>
  <c r="AB67" i="30" s="1"/>
  <c r="AC75" i="30"/>
  <c r="AC67" i="30" s="1"/>
  <c r="I29" i="33" s="1"/>
  <c r="AD75" i="30"/>
  <c r="AD67" i="30" s="1"/>
  <c r="AE75" i="30"/>
  <c r="AE67" i="30" s="1"/>
  <c r="AF75" i="30"/>
  <c r="AF67" i="30" s="1"/>
  <c r="AG75" i="30"/>
  <c r="AG67" i="30" s="1"/>
  <c r="AH75" i="30"/>
  <c r="AH67" i="30" s="1"/>
  <c r="AI75" i="30"/>
  <c r="AI67" i="30" s="1"/>
  <c r="AJ75" i="30"/>
  <c r="AJ67" i="30" s="1"/>
  <c r="AK75" i="30"/>
  <c r="AK67" i="30" s="1"/>
  <c r="I37" i="33" s="1"/>
  <c r="B75" i="30"/>
  <c r="B67" i="30" s="1"/>
  <c r="B72" i="30"/>
  <c r="B74" i="30"/>
  <c r="B71" i="30"/>
  <c r="B73" i="30"/>
  <c r="B76" i="30"/>
  <c r="C32" i="30"/>
  <c r="C26" i="30"/>
  <c r="D32" i="30"/>
  <c r="D26" i="30"/>
  <c r="E32" i="30"/>
  <c r="E26" i="30"/>
  <c r="F32" i="30"/>
  <c r="F26" i="30"/>
  <c r="G32" i="30"/>
  <c r="G26" i="30"/>
  <c r="E7" i="33" s="1"/>
  <c r="H32" i="30"/>
  <c r="H26" i="30"/>
  <c r="I32" i="30"/>
  <c r="I26" i="30"/>
  <c r="J32" i="30"/>
  <c r="J26" i="30"/>
  <c r="K32" i="30"/>
  <c r="K26" i="30"/>
  <c r="E11" i="33" s="1"/>
  <c r="L32" i="30"/>
  <c r="L26" i="30"/>
  <c r="M32" i="30"/>
  <c r="M26" i="30"/>
  <c r="E13" i="33" s="1"/>
  <c r="N32" i="30"/>
  <c r="N26" i="30"/>
  <c r="O32" i="30"/>
  <c r="O26" i="30"/>
  <c r="E15" i="33" s="1"/>
  <c r="P32" i="30"/>
  <c r="P26" i="30"/>
  <c r="Q32" i="30"/>
  <c r="Q26" i="30"/>
  <c r="E17" i="33" s="1"/>
  <c r="R32" i="30"/>
  <c r="R26" i="30"/>
  <c r="S32" i="30"/>
  <c r="S26" i="30"/>
  <c r="T32" i="30"/>
  <c r="T26" i="30"/>
  <c r="U32" i="30"/>
  <c r="U26" i="30"/>
  <c r="E21" i="33" s="1"/>
  <c r="V32" i="30"/>
  <c r="V26" i="30"/>
  <c r="W32" i="30"/>
  <c r="W26" i="30"/>
  <c r="E23" i="33" s="1"/>
  <c r="X32" i="30"/>
  <c r="X26" i="30"/>
  <c r="Y32" i="30"/>
  <c r="Y26" i="30"/>
  <c r="Z32" i="30"/>
  <c r="Z26" i="30"/>
  <c r="AA32" i="30"/>
  <c r="AA26" i="30"/>
  <c r="E27" i="33" s="1"/>
  <c r="AB32" i="30"/>
  <c r="AB26" i="30"/>
  <c r="AC32" i="30"/>
  <c r="AC26" i="30"/>
  <c r="E29" i="33" s="1"/>
  <c r="AD32" i="30"/>
  <c r="AD26" i="30"/>
  <c r="AE32" i="30"/>
  <c r="AE26" i="30"/>
  <c r="AF32" i="30"/>
  <c r="AF26" i="30"/>
  <c r="AG32" i="30"/>
  <c r="AG26" i="30"/>
  <c r="E33" i="33" s="1"/>
  <c r="AH32" i="30"/>
  <c r="AH26" i="30" s="1"/>
  <c r="AI32" i="30"/>
  <c r="AI26" i="30"/>
  <c r="AJ32" i="30"/>
  <c r="AJ26" i="30" s="1"/>
  <c r="E36" i="33" s="1"/>
  <c r="AK32" i="30"/>
  <c r="AK26" i="30"/>
  <c r="E30" i="30"/>
  <c r="F30" i="30"/>
  <c r="G30" i="30"/>
  <c r="H30" i="30"/>
  <c r="J30" i="30"/>
  <c r="K30" i="30"/>
  <c r="L30" i="30"/>
  <c r="M30" i="30"/>
  <c r="O30" i="30"/>
  <c r="P30" i="30"/>
  <c r="R30" i="30"/>
  <c r="T30" i="30"/>
  <c r="U30" i="30"/>
  <c r="V30" i="30"/>
  <c r="X30" i="30"/>
  <c r="Y30" i="30"/>
  <c r="Z30" i="30"/>
  <c r="AA30" i="30"/>
  <c r="C31" i="30"/>
  <c r="C28" i="30"/>
  <c r="D31" i="30"/>
  <c r="D28" i="30"/>
  <c r="E31" i="30"/>
  <c r="E28" i="30"/>
  <c r="F31" i="30"/>
  <c r="F28" i="30"/>
  <c r="G31" i="30"/>
  <c r="G28" i="30"/>
  <c r="H31" i="30"/>
  <c r="H28" i="30"/>
  <c r="I31" i="30"/>
  <c r="I28" i="30"/>
  <c r="J31" i="30"/>
  <c r="J28" i="30"/>
  <c r="K31" i="30"/>
  <c r="K28" i="30"/>
  <c r="L31" i="30"/>
  <c r="L28" i="30"/>
  <c r="M31" i="30"/>
  <c r="M28" i="30"/>
  <c r="N31" i="30"/>
  <c r="N28" i="30" s="1"/>
  <c r="O31" i="30"/>
  <c r="O28" i="30"/>
  <c r="P31" i="30"/>
  <c r="P28" i="30" s="1"/>
  <c r="Q31" i="30"/>
  <c r="Q28" i="30"/>
  <c r="R31" i="30"/>
  <c r="R28" i="30" s="1"/>
  <c r="S31" i="30"/>
  <c r="S28" i="30"/>
  <c r="E19" i="31" s="1"/>
  <c r="T31" i="30"/>
  <c r="T28" i="30" s="1"/>
  <c r="U31" i="30"/>
  <c r="U28" i="30"/>
  <c r="V31" i="30"/>
  <c r="V28" i="30" s="1"/>
  <c r="E22" i="31" s="1"/>
  <c r="W31" i="30"/>
  <c r="W28" i="30"/>
  <c r="X31" i="30"/>
  <c r="X28" i="30" s="1"/>
  <c r="Y31" i="30"/>
  <c r="Y28" i="30"/>
  <c r="E25" i="31" s="1"/>
  <c r="Z31" i="30"/>
  <c r="Z28" i="30" s="1"/>
  <c r="AA31" i="30"/>
  <c r="AA28" i="30"/>
  <c r="E27" i="31" s="1"/>
  <c r="AB31" i="30"/>
  <c r="AB28" i="30" s="1"/>
  <c r="AC31" i="30"/>
  <c r="AC28" i="30"/>
  <c r="AD31" i="30"/>
  <c r="AD28" i="30" s="1"/>
  <c r="AE31" i="30"/>
  <c r="AE28" i="30"/>
  <c r="AF31" i="30"/>
  <c r="AF28" i="30" s="1"/>
  <c r="AG31" i="30"/>
  <c r="AG28" i="30"/>
  <c r="AH31" i="30"/>
  <c r="AH28" i="30" s="1"/>
  <c r="AI31" i="30"/>
  <c r="AI28" i="30"/>
  <c r="E35" i="31" s="1"/>
  <c r="AJ31" i="30"/>
  <c r="AJ28" i="30" s="1"/>
  <c r="AK31" i="30"/>
  <c r="AK28" i="30"/>
  <c r="C33" i="30"/>
  <c r="D33" i="30"/>
  <c r="E33" i="30"/>
  <c r="F33" i="30"/>
  <c r="G33" i="30"/>
  <c r="H33" i="30"/>
  <c r="I33" i="30"/>
  <c r="J33"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B31" i="30"/>
  <c r="B28" i="30" s="1"/>
  <c r="B32" i="30"/>
  <c r="B26" i="30"/>
  <c r="B33" i="30"/>
  <c r="C61" i="30"/>
  <c r="D61" i="30"/>
  <c r="E61" i="30"/>
  <c r="F61" i="30"/>
  <c r="G61" i="30"/>
  <c r="H61" i="30"/>
  <c r="I61" i="30"/>
  <c r="J61" i="30"/>
  <c r="K61" i="30"/>
  <c r="L61" i="30"/>
  <c r="M61"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C56" i="30"/>
  <c r="C60" i="30"/>
  <c r="D56" i="30"/>
  <c r="D60" i="30"/>
  <c r="E56" i="30"/>
  <c r="E60" i="30"/>
  <c r="F56" i="30"/>
  <c r="F60" i="30"/>
  <c r="G56" i="30"/>
  <c r="G60" i="30"/>
  <c r="H56" i="30"/>
  <c r="H60" i="30"/>
  <c r="I56" i="30"/>
  <c r="I60" i="30"/>
  <c r="J56" i="30"/>
  <c r="J60" i="30"/>
  <c r="K56" i="30"/>
  <c r="K60" i="30"/>
  <c r="L56" i="30"/>
  <c r="L60" i="30"/>
  <c r="M56" i="30"/>
  <c r="M60" i="30"/>
  <c r="N56" i="30"/>
  <c r="N60" i="30"/>
  <c r="O56" i="30"/>
  <c r="O60" i="30"/>
  <c r="P56" i="30"/>
  <c r="P60" i="30"/>
  <c r="Q56" i="30"/>
  <c r="Q60" i="30"/>
  <c r="R56" i="30"/>
  <c r="R60" i="30"/>
  <c r="S56" i="30"/>
  <c r="S60" i="30"/>
  <c r="T56" i="30"/>
  <c r="T60" i="30"/>
  <c r="U56" i="30"/>
  <c r="U60" i="30"/>
  <c r="V56" i="30"/>
  <c r="V60" i="30"/>
  <c r="W56" i="30"/>
  <c r="W60" i="30"/>
  <c r="X56" i="30"/>
  <c r="X60" i="30"/>
  <c r="Y56" i="30"/>
  <c r="Y60" i="30"/>
  <c r="Z56" i="30"/>
  <c r="Z60" i="30"/>
  <c r="AA56" i="30"/>
  <c r="AA60" i="30"/>
  <c r="AB56" i="30"/>
  <c r="AB60" i="30"/>
  <c r="AC56" i="30"/>
  <c r="AC60" i="30"/>
  <c r="AD56" i="30"/>
  <c r="AD60" i="30"/>
  <c r="AE56" i="30"/>
  <c r="AE60" i="30"/>
  <c r="AF56" i="30"/>
  <c r="AF60" i="30"/>
  <c r="AG56" i="30"/>
  <c r="AG60" i="30"/>
  <c r="AH56" i="30"/>
  <c r="AH60" i="30"/>
  <c r="AI56" i="30"/>
  <c r="AI60" i="30"/>
  <c r="AJ56" i="30"/>
  <c r="AJ60" i="30"/>
  <c r="AK56" i="30"/>
  <c r="AK60" i="30"/>
  <c r="B56" i="30"/>
  <c r="B60" i="30"/>
  <c r="B61" i="30"/>
  <c r="B3" i="28"/>
  <c r="C3" i="28"/>
  <c r="D3" i="28"/>
  <c r="E3" i="28"/>
  <c r="B4" i="28"/>
  <c r="C4" i="28"/>
  <c r="D4" i="28"/>
  <c r="E4" i="28"/>
  <c r="B5" i="28"/>
  <c r="C5" i="28"/>
  <c r="D5" i="28"/>
  <c r="E5" i="28"/>
  <c r="B4" i="27"/>
  <c r="I4" i="27" s="1"/>
  <c r="I44" i="30" s="1"/>
  <c r="B3" i="27"/>
  <c r="C3" i="27"/>
  <c r="C47" i="30" s="1"/>
  <c r="F5" i="28"/>
  <c r="B10" i="28" s="1"/>
  <c r="B43" i="30" s="1"/>
  <c r="C10" i="28"/>
  <c r="F3" i="28"/>
  <c r="B9" i="28" s="1"/>
  <c r="F4" i="28"/>
  <c r="D3" i="27"/>
  <c r="D47" i="30"/>
  <c r="H3" i="27"/>
  <c r="H47" i="30"/>
  <c r="L3" i="27"/>
  <c r="L47" i="30"/>
  <c r="P3" i="27"/>
  <c r="P47" i="30"/>
  <c r="T3" i="27"/>
  <c r="T47" i="30"/>
  <c r="X3" i="27"/>
  <c r="X47" i="30"/>
  <c r="B47" i="30"/>
  <c r="B44" i="30"/>
  <c r="C21" i="30"/>
  <c r="D21" i="30"/>
  <c r="E21" i="30"/>
  <c r="F21" i="30"/>
  <c r="G21" i="30"/>
  <c r="H21" i="30"/>
  <c r="I21" i="30"/>
  <c r="J21" i="30"/>
  <c r="K21" i="30"/>
  <c r="L21" i="30"/>
  <c r="M21" i="30"/>
  <c r="N21" i="30"/>
  <c r="O21" i="30"/>
  <c r="P21" i="30"/>
  <c r="Q21" i="30"/>
  <c r="R21" i="30"/>
  <c r="S21" i="30"/>
  <c r="T21" i="30"/>
  <c r="U21" i="30"/>
  <c r="V21" i="30"/>
  <c r="W21" i="30"/>
  <c r="X21" i="30"/>
  <c r="Y21" i="30"/>
  <c r="Z21" i="30"/>
  <c r="AA21" i="30"/>
  <c r="AB21" i="30"/>
  <c r="AC21" i="30"/>
  <c r="AD21" i="30"/>
  <c r="AE21" i="30"/>
  <c r="AF21" i="30"/>
  <c r="AG21" i="30"/>
  <c r="AH21" i="30"/>
  <c r="AI21" i="30"/>
  <c r="AJ21" i="30"/>
  <c r="AK21" i="30"/>
  <c r="B21" i="30"/>
  <c r="B3" i="1"/>
  <c r="B4" i="1"/>
  <c r="B2" i="1"/>
  <c r="B9" i="1" s="1"/>
  <c r="B3" i="13"/>
  <c r="B2" i="13"/>
  <c r="O20" i="43"/>
  <c r="P20" i="43"/>
  <c r="Q20" i="43"/>
  <c r="R20" i="43"/>
  <c r="S20" i="43"/>
  <c r="T20" i="43"/>
  <c r="U20" i="43"/>
  <c r="V20" i="43"/>
  <c r="W20" i="43"/>
  <c r="X20" i="43"/>
  <c r="Y20" i="43"/>
  <c r="Z20" i="43"/>
  <c r="AA20" i="43"/>
  <c r="AB20" i="43"/>
  <c r="AC20" i="43"/>
  <c r="AD20" i="43"/>
  <c r="AE20" i="43"/>
  <c r="AF20" i="43"/>
  <c r="AG20" i="43"/>
  <c r="AH20" i="43"/>
  <c r="AI20" i="43"/>
  <c r="AJ20" i="43"/>
  <c r="AK20" i="43"/>
  <c r="AL20" i="43"/>
  <c r="AM20" i="43"/>
  <c r="AN20" i="43"/>
  <c r="AO20" i="43"/>
  <c r="AP20" i="43"/>
  <c r="AQ20" i="43"/>
  <c r="AR20" i="43"/>
  <c r="N20" i="43"/>
  <c r="B102" i="20"/>
  <c r="B103" i="20"/>
  <c r="C13" i="20"/>
  <c r="C17" i="20" s="1"/>
  <c r="C100" i="20" s="1"/>
  <c r="C53" i="30"/>
  <c r="C18" i="20"/>
  <c r="D13" i="20"/>
  <c r="D18" i="20" s="1"/>
  <c r="D17" i="20"/>
  <c r="D100" i="20" s="1"/>
  <c r="D53" i="30" s="1"/>
  <c r="E13" i="20"/>
  <c r="E17" i="20" s="1"/>
  <c r="E18" i="20"/>
  <c r="F13" i="20"/>
  <c r="G13" i="20"/>
  <c r="G18" i="20" s="1"/>
  <c r="H13" i="20"/>
  <c r="H18" i="20" s="1"/>
  <c r="H17" i="20"/>
  <c r="H100" i="20" s="1"/>
  <c r="H53" i="30" s="1"/>
  <c r="I13" i="20"/>
  <c r="I17" i="20" s="1"/>
  <c r="I100" i="20" s="1"/>
  <c r="I53" i="30" s="1"/>
  <c r="I18" i="20"/>
  <c r="J13" i="20"/>
  <c r="K13" i="20"/>
  <c r="K18" i="20" s="1"/>
  <c r="K100" i="20" s="1"/>
  <c r="K53" i="30" s="1"/>
  <c r="K17" i="20"/>
  <c r="L13" i="20"/>
  <c r="L18" i="20"/>
  <c r="L17" i="20"/>
  <c r="L100" i="20" s="1"/>
  <c r="L53" i="30" s="1"/>
  <c r="M13" i="20"/>
  <c r="M17" i="20" s="1"/>
  <c r="M18" i="20"/>
  <c r="N13" i="20"/>
  <c r="O13" i="20"/>
  <c r="O18" i="20" s="1"/>
  <c r="O17" i="20"/>
  <c r="O100" i="20"/>
  <c r="O53" i="30" s="1"/>
  <c r="P13" i="20"/>
  <c r="P18" i="20"/>
  <c r="P17" i="20"/>
  <c r="P100" i="20" s="1"/>
  <c r="P53" i="30" s="1"/>
  <c r="Q13" i="20"/>
  <c r="Q17" i="20" s="1"/>
  <c r="Q18" i="20"/>
  <c r="R13" i="20"/>
  <c r="S13" i="20"/>
  <c r="S18" i="20" s="1"/>
  <c r="S100" i="20" s="1"/>
  <c r="S53" i="30" s="1"/>
  <c r="S17" i="20"/>
  <c r="T13" i="20"/>
  <c r="T18" i="20"/>
  <c r="T17" i="20"/>
  <c r="T100" i="20" s="1"/>
  <c r="T53" i="30" s="1"/>
  <c r="U13" i="20"/>
  <c r="U17" i="20" s="1"/>
  <c r="U18" i="20"/>
  <c r="V13" i="20"/>
  <c r="W13" i="20"/>
  <c r="W18" i="20" s="1"/>
  <c r="W17" i="20"/>
  <c r="W100" i="20"/>
  <c r="W53" i="30" s="1"/>
  <c r="X13" i="20"/>
  <c r="X18" i="20"/>
  <c r="X17" i="20"/>
  <c r="X100" i="20" s="1"/>
  <c r="X53" i="30" s="1"/>
  <c r="Y13" i="20"/>
  <c r="Y17" i="20" s="1"/>
  <c r="Y100" i="20" s="1"/>
  <c r="Y53" i="30" s="1"/>
  <c r="Y18" i="20"/>
  <c r="Z13" i="20"/>
  <c r="AA13" i="20"/>
  <c r="AA18" i="20" s="1"/>
  <c r="AA100" i="20" s="1"/>
  <c r="AA53" i="30" s="1"/>
  <c r="AA17" i="20"/>
  <c r="AB13" i="20"/>
  <c r="AB18" i="20"/>
  <c r="AB17" i="20"/>
  <c r="AB100" i="20" s="1"/>
  <c r="AB53" i="30" s="1"/>
  <c r="AC13" i="20"/>
  <c r="AC17" i="20" s="1"/>
  <c r="AC18" i="20"/>
  <c r="AD13" i="20"/>
  <c r="AD18" i="20" s="1"/>
  <c r="AE13" i="20"/>
  <c r="AE18" i="20"/>
  <c r="AE17" i="20"/>
  <c r="AE100" i="20" s="1"/>
  <c r="AE53" i="30" s="1"/>
  <c r="AF13" i="20"/>
  <c r="AF18" i="20"/>
  <c r="AG13" i="20"/>
  <c r="AG18" i="20"/>
  <c r="AG17" i="20"/>
  <c r="AG100" i="20"/>
  <c r="AG53" i="30" s="1"/>
  <c r="AH13" i="20"/>
  <c r="AH18" i="20"/>
  <c r="AI13" i="20"/>
  <c r="AJ13" i="20"/>
  <c r="AJ18" i="20"/>
  <c r="AK13" i="20"/>
  <c r="AK17" i="20" s="1"/>
  <c r="AK100" i="20" s="1"/>
  <c r="AK53" i="30" s="1"/>
  <c r="AK18" i="20"/>
  <c r="B13" i="20"/>
  <c r="B18" i="20" s="1"/>
  <c r="C39" i="20"/>
  <c r="D39" i="20" s="1"/>
  <c r="D86" i="20"/>
  <c r="C28" i="20"/>
  <c r="D28" i="20" s="1"/>
  <c r="E28" i="20" s="1"/>
  <c r="F28" i="20" s="1"/>
  <c r="G28" i="20" s="1"/>
  <c r="H28" i="20" s="1"/>
  <c r="I28" i="20" s="1"/>
  <c r="C37" i="20"/>
  <c r="D37" i="20"/>
  <c r="C38" i="20"/>
  <c r="D38" i="20" s="1"/>
  <c r="E38" i="20" s="1"/>
  <c r="F38" i="20" s="1"/>
  <c r="C26" i="20"/>
  <c r="D26" i="20"/>
  <c r="E26" i="20" s="1"/>
  <c r="C27" i="20"/>
  <c r="D27" i="20" s="1"/>
  <c r="C36" i="20"/>
  <c r="D36" i="20" s="1"/>
  <c r="E36" i="20" s="1"/>
  <c r="F36" i="20" s="1"/>
  <c r="C24" i="20"/>
  <c r="D24" i="20" s="1"/>
  <c r="E24" i="20" s="1"/>
  <c r="F24" i="20" s="1"/>
  <c r="G24" i="20" s="1"/>
  <c r="H24" i="20" s="1"/>
  <c r="I24" i="20" s="1"/>
  <c r="C25" i="20"/>
  <c r="D25" i="20" s="1"/>
  <c r="E25" i="20" s="1"/>
  <c r="F25" i="20" s="1"/>
  <c r="G25" i="20" s="1"/>
  <c r="H25" i="20" s="1"/>
  <c r="I25" i="20" s="1"/>
  <c r="B62" i="20"/>
  <c r="C34" i="20"/>
  <c r="D34" i="20" s="1"/>
  <c r="E34" i="20" s="1"/>
  <c r="C23" i="20"/>
  <c r="C41" i="20"/>
  <c r="C30" i="20"/>
  <c r="D30" i="20" s="1"/>
  <c r="E30" i="20" s="1"/>
  <c r="C40" i="20"/>
  <c r="D40" i="20"/>
  <c r="C29" i="20"/>
  <c r="D29" i="20" s="1"/>
  <c r="E29" i="20" s="1"/>
  <c r="F29" i="20" s="1"/>
  <c r="G29" i="20" s="1"/>
  <c r="B95" i="20"/>
  <c r="B96" i="20" s="1"/>
  <c r="B101" i="20" s="1"/>
  <c r="B54" i="30" s="1"/>
  <c r="B39" i="20"/>
  <c r="B28" i="20"/>
  <c r="B86" i="20"/>
  <c r="B37" i="20"/>
  <c r="B38" i="20"/>
  <c r="B26" i="20"/>
  <c r="B27" i="20"/>
  <c r="B87" i="20" s="1"/>
  <c r="B36" i="20"/>
  <c r="B24" i="20"/>
  <c r="B25" i="20"/>
  <c r="B34" i="20"/>
  <c r="B23" i="20"/>
  <c r="B89" i="20"/>
  <c r="B41" i="20"/>
  <c r="B90" i="20" s="1"/>
  <c r="B30" i="20"/>
  <c r="B40" i="20"/>
  <c r="B29" i="20"/>
  <c r="E39" i="20"/>
  <c r="F39" i="20" s="1"/>
  <c r="G39" i="20" s="1"/>
  <c r="H39" i="20" s="1"/>
  <c r="E86" i="20"/>
  <c r="G38" i="20"/>
  <c r="H38" i="20" s="1"/>
  <c r="I38" i="20" s="1"/>
  <c r="E27" i="20"/>
  <c r="F27" i="20"/>
  <c r="F30" i="20"/>
  <c r="G30" i="20"/>
  <c r="H30" i="20" s="1"/>
  <c r="I30" i="20" s="1"/>
  <c r="F26" i="20"/>
  <c r="G26" i="20" s="1"/>
  <c r="H26" i="20" s="1"/>
  <c r="I26" i="20"/>
  <c r="H29" i="20"/>
  <c r="I29" i="20" s="1"/>
  <c r="G27" i="20"/>
  <c r="H27" i="20" s="1"/>
  <c r="I27" i="20" s="1"/>
  <c r="I39" i="20"/>
  <c r="C86" i="20"/>
  <c r="C87" i="20"/>
  <c r="C18" i="18"/>
  <c r="B18" i="18"/>
  <c r="B4" i="18"/>
  <c r="D18" i="18"/>
  <c r="E18" i="18"/>
  <c r="F18" i="18"/>
  <c r="G18" i="18"/>
  <c r="H18" i="18"/>
  <c r="I18" i="18"/>
  <c r="C14" i="18"/>
  <c r="B14" i="18"/>
  <c r="D14" i="18"/>
  <c r="E14" i="18"/>
  <c r="F14" i="18"/>
  <c r="G14" i="18"/>
  <c r="H14" i="18"/>
  <c r="I14" i="18"/>
  <c r="C16" i="18"/>
  <c r="B16" i="18"/>
  <c r="C8" i="18" s="1"/>
  <c r="D8" i="18" s="1"/>
  <c r="E8" i="18" s="1"/>
  <c r="F8" i="18" s="1"/>
  <c r="G8" i="18" s="1"/>
  <c r="B7" i="18"/>
  <c r="C7" i="18" s="1"/>
  <c r="C37" i="18" s="1"/>
  <c r="D16" i="18"/>
  <c r="E16" i="18"/>
  <c r="F16" i="18"/>
  <c r="G16" i="18"/>
  <c r="H16" i="18"/>
  <c r="I16" i="18"/>
  <c r="C15" i="18"/>
  <c r="B15" i="18"/>
  <c r="B6" i="18"/>
  <c r="D15" i="18"/>
  <c r="E15" i="18"/>
  <c r="F15" i="18"/>
  <c r="G15" i="18"/>
  <c r="H15" i="18"/>
  <c r="I15" i="18"/>
  <c r="B8" i="18"/>
  <c r="H8" i="18"/>
  <c r="I8" i="18"/>
  <c r="J8" i="18" s="1"/>
  <c r="K8" i="18" s="1"/>
  <c r="L8" i="18" s="1"/>
  <c r="M8" i="18" s="1"/>
  <c r="N8" i="18" s="1"/>
  <c r="O8" i="18" s="1"/>
  <c r="P8" i="18" s="1"/>
  <c r="Q8" i="18" s="1"/>
  <c r="R8" i="18" s="1"/>
  <c r="S8" i="18" s="1"/>
  <c r="T8" i="18" s="1"/>
  <c r="U8" i="18" s="1"/>
  <c r="V8" i="18" s="1"/>
  <c r="W8" i="18" s="1"/>
  <c r="X8" i="18" s="1"/>
  <c r="Y8" i="18" s="1"/>
  <c r="Z8" i="18" s="1"/>
  <c r="AA8" i="18" s="1"/>
  <c r="AB8" i="18" s="1"/>
  <c r="AC8" i="18" s="1"/>
  <c r="AD8" i="18" s="1"/>
  <c r="AE8" i="18" s="1"/>
  <c r="AF8" i="18" s="1"/>
  <c r="AG8" i="18" s="1"/>
  <c r="AH8" i="18" s="1"/>
  <c r="AI8" i="18" s="1"/>
  <c r="AJ8" i="18" s="1"/>
  <c r="AK8" i="18" s="1"/>
  <c r="B52" i="18"/>
  <c r="B55" i="30"/>
  <c r="B41" i="18"/>
  <c r="B58" i="30" s="1"/>
  <c r="B23" i="18"/>
  <c r="B24" i="18"/>
  <c r="B25" i="18"/>
  <c r="B29" i="18" s="1"/>
  <c r="B26" i="18"/>
  <c r="B27" i="18"/>
  <c r="B57" i="30"/>
  <c r="B4" i="23"/>
  <c r="B3" i="23"/>
  <c r="C3" i="23" s="1"/>
  <c r="C70" i="30" s="1"/>
  <c r="B70" i="30"/>
  <c r="B66" i="30"/>
  <c r="I2" i="31" s="1"/>
  <c r="D3" i="23"/>
  <c r="C7" i="13"/>
  <c r="C22" i="30" s="1"/>
  <c r="D7" i="13"/>
  <c r="D22" i="30"/>
  <c r="E7" i="13"/>
  <c r="E22" i="30" s="1"/>
  <c r="E19" i="30" s="1"/>
  <c r="D5" i="31" s="1"/>
  <c r="F7" i="13"/>
  <c r="F22" i="30" s="1"/>
  <c r="G7" i="13"/>
  <c r="G22" i="30"/>
  <c r="G19" i="30" s="1"/>
  <c r="H7" i="13"/>
  <c r="H22" i="30" s="1"/>
  <c r="H19" i="30" s="1"/>
  <c r="I7" i="13"/>
  <c r="I22" i="30" s="1"/>
  <c r="J7" i="13"/>
  <c r="J22" i="30" s="1"/>
  <c r="J19" i="30" s="1"/>
  <c r="K7" i="13"/>
  <c r="K22" i="30" s="1"/>
  <c r="K19" i="30" s="1"/>
  <c r="D11" i="31" s="1"/>
  <c r="L7" i="13"/>
  <c r="L22" i="30" s="1"/>
  <c r="M7" i="13"/>
  <c r="M22" i="30" s="1"/>
  <c r="M19" i="30" s="1"/>
  <c r="D13" i="31" s="1"/>
  <c r="N7" i="13"/>
  <c r="N22" i="30" s="1"/>
  <c r="O7" i="13"/>
  <c r="O22" i="30"/>
  <c r="O19" i="30" s="1"/>
  <c r="P7" i="13"/>
  <c r="P22" i="30" s="1"/>
  <c r="P19" i="30" s="1"/>
  <c r="Q7" i="13"/>
  <c r="Q22" i="30" s="1"/>
  <c r="R7" i="13"/>
  <c r="S7" i="13"/>
  <c r="S22" i="30"/>
  <c r="T7" i="13"/>
  <c r="T22" i="30" s="1"/>
  <c r="U7" i="13"/>
  <c r="U22" i="30"/>
  <c r="U19" i="30" s="1"/>
  <c r="D21" i="31" s="1"/>
  <c r="V7" i="13"/>
  <c r="V22" i="30" s="1"/>
  <c r="W7" i="13"/>
  <c r="W22" i="30"/>
  <c r="W19" i="30" s="1"/>
  <c r="X7" i="13"/>
  <c r="X22" i="30" s="1"/>
  <c r="X19" i="30" s="1"/>
  <c r="Y7" i="13"/>
  <c r="Y22" i="30"/>
  <c r="Z7" i="13"/>
  <c r="Z22" i="30" s="1"/>
  <c r="Z19" i="30" s="1"/>
  <c r="AA7" i="13"/>
  <c r="AA22" i="30"/>
  <c r="AB7" i="13"/>
  <c r="AB22" i="30" s="1"/>
  <c r="B7" i="13"/>
  <c r="C1" i="16"/>
  <c r="C2" i="16" s="1"/>
  <c r="C29" i="30" s="1"/>
  <c r="C27" i="30" s="1"/>
  <c r="E3" i="34" s="1"/>
  <c r="D1" i="16"/>
  <c r="E1" i="16"/>
  <c r="E2" i="16"/>
  <c r="E29" i="30"/>
  <c r="E27" i="30" s="1"/>
  <c r="F1" i="16"/>
  <c r="F2" i="16"/>
  <c r="F29" i="30"/>
  <c r="F27" i="30" s="1"/>
  <c r="E6" i="34" s="1"/>
  <c r="G1" i="16"/>
  <c r="H1" i="16"/>
  <c r="I1" i="16"/>
  <c r="I2" i="16" s="1"/>
  <c r="I29" i="30" s="1"/>
  <c r="I27" i="30" s="1"/>
  <c r="J1" i="16"/>
  <c r="J2" i="16"/>
  <c r="J29" i="30" s="1"/>
  <c r="J27" i="30" s="1"/>
  <c r="E10" i="34" s="1"/>
  <c r="K1" i="16"/>
  <c r="K2" i="16" s="1"/>
  <c r="L1" i="16"/>
  <c r="M1" i="16"/>
  <c r="M2" i="16"/>
  <c r="M29" i="30"/>
  <c r="M27" i="30" s="1"/>
  <c r="N1" i="16"/>
  <c r="N2" i="16"/>
  <c r="N29" i="30"/>
  <c r="N27" i="30" s="1"/>
  <c r="E14" i="34" s="1"/>
  <c r="O1" i="16"/>
  <c r="P1" i="16"/>
  <c r="Q1" i="16"/>
  <c r="Q2" i="16" s="1"/>
  <c r="Q29" i="30" s="1"/>
  <c r="Q27" i="30" s="1"/>
  <c r="R1" i="16"/>
  <c r="R2" i="16"/>
  <c r="R29" i="30" s="1"/>
  <c r="R27" i="30" s="1"/>
  <c r="E18" i="34" s="1"/>
  <c r="S1" i="16"/>
  <c r="T1" i="16"/>
  <c r="U1" i="16"/>
  <c r="U2" i="16"/>
  <c r="U29" i="30"/>
  <c r="U27" i="30" s="1"/>
  <c r="V1" i="16"/>
  <c r="V2" i="16"/>
  <c r="V29" i="30"/>
  <c r="V27" i="30" s="1"/>
  <c r="E22" i="34" s="1"/>
  <c r="W1" i="16"/>
  <c r="X1" i="16"/>
  <c r="Y1" i="16"/>
  <c r="Y2" i="16" s="1"/>
  <c r="Y29" i="30" s="1"/>
  <c r="Y27" i="30" s="1"/>
  <c r="Z1" i="16"/>
  <c r="Z2" i="16"/>
  <c r="Z29" i="30" s="1"/>
  <c r="Z27" i="30" s="1"/>
  <c r="E26" i="34" s="1"/>
  <c r="AA1" i="16"/>
  <c r="AA2" i="16" s="1"/>
  <c r="AB1" i="16"/>
  <c r="AC1" i="16"/>
  <c r="AC2" i="16"/>
  <c r="AC29" i="30"/>
  <c r="AD1" i="16"/>
  <c r="AD2" i="16"/>
  <c r="AD29" i="30"/>
  <c r="AE1" i="16"/>
  <c r="AF1" i="16"/>
  <c r="AG1" i="16"/>
  <c r="AG2" i="16" s="1"/>
  <c r="AG29" i="30" s="1"/>
  <c r="AH1" i="16"/>
  <c r="AH2" i="16"/>
  <c r="AH29" i="30" s="1"/>
  <c r="AI1" i="16"/>
  <c r="AJ1" i="16"/>
  <c r="AK1" i="16"/>
  <c r="AK2" i="16"/>
  <c r="AK29" i="30"/>
  <c r="B1" i="16"/>
  <c r="C17" i="18"/>
  <c r="B17" i="18"/>
  <c r="C10" i="18" s="1"/>
  <c r="D10" i="18" s="1"/>
  <c r="E10" i="18" s="1"/>
  <c r="F10" i="18" s="1"/>
  <c r="G10" i="18" s="1"/>
  <c r="H10" i="18" s="1"/>
  <c r="I10" i="18" s="1"/>
  <c r="J10" i="18" s="1"/>
  <c r="K10" i="18" s="1"/>
  <c r="L10" i="18" s="1"/>
  <c r="M10" i="18" s="1"/>
  <c r="N10" i="18" s="1"/>
  <c r="O10" i="18" s="1"/>
  <c r="P10" i="18" s="1"/>
  <c r="Q10" i="18" s="1"/>
  <c r="R10" i="18" s="1"/>
  <c r="S10" i="18" s="1"/>
  <c r="T10" i="18" s="1"/>
  <c r="U10" i="18" s="1"/>
  <c r="V10" i="18" s="1"/>
  <c r="W10" i="18" s="1"/>
  <c r="X10" i="18" s="1"/>
  <c r="Y10" i="18" s="1"/>
  <c r="Z10" i="18" s="1"/>
  <c r="AA10" i="18" s="1"/>
  <c r="AB10" i="18" s="1"/>
  <c r="AC10" i="18" s="1"/>
  <c r="AD10" i="18" s="1"/>
  <c r="AE10" i="18" s="1"/>
  <c r="AF10" i="18" s="1"/>
  <c r="AG10" i="18" s="1"/>
  <c r="AH10" i="18" s="1"/>
  <c r="AI10" i="18" s="1"/>
  <c r="AJ10" i="18" s="1"/>
  <c r="AK10" i="18" s="1"/>
  <c r="B9" i="18"/>
  <c r="D17" i="18"/>
  <c r="E17" i="18"/>
  <c r="F17" i="18"/>
  <c r="G17" i="18"/>
  <c r="H17" i="18"/>
  <c r="I17" i="18"/>
  <c r="B10" i="18"/>
  <c r="C35" i="20"/>
  <c r="D35" i="20"/>
  <c r="E35" i="20" s="1"/>
  <c r="F35" i="20" s="1"/>
  <c r="G35" i="20" s="1"/>
  <c r="H35" i="20" s="1"/>
  <c r="I35" i="20" s="1"/>
  <c r="B35" i="20"/>
  <c r="B7" i="25"/>
  <c r="C7" i="25" s="1"/>
  <c r="AA8" i="13"/>
  <c r="AA23" i="30"/>
  <c r="R8" i="13"/>
  <c r="AB8" i="13" s="1"/>
  <c r="AB23" i="30" s="1"/>
  <c r="C8" i="13"/>
  <c r="C23" i="30"/>
  <c r="D8" i="13"/>
  <c r="D23" i="30" s="1"/>
  <c r="D20" i="30" s="1"/>
  <c r="E8" i="13"/>
  <c r="E23" i="30"/>
  <c r="E20" i="30" s="1"/>
  <c r="D5" i="32" s="1"/>
  <c r="F8" i="13"/>
  <c r="F23" i="30" s="1"/>
  <c r="F20" i="30" s="1"/>
  <c r="G8" i="13"/>
  <c r="G23" i="30"/>
  <c r="H8" i="13"/>
  <c r="H23" i="30" s="1"/>
  <c r="H20" i="30" s="1"/>
  <c r="D8" i="32" s="1"/>
  <c r="I8" i="13"/>
  <c r="I23" i="30"/>
  <c r="J8" i="13"/>
  <c r="J23" i="30" s="1"/>
  <c r="J20" i="30" s="1"/>
  <c r="K8" i="13"/>
  <c r="K23" i="30"/>
  <c r="K20" i="30" s="1"/>
  <c r="L8" i="13"/>
  <c r="L23" i="30" s="1"/>
  <c r="L20" i="30" s="1"/>
  <c r="M8" i="13"/>
  <c r="M23" i="30"/>
  <c r="M20" i="30" s="1"/>
  <c r="D13" i="32" s="1"/>
  <c r="N8" i="13"/>
  <c r="N23" i="30" s="1"/>
  <c r="N20" i="30" s="1"/>
  <c r="D14" i="32" s="1"/>
  <c r="O8" i="13"/>
  <c r="O23" i="30"/>
  <c r="P8" i="13"/>
  <c r="P23" i="30" s="1"/>
  <c r="P20" i="30" s="1"/>
  <c r="D16" i="32" s="1"/>
  <c r="Q8" i="13"/>
  <c r="Q23" i="30"/>
  <c r="S8" i="13"/>
  <c r="S23" i="30" s="1"/>
  <c r="S20" i="30" s="1"/>
  <c r="T8" i="13"/>
  <c r="T23" i="30"/>
  <c r="U8" i="13"/>
  <c r="U23" i="30" s="1"/>
  <c r="U20" i="30" s="1"/>
  <c r="V8" i="13"/>
  <c r="V23" i="30"/>
  <c r="V20" i="30" s="1"/>
  <c r="D22" i="32" s="1"/>
  <c r="W8" i="13"/>
  <c r="W23" i="30" s="1"/>
  <c r="W20" i="30" s="1"/>
  <c r="X8" i="13"/>
  <c r="X23" i="30"/>
  <c r="Y8" i="13"/>
  <c r="Y23" i="30" s="1"/>
  <c r="Y20" i="30" s="1"/>
  <c r="D25" i="32" s="1"/>
  <c r="Z8" i="13"/>
  <c r="Z23" i="30"/>
  <c r="B8" i="13"/>
  <c r="B48" i="11"/>
  <c r="B46" i="11"/>
  <c r="D28" i="11"/>
  <c r="C30" i="11"/>
  <c r="G30" i="11" s="1"/>
  <c r="D30" i="11"/>
  <c r="E30" i="11"/>
  <c r="F30" i="11"/>
  <c r="F31" i="11"/>
  <c r="B31" i="11"/>
  <c r="B30" i="11"/>
  <c r="AA33" i="8"/>
  <c r="R33" i="8"/>
  <c r="AB33" i="8"/>
  <c r="AB13" i="30" s="1"/>
  <c r="C33" i="8"/>
  <c r="D33" i="8"/>
  <c r="D13" i="30"/>
  <c r="E33" i="8"/>
  <c r="E13" i="30" s="1"/>
  <c r="F33" i="8"/>
  <c r="F13" i="30"/>
  <c r="G33" i="8"/>
  <c r="G13" i="30" s="1"/>
  <c r="H33" i="8"/>
  <c r="H13" i="30" s="1"/>
  <c r="I33" i="8"/>
  <c r="J33" i="8"/>
  <c r="J13" i="30" s="1"/>
  <c r="K33" i="8"/>
  <c r="L33" i="8"/>
  <c r="L13" i="30"/>
  <c r="M33" i="8"/>
  <c r="M13" i="30" s="1"/>
  <c r="N33" i="8"/>
  <c r="N13" i="30"/>
  <c r="O33" i="8"/>
  <c r="O13" i="30" s="1"/>
  <c r="P33" i="8"/>
  <c r="P13" i="30" s="1"/>
  <c r="Q33" i="8"/>
  <c r="S33" i="8"/>
  <c r="S13" i="30" s="1"/>
  <c r="T33" i="8"/>
  <c r="U33" i="8"/>
  <c r="V33" i="8"/>
  <c r="V13" i="30" s="1"/>
  <c r="W33" i="8"/>
  <c r="W13" i="30" s="1"/>
  <c r="X33" i="8"/>
  <c r="Y33" i="8"/>
  <c r="Y13" i="30" s="1"/>
  <c r="Z33" i="8"/>
  <c r="Z13" i="30" s="1"/>
  <c r="B33" i="8"/>
  <c r="C17" i="8"/>
  <c r="D17" i="8"/>
  <c r="E17" i="8"/>
  <c r="B27" i="8" s="1"/>
  <c r="B28" i="8" s="1"/>
  <c r="F17" i="8"/>
  <c r="B17" i="8"/>
  <c r="A4" i="8"/>
  <c r="A6" i="8" s="1"/>
  <c r="A8" i="8"/>
  <c r="A9" i="8" s="1"/>
  <c r="A11" i="8" s="1"/>
  <c r="AA40" i="11"/>
  <c r="R40" i="11"/>
  <c r="AB40" i="11" s="1"/>
  <c r="AA39" i="11"/>
  <c r="R39" i="11"/>
  <c r="C39" i="11"/>
  <c r="D39" i="11"/>
  <c r="E39" i="11"/>
  <c r="F39" i="11"/>
  <c r="G39" i="11"/>
  <c r="H39" i="11"/>
  <c r="I39" i="11"/>
  <c r="J39" i="11"/>
  <c r="K39" i="11"/>
  <c r="L39" i="11"/>
  <c r="M39" i="11"/>
  <c r="N39" i="11"/>
  <c r="O39" i="11"/>
  <c r="P39" i="11"/>
  <c r="Q39" i="11"/>
  <c r="S39" i="11"/>
  <c r="T39" i="11"/>
  <c r="U39" i="11"/>
  <c r="V39" i="11"/>
  <c r="W39" i="11"/>
  <c r="X39" i="11"/>
  <c r="Y39" i="11"/>
  <c r="Z39" i="11"/>
  <c r="C40" i="11"/>
  <c r="D40" i="11"/>
  <c r="E40" i="11"/>
  <c r="F40" i="11"/>
  <c r="G40" i="11"/>
  <c r="H40" i="11"/>
  <c r="I40" i="11"/>
  <c r="J40" i="11"/>
  <c r="K40" i="11"/>
  <c r="L40" i="11"/>
  <c r="M40" i="11"/>
  <c r="N40" i="11"/>
  <c r="O40" i="11"/>
  <c r="P40" i="11"/>
  <c r="Q40" i="11"/>
  <c r="S40" i="11"/>
  <c r="T40" i="11"/>
  <c r="U40" i="11"/>
  <c r="V40" i="11"/>
  <c r="W40" i="11"/>
  <c r="X40" i="11"/>
  <c r="Y40" i="11"/>
  <c r="Z40" i="11"/>
  <c r="B40" i="11"/>
  <c r="B39" i="11"/>
  <c r="C24" i="11"/>
  <c r="D24" i="11"/>
  <c r="E24" i="11"/>
  <c r="E32" i="11"/>
  <c r="F24" i="11"/>
  <c r="B24" i="11"/>
  <c r="B32" i="11"/>
  <c r="B20" i="11"/>
  <c r="B28" i="11" s="1"/>
  <c r="B29" i="11"/>
  <c r="C20" i="11"/>
  <c r="D20" i="11"/>
  <c r="D29" i="11" s="1"/>
  <c r="E20" i="11"/>
  <c r="E29" i="11" s="1"/>
  <c r="F20" i="11"/>
  <c r="F29" i="11" s="1"/>
  <c r="D26" i="6"/>
  <c r="E26" i="6"/>
  <c r="H26" i="6"/>
  <c r="T26" i="6"/>
  <c r="U26" i="6"/>
  <c r="C21" i="6"/>
  <c r="C26" i="6" s="1"/>
  <c r="D21" i="6"/>
  <c r="E21" i="6"/>
  <c r="F21" i="6"/>
  <c r="G21" i="6"/>
  <c r="G26" i="6" s="1"/>
  <c r="H21" i="6"/>
  <c r="I21" i="6"/>
  <c r="J21" i="6"/>
  <c r="K21" i="6"/>
  <c r="K26" i="6"/>
  <c r="L21" i="6"/>
  <c r="L26" i="6" s="1"/>
  <c r="M21" i="6"/>
  <c r="N21" i="6"/>
  <c r="O21" i="6"/>
  <c r="O26" i="6"/>
  <c r="P21" i="6"/>
  <c r="P26" i="6" s="1"/>
  <c r="Q21" i="6"/>
  <c r="R21" i="6"/>
  <c r="S21" i="6"/>
  <c r="S26" i="6" s="1"/>
  <c r="T21" i="6"/>
  <c r="U21" i="6"/>
  <c r="V21" i="6"/>
  <c r="W21" i="6"/>
  <c r="W26" i="6" s="1"/>
  <c r="X21" i="6"/>
  <c r="X26" i="6" s="1"/>
  <c r="Y21" i="6"/>
  <c r="Z21" i="6"/>
  <c r="AA21" i="6"/>
  <c r="AA26" i="6"/>
  <c r="B21" i="6"/>
  <c r="B26" i="6" s="1"/>
  <c r="C13" i="6"/>
  <c r="D13" i="6"/>
  <c r="E13" i="6"/>
  <c r="F13" i="6"/>
  <c r="B13" i="6"/>
  <c r="B45" i="11"/>
  <c r="C45" i="11" s="1"/>
  <c r="D45" i="11" s="1"/>
  <c r="E45" i="11" s="1"/>
  <c r="F45" i="11"/>
  <c r="G45" i="11" s="1"/>
  <c r="H45" i="11" s="1"/>
  <c r="I45" i="11" s="1"/>
  <c r="J45" i="11" s="1"/>
  <c r="K45" i="11" s="1"/>
  <c r="L45" i="11" s="1"/>
  <c r="M45" i="11" s="1"/>
  <c r="N45" i="11" s="1"/>
  <c r="O45" i="11" s="1"/>
  <c r="P45" i="11" s="1"/>
  <c r="Q45" i="11" s="1"/>
  <c r="R45" i="11" s="1"/>
  <c r="S45" i="11" s="1"/>
  <c r="T45" i="11" s="1"/>
  <c r="U45" i="11" s="1"/>
  <c r="V45" i="11" s="1"/>
  <c r="W45" i="11" s="1"/>
  <c r="X45" i="11" s="1"/>
  <c r="Y45" i="11" s="1"/>
  <c r="Z45" i="11" s="1"/>
  <c r="AA45" i="11" s="1"/>
  <c r="AB45" i="11" s="1"/>
  <c r="AC45" i="11" s="1"/>
  <c r="AD45" i="11"/>
  <c r="AE45" i="11" s="1"/>
  <c r="AF45" i="11" s="1"/>
  <c r="AG45" i="11" s="1"/>
  <c r="AH45" i="11" s="1"/>
  <c r="AI45" i="11" s="1"/>
  <c r="AJ45" i="11" s="1"/>
  <c r="AK45" i="11" s="1"/>
  <c r="C13" i="30"/>
  <c r="I13" i="30"/>
  <c r="K13" i="30"/>
  <c r="Q13" i="30"/>
  <c r="R13" i="30"/>
  <c r="T13" i="30"/>
  <c r="U13" i="30"/>
  <c r="X13" i="30"/>
  <c r="AA13" i="30"/>
  <c r="D2" i="16"/>
  <c r="D29" i="30" s="1"/>
  <c r="G2" i="16"/>
  <c r="G29" i="30"/>
  <c r="G27" i="30"/>
  <c r="E7" i="34" s="1"/>
  <c r="H2" i="16"/>
  <c r="H29" i="30" s="1"/>
  <c r="H27" i="30" s="1"/>
  <c r="E8" i="34" s="1"/>
  <c r="K29" i="30"/>
  <c r="K27" i="30" s="1"/>
  <c r="E11" i="34" s="1"/>
  <c r="L2" i="16"/>
  <c r="L29" i="30" s="1"/>
  <c r="L27" i="30" s="1"/>
  <c r="E12" i="34" s="1"/>
  <c r="O2" i="16"/>
  <c r="O29" i="30"/>
  <c r="O27" i="30" s="1"/>
  <c r="P2" i="16"/>
  <c r="P29" i="30" s="1"/>
  <c r="P27" i="30"/>
  <c r="E16" i="34" s="1"/>
  <c r="S2" i="16"/>
  <c r="S29" i="30" s="1"/>
  <c r="S27" i="30" s="1"/>
  <c r="E19" i="34" s="1"/>
  <c r="T2" i="16"/>
  <c r="T29" i="30"/>
  <c r="T27" i="30" s="1"/>
  <c r="E20" i="34" s="1"/>
  <c r="W2" i="16"/>
  <c r="W29" i="30"/>
  <c r="W27" i="30"/>
  <c r="X2" i="16"/>
  <c r="X29" i="30" s="1"/>
  <c r="X27" i="30" s="1"/>
  <c r="E24" i="34" s="1"/>
  <c r="AA29" i="30"/>
  <c r="AA27" i="30" s="1"/>
  <c r="E27" i="34" s="1"/>
  <c r="AB2" i="16"/>
  <c r="AB29" i="30" s="1"/>
  <c r="AE2" i="16"/>
  <c r="AE29" i="30"/>
  <c r="AF2" i="16"/>
  <c r="AF29" i="30" s="1"/>
  <c r="AI2" i="16"/>
  <c r="AI29" i="30" s="1"/>
  <c r="AJ2" i="16"/>
  <c r="AJ29" i="30"/>
  <c r="G17" i="6"/>
  <c r="C4" i="24"/>
  <c r="D4" i="24" s="1"/>
  <c r="C71" i="30"/>
  <c r="D71" i="30"/>
  <c r="E4" i="24"/>
  <c r="C3" i="24"/>
  <c r="C72" i="30" s="1"/>
  <c r="C66" i="30" s="1"/>
  <c r="I3" i="31" s="1"/>
  <c r="D3" i="24"/>
  <c r="E3" i="24" s="1"/>
  <c r="D72" i="30"/>
  <c r="C20" i="30"/>
  <c r="D3" i="32" s="1"/>
  <c r="D4" i="32"/>
  <c r="D6" i="32"/>
  <c r="G20" i="30"/>
  <c r="D7" i="32" s="1"/>
  <c r="I20" i="30"/>
  <c r="D9" i="32" s="1"/>
  <c r="D10" i="32"/>
  <c r="D11" i="32"/>
  <c r="D12" i="32"/>
  <c r="O20" i="30"/>
  <c r="D15" i="32" s="1"/>
  <c r="Q20" i="30"/>
  <c r="D17" i="32" s="1"/>
  <c r="D19" i="32"/>
  <c r="T20" i="30"/>
  <c r="D20" i="32" s="1"/>
  <c r="D21" i="32"/>
  <c r="D23" i="32"/>
  <c r="X20" i="30"/>
  <c r="D24" i="32" s="1"/>
  <c r="Z20" i="30"/>
  <c r="D26" i="32" s="1"/>
  <c r="AA20" i="30"/>
  <c r="D27" i="32"/>
  <c r="AB20" i="30"/>
  <c r="D28" i="32" s="1"/>
  <c r="B13" i="30"/>
  <c r="E37" i="31"/>
  <c r="E33" i="31"/>
  <c r="E29" i="31"/>
  <c r="E21" i="31"/>
  <c r="E17" i="31"/>
  <c r="E13" i="31"/>
  <c r="E9" i="31"/>
  <c r="E5" i="31"/>
  <c r="E34" i="33"/>
  <c r="E30" i="33"/>
  <c r="E26" i="33"/>
  <c r="E22" i="33"/>
  <c r="E18" i="33"/>
  <c r="E14" i="33"/>
  <c r="E10" i="33"/>
  <c r="E6" i="33"/>
  <c r="E36" i="31"/>
  <c r="E32" i="31"/>
  <c r="E28" i="31"/>
  <c r="E24" i="31"/>
  <c r="E20" i="31"/>
  <c r="E16" i="31"/>
  <c r="E12" i="31"/>
  <c r="E8" i="31"/>
  <c r="E4" i="31"/>
  <c r="E37" i="33"/>
  <c r="E25" i="33"/>
  <c r="E9" i="33"/>
  <c r="E5" i="33"/>
  <c r="E31" i="31"/>
  <c r="E23" i="31"/>
  <c r="E15" i="31"/>
  <c r="E11" i="31"/>
  <c r="E7" i="31"/>
  <c r="E3" i="31"/>
  <c r="E32" i="33"/>
  <c r="E28" i="33"/>
  <c r="E24" i="33"/>
  <c r="E20" i="33"/>
  <c r="E16" i="33"/>
  <c r="E12" i="33"/>
  <c r="E8" i="33"/>
  <c r="E4" i="33"/>
  <c r="E34" i="31"/>
  <c r="E30" i="31"/>
  <c r="E26" i="31"/>
  <c r="E18" i="31"/>
  <c r="E14" i="31"/>
  <c r="E10" i="31"/>
  <c r="E6" i="31"/>
  <c r="E35" i="33"/>
  <c r="E31" i="33"/>
  <c r="E19" i="33"/>
  <c r="E3" i="33"/>
  <c r="N19" i="30"/>
  <c r="D14" i="31" s="1"/>
  <c r="D10" i="31"/>
  <c r="AA19" i="30"/>
  <c r="D27" i="31" s="1"/>
  <c r="D23" i="31"/>
  <c r="S19" i="30"/>
  <c r="D19" i="31" s="1"/>
  <c r="D15" i="31"/>
  <c r="D7" i="31"/>
  <c r="C19" i="30"/>
  <c r="D3" i="31" s="1"/>
  <c r="D26" i="31"/>
  <c r="V19" i="30"/>
  <c r="D22" i="31" s="1"/>
  <c r="F19" i="30"/>
  <c r="D6" i="31"/>
  <c r="Y19" i="30"/>
  <c r="D25" i="31" s="1"/>
  <c r="Q19" i="30"/>
  <c r="D17" i="31" s="1"/>
  <c r="I19" i="30"/>
  <c r="D9" i="31" s="1"/>
  <c r="AB19" i="30"/>
  <c r="D28" i="31" s="1"/>
  <c r="D24" i="31"/>
  <c r="T19" i="30"/>
  <c r="D20" i="31" s="1"/>
  <c r="D16" i="31"/>
  <c r="L19" i="30"/>
  <c r="D12" i="31" s="1"/>
  <c r="D8" i="31"/>
  <c r="D19" i="30"/>
  <c r="D4" i="31" s="1"/>
  <c r="E2" i="31"/>
  <c r="B22" i="30"/>
  <c r="B19" i="30" s="1"/>
  <c r="D2" i="31" s="1"/>
  <c r="B2" i="16"/>
  <c r="B29" i="30" s="1"/>
  <c r="B27" i="30" s="1"/>
  <c r="E2" i="34" s="1"/>
  <c r="E2" i="33"/>
  <c r="I2" i="33"/>
  <c r="I3" i="33"/>
  <c r="I4" i="33"/>
  <c r="B23" i="30"/>
  <c r="B20" i="30"/>
  <c r="D2" i="32" s="1"/>
  <c r="B47" i="11"/>
  <c r="B52" i="11"/>
  <c r="B44" i="11"/>
  <c r="B51" i="11" s="1"/>
  <c r="B11" i="30" s="1"/>
  <c r="B9" i="30"/>
  <c r="C2" i="32" s="1"/>
  <c r="I5" i="33"/>
  <c r="B12" i="30"/>
  <c r="I6" i="33"/>
  <c r="I7" i="33"/>
  <c r="I8" i="33"/>
  <c r="I9" i="33"/>
  <c r="E5" i="34"/>
  <c r="I10" i="33"/>
  <c r="I11" i="33"/>
  <c r="I12" i="33"/>
  <c r="E9" i="34"/>
  <c r="I14" i="33"/>
  <c r="I15" i="33"/>
  <c r="I16" i="33"/>
  <c r="I17" i="33"/>
  <c r="E13" i="34"/>
  <c r="I18" i="33"/>
  <c r="I19" i="33"/>
  <c r="E15" i="34"/>
  <c r="I20" i="33"/>
  <c r="E17" i="34"/>
  <c r="I22" i="33"/>
  <c r="I23" i="33"/>
  <c r="I24" i="33"/>
  <c r="I25" i="33"/>
  <c r="E21" i="34"/>
  <c r="I26" i="33"/>
  <c r="I27" i="33"/>
  <c r="E23" i="34"/>
  <c r="I28" i="33"/>
  <c r="E25" i="34"/>
  <c r="I30" i="33"/>
  <c r="I31" i="33"/>
  <c r="I32" i="33"/>
  <c r="I33" i="33"/>
  <c r="I34" i="33"/>
  <c r="I35" i="33"/>
  <c r="I36" i="33"/>
  <c r="AA34" i="8"/>
  <c r="D34" i="8"/>
  <c r="D16" i="30" s="1"/>
  <c r="H34" i="8"/>
  <c r="H16" i="30" s="1"/>
  <c r="L34" i="8"/>
  <c r="L16" i="30" s="1"/>
  <c r="P34" i="8"/>
  <c r="P16" i="30" s="1"/>
  <c r="U34" i="8"/>
  <c r="U16" i="30" s="1"/>
  <c r="Y34" i="8"/>
  <c r="Y16" i="30" s="1"/>
  <c r="E34" i="8"/>
  <c r="E16" i="30" s="1"/>
  <c r="J34" i="8"/>
  <c r="J16" i="30" s="1"/>
  <c r="O34" i="8"/>
  <c r="O16" i="30" s="1"/>
  <c r="V34" i="8"/>
  <c r="V16" i="30" s="1"/>
  <c r="B34" i="8"/>
  <c r="B16" i="30" s="1"/>
  <c r="B10" i="30" s="1"/>
  <c r="C2" i="31" s="1"/>
  <c r="F34" i="8"/>
  <c r="F16" i="30" s="1"/>
  <c r="K34" i="8"/>
  <c r="K16" i="30" s="1"/>
  <c r="Q34" i="8"/>
  <c r="Q16" i="30" s="1"/>
  <c r="W34" i="8"/>
  <c r="W16" i="30" s="1"/>
  <c r="G34" i="8"/>
  <c r="G16" i="30" s="1"/>
  <c r="M34" i="8"/>
  <c r="M16" i="30" s="1"/>
  <c r="S34" i="8"/>
  <c r="S16" i="30" s="1"/>
  <c r="X34" i="8"/>
  <c r="X16" i="30" s="1"/>
  <c r="T34" i="8"/>
  <c r="T16" i="30" s="1"/>
  <c r="C34" i="8"/>
  <c r="C16" i="30" s="1"/>
  <c r="Z34" i="8"/>
  <c r="Z16" i="30" s="1"/>
  <c r="I34" i="8"/>
  <c r="I16" i="30" s="1"/>
  <c r="R34" i="8"/>
  <c r="R16" i="30" s="1"/>
  <c r="N34" i="8"/>
  <c r="N16" i="30" s="1"/>
  <c r="D23" i="20"/>
  <c r="D89" i="20" s="1"/>
  <c r="C89" i="20"/>
  <c r="E71" i="30"/>
  <c r="F4" i="24"/>
  <c r="V26" i="6"/>
  <c r="AB21" i="6"/>
  <c r="R26" i="6"/>
  <c r="N26" i="6"/>
  <c r="F26" i="6"/>
  <c r="J26" i="6"/>
  <c r="Z26" i="6"/>
  <c r="AB39" i="11"/>
  <c r="AC39" i="11" s="1"/>
  <c r="AD39" i="11" s="1"/>
  <c r="AE39" i="11" s="1"/>
  <c r="AF39" i="11" s="1"/>
  <c r="AG39" i="11" s="1"/>
  <c r="AH39" i="11" s="1"/>
  <c r="AI39" i="11" s="1"/>
  <c r="AJ39" i="11" s="1"/>
  <c r="AK39" i="11" s="1"/>
  <c r="G13" i="6"/>
  <c r="Z25" i="6" s="1"/>
  <c r="Z37" i="30" s="1"/>
  <c r="Z36" i="30" s="1"/>
  <c r="F26" i="32" s="1"/>
  <c r="Y26" i="6"/>
  <c r="I26" i="6"/>
  <c r="C28" i="11"/>
  <c r="C29" i="11"/>
  <c r="G29" i="11"/>
  <c r="C47" i="18"/>
  <c r="D7" i="18"/>
  <c r="C25" i="18"/>
  <c r="G36" i="20"/>
  <c r="H36" i="20"/>
  <c r="M26" i="6"/>
  <c r="E31" i="11"/>
  <c r="C68" i="30"/>
  <c r="D7" i="25"/>
  <c r="B69" i="30"/>
  <c r="C4" i="23"/>
  <c r="Q26" i="6"/>
  <c r="AA25" i="6"/>
  <c r="AA37" i="30" s="1"/>
  <c r="AA36" i="30" s="1"/>
  <c r="F27" i="32" s="1"/>
  <c r="K25" i="6"/>
  <c r="K37" i="30" s="1"/>
  <c r="K36" i="30" s="1"/>
  <c r="F11" i="32" s="1"/>
  <c r="C31" i="11"/>
  <c r="C32" i="11"/>
  <c r="AC40" i="11"/>
  <c r="AD40" i="11" s="1"/>
  <c r="AE40" i="11" s="1"/>
  <c r="AF40" i="11" s="1"/>
  <c r="AG40" i="11" s="1"/>
  <c r="AH40" i="11" s="1"/>
  <c r="AI40" i="11" s="1"/>
  <c r="AJ40" i="11" s="1"/>
  <c r="AK40" i="11" s="1"/>
  <c r="AC33" i="8"/>
  <c r="AD33" i="8" s="1"/>
  <c r="AD13" i="30" s="1"/>
  <c r="AC13" i="30"/>
  <c r="R23" i="30"/>
  <c r="R20" i="30"/>
  <c r="D18" i="32" s="1"/>
  <c r="AD8" i="13"/>
  <c r="AD23" i="30" s="1"/>
  <c r="AD20" i="30" s="1"/>
  <c r="D30" i="32" s="1"/>
  <c r="AC8" i="13"/>
  <c r="AC23" i="30"/>
  <c r="AC20" i="30" s="1"/>
  <c r="D29" i="32" s="1"/>
  <c r="R22" i="30"/>
  <c r="R19" i="30"/>
  <c r="D18" i="31" s="1"/>
  <c r="B52" i="30"/>
  <c r="H2" i="32" s="1"/>
  <c r="AC7" i="13"/>
  <c r="AD7" i="13" s="1"/>
  <c r="C6" i="18"/>
  <c r="F34" i="20"/>
  <c r="C4" i="18"/>
  <c r="C91" i="20"/>
  <c r="B91" i="20"/>
  <c r="C88" i="20"/>
  <c r="D88" i="20"/>
  <c r="B5" i="18"/>
  <c r="C5" i="18" s="1"/>
  <c r="H86" i="20"/>
  <c r="F86" i="20"/>
  <c r="D87" i="20"/>
  <c r="E37" i="20"/>
  <c r="E88" i="20" s="1"/>
  <c r="B17" i="20"/>
  <c r="B100" i="20"/>
  <c r="AJ17" i="20"/>
  <c r="AJ100" i="20"/>
  <c r="AJ53" i="30" s="1"/>
  <c r="AH17" i="20"/>
  <c r="AH100" i="20"/>
  <c r="AF17" i="20"/>
  <c r="AF100" i="20"/>
  <c r="AD17" i="20"/>
  <c r="AD100" i="20"/>
  <c r="B59" i="30"/>
  <c r="C9" i="1"/>
  <c r="C10" i="1" s="1"/>
  <c r="C5" i="30" s="1"/>
  <c r="C4" i="30" s="1"/>
  <c r="B3" i="31" s="1"/>
  <c r="B10" i="1"/>
  <c r="B5" i="30"/>
  <c r="B4" i="30" s="1"/>
  <c r="B2" i="31" s="1"/>
  <c r="Y3" i="27"/>
  <c r="Y47" i="30"/>
  <c r="U3" i="27"/>
  <c r="U47" i="30"/>
  <c r="Q3" i="27"/>
  <c r="Q47" i="30"/>
  <c r="M3" i="27"/>
  <c r="M47" i="30"/>
  <c r="I3" i="27"/>
  <c r="I47" i="30"/>
  <c r="E3" i="27"/>
  <c r="E47" i="30"/>
  <c r="C4" i="27"/>
  <c r="C44" i="30"/>
  <c r="G4" i="27"/>
  <c r="G44" i="30"/>
  <c r="K4" i="27"/>
  <c r="K44" i="30"/>
  <c r="O4" i="27"/>
  <c r="O44" i="30"/>
  <c r="S4" i="27"/>
  <c r="S44" i="30"/>
  <c r="W4" i="27"/>
  <c r="W44" i="30"/>
  <c r="D4" i="27"/>
  <c r="D44" i="30"/>
  <c r="H4" i="27"/>
  <c r="H44" i="30"/>
  <c r="L4" i="27"/>
  <c r="L44" i="30"/>
  <c r="P4" i="27"/>
  <c r="P44" i="30"/>
  <c r="T4" i="27"/>
  <c r="T44" i="30"/>
  <c r="X4" i="27"/>
  <c r="X44" i="30"/>
  <c r="Z3" i="27"/>
  <c r="Z47" i="30"/>
  <c r="V3" i="27"/>
  <c r="V47" i="30"/>
  <c r="R3" i="27"/>
  <c r="R47" i="30"/>
  <c r="N3" i="27"/>
  <c r="N47" i="30"/>
  <c r="J3" i="27"/>
  <c r="J47" i="30"/>
  <c r="F3" i="27"/>
  <c r="F47" i="30"/>
  <c r="Y4" i="27"/>
  <c r="Y44" i="30"/>
  <c r="R4" i="27"/>
  <c r="R44" i="30"/>
  <c r="J4" i="27"/>
  <c r="J44" i="30"/>
  <c r="AA3" i="27"/>
  <c r="W3" i="27"/>
  <c r="W47" i="30" s="1"/>
  <c r="S3" i="27"/>
  <c r="S47" i="30" s="1"/>
  <c r="O3" i="27"/>
  <c r="O47" i="30" s="1"/>
  <c r="K3" i="27"/>
  <c r="K47" i="30" s="1"/>
  <c r="G3" i="27"/>
  <c r="G47" i="30" s="1"/>
  <c r="U4" i="27"/>
  <c r="U44" i="30" s="1"/>
  <c r="M4" i="27"/>
  <c r="M44" i="30" s="1"/>
  <c r="E4" i="27"/>
  <c r="E44" i="30" s="1"/>
  <c r="D5" i="17"/>
  <c r="D30" i="30" s="1"/>
  <c r="D27" i="30" s="1"/>
  <c r="E4" i="34" s="1"/>
  <c r="AE8" i="13"/>
  <c r="D6" i="18"/>
  <c r="C48" i="18"/>
  <c r="C38" i="18"/>
  <c r="C26" i="18"/>
  <c r="C69" i="30"/>
  <c r="C65" i="30"/>
  <c r="I3" i="34" s="1"/>
  <c r="D4" i="23"/>
  <c r="D68" i="30"/>
  <c r="E7" i="25"/>
  <c r="AD53" i="30"/>
  <c r="B53" i="30"/>
  <c r="B51" i="30"/>
  <c r="H2" i="33" s="1"/>
  <c r="B105" i="20"/>
  <c r="B25" i="6"/>
  <c r="B37" i="30"/>
  <c r="B36" i="30" s="1"/>
  <c r="F2" i="32" s="1"/>
  <c r="G25" i="6"/>
  <c r="G37" i="30"/>
  <c r="G36" i="30" s="1"/>
  <c r="F7" i="32" s="1"/>
  <c r="W25" i="6"/>
  <c r="W37" i="30"/>
  <c r="W36" i="30" s="1"/>
  <c r="F23" i="32" s="1"/>
  <c r="C25" i="6"/>
  <c r="C37" i="30"/>
  <c r="C36" i="30" s="1"/>
  <c r="F3" i="32" s="1"/>
  <c r="S25" i="6"/>
  <c r="S37" i="30"/>
  <c r="S36" i="30" s="1"/>
  <c r="F19" i="32" s="1"/>
  <c r="E25" i="6"/>
  <c r="E37" i="30"/>
  <c r="E36" i="30" s="1"/>
  <c r="F5" i="32" s="1"/>
  <c r="O25" i="6"/>
  <c r="O37" i="30"/>
  <c r="O36" i="30" s="1"/>
  <c r="F15" i="32" s="1"/>
  <c r="U25" i="6"/>
  <c r="U37" i="30"/>
  <c r="U36" i="30" s="1"/>
  <c r="F21" i="32" s="1"/>
  <c r="J25" i="6"/>
  <c r="J37" i="30"/>
  <c r="J36" i="30" s="1"/>
  <c r="F10" i="32" s="1"/>
  <c r="N25" i="6"/>
  <c r="N37" i="30"/>
  <c r="N36" i="30" s="1"/>
  <c r="F14" i="32" s="1"/>
  <c r="M25" i="6"/>
  <c r="M37" i="30"/>
  <c r="M36" i="30" s="1"/>
  <c r="F13" i="32" s="1"/>
  <c r="X25" i="6"/>
  <c r="X37" i="30"/>
  <c r="X36" i="30" s="1"/>
  <c r="F24" i="32" s="1"/>
  <c r="H25" i="6"/>
  <c r="H37" i="30"/>
  <c r="H36" i="30" s="1"/>
  <c r="F8" i="32" s="1"/>
  <c r="Q25" i="6"/>
  <c r="Q37" i="30"/>
  <c r="Q36" i="30" s="1"/>
  <c r="F17" i="32" s="1"/>
  <c r="R25" i="6"/>
  <c r="R37" i="30"/>
  <c r="R36" i="30" s="1"/>
  <c r="F18" i="32" s="1"/>
  <c r="F71" i="30"/>
  <c r="G4" i="24"/>
  <c r="AH53" i="30"/>
  <c r="C45" i="18"/>
  <c r="C35" i="18"/>
  <c r="C23" i="18"/>
  <c r="D4" i="18"/>
  <c r="G34" i="20"/>
  <c r="I36" i="20"/>
  <c r="E87" i="20"/>
  <c r="F37" i="20"/>
  <c r="AA47" i="30"/>
  <c r="AB3" i="27"/>
  <c r="AF53" i="30"/>
  <c r="AE33" i="8"/>
  <c r="D25" i="6"/>
  <c r="D37" i="30" s="1"/>
  <c r="D36" i="30" s="1"/>
  <c r="F4" i="32" s="1"/>
  <c r="D37" i="18"/>
  <c r="D47" i="18"/>
  <c r="E7" i="18"/>
  <c r="D25" i="18"/>
  <c r="Y25" i="6"/>
  <c r="Y37" i="30" s="1"/>
  <c r="Y36" i="30" s="1"/>
  <c r="F25" i="32" s="1"/>
  <c r="F25" i="6"/>
  <c r="F37" i="30" s="1"/>
  <c r="F36" i="30" s="1"/>
  <c r="F6" i="32" s="1"/>
  <c r="AC21" i="6"/>
  <c r="AB25" i="6"/>
  <c r="AB37" i="30"/>
  <c r="AB36" i="30" s="1"/>
  <c r="F28" i="32" s="1"/>
  <c r="AB26" i="6"/>
  <c r="AB34" i="8"/>
  <c r="AA16" i="30"/>
  <c r="E68" i="30"/>
  <c r="F7" i="25"/>
  <c r="AC25" i="6"/>
  <c r="AC37" i="30"/>
  <c r="AC36" i="30" s="1"/>
  <c r="F29" i="32"/>
  <c r="AC26" i="6"/>
  <c r="AD21" i="6"/>
  <c r="D69" i="30"/>
  <c r="D65" i="30" s="1"/>
  <c r="I4" i="34" s="1"/>
  <c r="E4" i="23"/>
  <c r="AE23" i="30"/>
  <c r="AE20" i="30" s="1"/>
  <c r="D31" i="32" s="1"/>
  <c r="AF8" i="13"/>
  <c r="E47" i="18"/>
  <c r="E37" i="18"/>
  <c r="F7" i="18"/>
  <c r="E25" i="18"/>
  <c r="H34" i="20"/>
  <c r="D38" i="18"/>
  <c r="D26" i="18"/>
  <c r="E6" i="18"/>
  <c r="D48" i="18"/>
  <c r="AB47" i="30"/>
  <c r="AC3" i="27"/>
  <c r="G37" i="20"/>
  <c r="H37" i="20" s="1"/>
  <c r="F87" i="20"/>
  <c r="F88" i="20"/>
  <c r="D35" i="18"/>
  <c r="D45" i="18"/>
  <c r="E4" i="18"/>
  <c r="E45" i="18" s="1"/>
  <c r="D23" i="18"/>
  <c r="G71" i="30"/>
  <c r="H4" i="24"/>
  <c r="E35" i="18"/>
  <c r="F4" i="18"/>
  <c r="F23" i="18" s="1"/>
  <c r="E23" i="18"/>
  <c r="AD25" i="6"/>
  <c r="AD37" i="30" s="1"/>
  <c r="AD36" i="30"/>
  <c r="F30" i="32" s="1"/>
  <c r="AD26" i="6"/>
  <c r="AE21" i="6"/>
  <c r="F37" i="18"/>
  <c r="G7" i="18"/>
  <c r="F47" i="18"/>
  <c r="F25" i="18"/>
  <c r="G87" i="20"/>
  <c r="G88" i="20"/>
  <c r="E69" i="30"/>
  <c r="F4" i="23"/>
  <c r="F68" i="30"/>
  <c r="G7" i="25"/>
  <c r="H7" i="25" s="1"/>
  <c r="I34" i="20"/>
  <c r="AF23" i="30"/>
  <c r="AF20" i="30" s="1"/>
  <c r="D32" i="32" s="1"/>
  <c r="AG8" i="13"/>
  <c r="H71" i="30"/>
  <c r="I4" i="24"/>
  <c r="AD3" i="27"/>
  <c r="AC47" i="30"/>
  <c r="E38" i="18"/>
  <c r="E48" i="18"/>
  <c r="E26" i="18"/>
  <c r="F6" i="18"/>
  <c r="F48" i="18" s="1"/>
  <c r="E65" i="30"/>
  <c r="I5" i="34"/>
  <c r="I37" i="20"/>
  <c r="H87" i="20"/>
  <c r="H88" i="20"/>
  <c r="F35" i="18"/>
  <c r="G4" i="18"/>
  <c r="F45" i="18"/>
  <c r="AG23" i="30"/>
  <c r="AG20" i="30" s="1"/>
  <c r="D33" i="32" s="1"/>
  <c r="AH8" i="13"/>
  <c r="AE3" i="27"/>
  <c r="AD47" i="30"/>
  <c r="J39" i="20"/>
  <c r="J38" i="20"/>
  <c r="K38" i="20"/>
  <c r="L38" i="20" s="1"/>
  <c r="M38" i="20" s="1"/>
  <c r="N38" i="20" s="1"/>
  <c r="J36" i="20"/>
  <c r="J34" i="20"/>
  <c r="J37" i="20"/>
  <c r="K34" i="20"/>
  <c r="K35" i="20"/>
  <c r="K36" i="20"/>
  <c r="L36" i="20" s="1"/>
  <c r="J35" i="20"/>
  <c r="L35" i="20"/>
  <c r="M35" i="20" s="1"/>
  <c r="N35" i="20" s="1"/>
  <c r="O35" i="20" s="1"/>
  <c r="P35" i="20" s="1"/>
  <c r="Q35" i="20" s="1"/>
  <c r="R35" i="20" s="1"/>
  <c r="S35" i="20" s="1"/>
  <c r="T35" i="20" s="1"/>
  <c r="U35" i="20" s="1"/>
  <c r="V35" i="20" s="1"/>
  <c r="W35" i="20" s="1"/>
  <c r="X35" i="20" s="1"/>
  <c r="Y35" i="20" s="1"/>
  <c r="Z35" i="20" s="1"/>
  <c r="AA35" i="20" s="1"/>
  <c r="AB35" i="20" s="1"/>
  <c r="AC35" i="20" s="1"/>
  <c r="AD35" i="20" s="1"/>
  <c r="AE35" i="20" s="1"/>
  <c r="AF35" i="20" s="1"/>
  <c r="AG35" i="20" s="1"/>
  <c r="AH35" i="20" s="1"/>
  <c r="AI35" i="20" s="1"/>
  <c r="AJ35" i="20" s="1"/>
  <c r="AK35" i="20" s="1"/>
  <c r="G68" i="30"/>
  <c r="F69" i="30"/>
  <c r="F65" i="30" s="1"/>
  <c r="I6" i="34" s="1"/>
  <c r="G4" i="23"/>
  <c r="G6" i="18"/>
  <c r="G38" i="18" s="1"/>
  <c r="F26" i="18"/>
  <c r="I71" i="30"/>
  <c r="J4" i="24"/>
  <c r="J71" i="30" s="1"/>
  <c r="H7" i="18"/>
  <c r="H37" i="18" s="1"/>
  <c r="G47" i="18"/>
  <c r="G37" i="18"/>
  <c r="G25" i="18"/>
  <c r="AE26" i="6"/>
  <c r="AF21" i="6"/>
  <c r="AE25" i="6"/>
  <c r="AE37" i="30" s="1"/>
  <c r="AE36" i="30" s="1"/>
  <c r="F31" i="32" s="1"/>
  <c r="K37" i="20"/>
  <c r="I87" i="20"/>
  <c r="I88" i="20"/>
  <c r="AG21" i="6"/>
  <c r="AF25" i="6"/>
  <c r="AF37" i="30" s="1"/>
  <c r="AF36" i="30" s="1"/>
  <c r="F32" i="32" s="1"/>
  <c r="AF26" i="6"/>
  <c r="K4" i="24"/>
  <c r="K71" i="30" s="1"/>
  <c r="I7" i="18"/>
  <c r="I47" i="18" s="1"/>
  <c r="H25" i="18"/>
  <c r="G48" i="18"/>
  <c r="H6" i="18"/>
  <c r="H38" i="18" s="1"/>
  <c r="G69" i="30"/>
  <c r="H4" i="23"/>
  <c r="AE47" i="30"/>
  <c r="AF3" i="27"/>
  <c r="AF47" i="30" s="1"/>
  <c r="G65" i="30"/>
  <c r="I7" i="34" s="1"/>
  <c r="K39" i="20"/>
  <c r="AH23" i="30"/>
  <c r="AH20" i="30" s="1"/>
  <c r="D34" i="32" s="1"/>
  <c r="AI8" i="13"/>
  <c r="AI23" i="30" s="1"/>
  <c r="AI20" i="30" s="1"/>
  <c r="D35" i="32" s="1"/>
  <c r="H4" i="18"/>
  <c r="I4" i="18" s="1"/>
  <c r="G45" i="18"/>
  <c r="G35" i="18"/>
  <c r="G23" i="18"/>
  <c r="H45" i="18"/>
  <c r="H23" i="18"/>
  <c r="H48" i="18"/>
  <c r="H26" i="18"/>
  <c r="H69" i="30"/>
  <c r="I4" i="23"/>
  <c r="AJ8" i="13"/>
  <c r="AK8" i="13" s="1"/>
  <c r="AK23" i="30" s="1"/>
  <c r="AK20" i="30" s="1"/>
  <c r="D37" i="32" s="1"/>
  <c r="AG3" i="27"/>
  <c r="AG47" i="30" s="1"/>
  <c r="J7" i="18"/>
  <c r="J37" i="18" s="1"/>
  <c r="I25" i="18"/>
  <c r="L4" i="24"/>
  <c r="M4" i="24" s="1"/>
  <c r="AG25" i="6"/>
  <c r="AG37" i="30"/>
  <c r="AG36" i="30" s="1"/>
  <c r="F33" i="32" s="1"/>
  <c r="AG26" i="6"/>
  <c r="AH21" i="6"/>
  <c r="AH25" i="6" s="1"/>
  <c r="AH37" i="30" s="1"/>
  <c r="AH36" i="30" s="1"/>
  <c r="F34" i="32" s="1"/>
  <c r="L37" i="20"/>
  <c r="M37" i="20"/>
  <c r="J47" i="18"/>
  <c r="K7" i="18"/>
  <c r="K37" i="18" s="1"/>
  <c r="AI21" i="6"/>
  <c r="AI26" i="6" s="1"/>
  <c r="I69" i="30"/>
  <c r="J4" i="23"/>
  <c r="K4" i="23" s="1"/>
  <c r="L71" i="30"/>
  <c r="AH3" i="27"/>
  <c r="AH47" i="30" s="1"/>
  <c r="AJ23" i="30"/>
  <c r="AJ20" i="30" s="1"/>
  <c r="D36" i="32" s="1"/>
  <c r="AI3" i="27"/>
  <c r="J69" i="30"/>
  <c r="K47" i="18"/>
  <c r="L7" i="18"/>
  <c r="M7" i="18" s="1"/>
  <c r="AI25" i="6"/>
  <c r="AI37" i="30" s="1"/>
  <c r="AI36" i="30" s="1"/>
  <c r="F35" i="32" s="1"/>
  <c r="AJ21" i="6"/>
  <c r="AJ25" i="6" s="1"/>
  <c r="AJ37" i="30" s="1"/>
  <c r="AJ36" i="30" s="1"/>
  <c r="F36" i="32" s="1"/>
  <c r="N37" i="20"/>
  <c r="O37" i="20" s="1"/>
  <c r="AK21" i="6"/>
  <c r="AK25" i="6" s="1"/>
  <c r="L47" i="18"/>
  <c r="L25" i="18"/>
  <c r="AI47" i="30"/>
  <c r="AJ3" i="27"/>
  <c r="AJ47" i="30" s="1"/>
  <c r="AK3" i="27"/>
  <c r="AK47" i="30" s="1"/>
  <c r="AK26" i="6"/>
  <c r="AK37" i="30"/>
  <c r="AK36" i="30" s="1"/>
  <c r="F37" i="32" s="1"/>
  <c r="H5" i="43"/>
  <c r="M10" i="43"/>
  <c r="M14" i="43"/>
  <c r="F5" i="43"/>
  <c r="M11" i="43"/>
  <c r="M15" i="43"/>
  <c r="J19" i="43"/>
  <c r="G13" i="43"/>
  <c r="L20" i="43"/>
  <c r="M23" i="43"/>
  <c r="M27" i="43"/>
  <c r="M35" i="43"/>
  <c r="M43" i="43"/>
  <c r="M51" i="43"/>
  <c r="G2" i="43"/>
  <c r="F4" i="43"/>
  <c r="F7" i="43"/>
  <c r="F9" i="43"/>
  <c r="F11" i="43"/>
  <c r="F14" i="43"/>
  <c r="F16" i="43"/>
  <c r="F18" i="43"/>
  <c r="F24" i="43"/>
  <c r="F26" i="43"/>
  <c r="F28" i="43"/>
  <c r="F30" i="43"/>
  <c r="F32" i="43"/>
  <c r="F34" i="43"/>
  <c r="F36" i="43"/>
  <c r="F38" i="43"/>
  <c r="F40" i="43"/>
  <c r="F42" i="43"/>
  <c r="F44" i="43"/>
  <c r="F46" i="43"/>
  <c r="F48" i="43"/>
  <c r="F50" i="43"/>
  <c r="F52" i="43"/>
  <c r="F54" i="43"/>
  <c r="F56" i="43"/>
  <c r="D3" i="43"/>
  <c r="I13" i="43"/>
  <c r="E20" i="43"/>
  <c r="K21" i="43"/>
  <c r="D25" i="43"/>
  <c r="D9" i="43"/>
  <c r="M18" i="43"/>
  <c r="F20" i="43"/>
  <c r="M22" i="43"/>
  <c r="M26" i="43"/>
  <c r="M34" i="43"/>
  <c r="M42" i="43"/>
  <c r="M50" i="43"/>
  <c r="E2" i="43"/>
  <c r="L3" i="43"/>
  <c r="L6" i="43"/>
  <c r="L8" i="43"/>
  <c r="L10" i="43"/>
  <c r="L12" i="43"/>
  <c r="L15" i="43"/>
  <c r="L17" i="43"/>
  <c r="L22" i="43"/>
  <c r="L25" i="43"/>
  <c r="L27" i="43"/>
  <c r="L29" i="43"/>
  <c r="L31" i="43"/>
  <c r="L33" i="43"/>
  <c r="L35" i="43"/>
  <c r="L5" i="43"/>
  <c r="M12" i="43"/>
  <c r="M16" i="43"/>
  <c r="J5" i="43"/>
  <c r="M13" i="43"/>
  <c r="M17" i="43"/>
  <c r="G5" i="43"/>
  <c r="D15" i="43"/>
  <c r="M21" i="43"/>
  <c r="F23" i="43"/>
  <c r="M29" i="43"/>
  <c r="M37" i="43"/>
  <c r="M45" i="43"/>
  <c r="M53" i="43"/>
  <c r="K2" i="43"/>
  <c r="J4" i="43"/>
  <c r="J7" i="43"/>
  <c r="J9" i="43"/>
  <c r="J11" i="43"/>
  <c r="J14" i="43"/>
  <c r="J16" i="43"/>
  <c r="J18" i="43"/>
  <c r="J24" i="43"/>
  <c r="J26" i="43"/>
  <c r="J28" i="43"/>
  <c r="J30" i="43"/>
  <c r="J32" i="43"/>
  <c r="J34" i="43"/>
  <c r="J36" i="43"/>
  <c r="J38" i="43"/>
  <c r="J40" i="43"/>
  <c r="J42" i="43"/>
  <c r="J44" i="43"/>
  <c r="J46" i="43"/>
  <c r="J48" i="43"/>
  <c r="J50" i="43"/>
  <c r="J52" i="43"/>
  <c r="J54" i="43"/>
  <c r="J56" i="43"/>
  <c r="I5" i="43"/>
  <c r="D14" i="43"/>
  <c r="I20" i="43"/>
  <c r="D23" i="43"/>
  <c r="D27" i="43"/>
  <c r="D13" i="43"/>
  <c r="G19" i="43"/>
  <c r="J20" i="43"/>
  <c r="H23" i="43"/>
  <c r="M28" i="43"/>
  <c r="M36" i="43"/>
  <c r="M44" i="43"/>
  <c r="M52" i="43"/>
  <c r="I2" i="43"/>
  <c r="H4" i="43"/>
  <c r="H7" i="43"/>
  <c r="H9" i="43"/>
  <c r="H11" i="43"/>
  <c r="H14" i="43"/>
  <c r="H16" i="43"/>
  <c r="H18" i="43"/>
  <c r="H24" i="43"/>
  <c r="H26" i="43"/>
  <c r="H28" i="43"/>
  <c r="H30" i="43"/>
  <c r="H32" i="43"/>
  <c r="H34" i="43"/>
  <c r="H36" i="43"/>
  <c r="H38" i="43"/>
  <c r="H40" i="43"/>
  <c r="H42" i="43"/>
  <c r="H44" i="43"/>
  <c r="H46" i="43"/>
  <c r="H48" i="43"/>
  <c r="H50" i="43"/>
  <c r="H52" i="43"/>
  <c r="H54" i="43"/>
  <c r="H56" i="43"/>
  <c r="D19" i="43"/>
  <c r="D30" i="43"/>
  <c r="D46" i="43"/>
  <c r="E3" i="43"/>
  <c r="E8" i="43"/>
  <c r="E12" i="43"/>
  <c r="E17" i="43"/>
  <c r="E25" i="43"/>
  <c r="E29" i="43"/>
  <c r="E33" i="43"/>
  <c r="E37" i="43"/>
  <c r="E41" i="43"/>
  <c r="E45" i="43"/>
  <c r="E49" i="43"/>
  <c r="E53" i="43"/>
  <c r="E57" i="43"/>
  <c r="H19" i="43"/>
  <c r="D33" i="43"/>
  <c r="D49" i="43"/>
  <c r="G3" i="43"/>
  <c r="G8" i="43"/>
  <c r="G12" i="43"/>
  <c r="G17" i="43"/>
  <c r="G25" i="43"/>
  <c r="G29" i="43"/>
  <c r="G33" i="43"/>
  <c r="G37" i="43"/>
  <c r="G41" i="43"/>
  <c r="G45" i="43"/>
  <c r="G49" i="43"/>
  <c r="G53" i="43"/>
  <c r="G57" i="43"/>
  <c r="D22" i="43"/>
  <c r="D36" i="43"/>
  <c r="D52" i="43"/>
  <c r="I4" i="43"/>
  <c r="I9" i="43"/>
  <c r="I14" i="43"/>
  <c r="I18" i="43"/>
  <c r="I26" i="43"/>
  <c r="I30" i="43"/>
  <c r="I34" i="43"/>
  <c r="I38" i="43"/>
  <c r="I42" i="43"/>
  <c r="I46" i="43"/>
  <c r="I50" i="43"/>
  <c r="M6" i="43"/>
  <c r="M3" i="43"/>
  <c r="F13" i="43"/>
  <c r="D7" i="43"/>
  <c r="F21" i="43"/>
  <c r="M31" i="43"/>
  <c r="M47" i="43"/>
  <c r="F3" i="43"/>
  <c r="F8" i="43"/>
  <c r="F12" i="43"/>
  <c r="F17" i="43"/>
  <c r="F25" i="43"/>
  <c r="F29" i="43"/>
  <c r="F33" i="43"/>
  <c r="F37" i="43"/>
  <c r="F41" i="43"/>
  <c r="F45" i="43"/>
  <c r="F49" i="43"/>
  <c r="F53" i="43"/>
  <c r="F57" i="43"/>
  <c r="E19" i="43"/>
  <c r="G23" i="43"/>
  <c r="K13" i="43"/>
  <c r="H21" i="43"/>
  <c r="M30" i="43"/>
  <c r="M46" i="43"/>
  <c r="M2" i="43"/>
  <c r="L7" i="43"/>
  <c r="L11" i="43"/>
  <c r="L16" i="43"/>
  <c r="L24" i="43"/>
  <c r="L28" i="43"/>
  <c r="L32" i="43"/>
  <c r="L36" i="43"/>
  <c r="H39" i="43"/>
  <c r="L41" i="43"/>
  <c r="L44" i="43"/>
  <c r="H47" i="43"/>
  <c r="L49" i="43"/>
  <c r="L52" i="43"/>
  <c r="H55" i="43"/>
  <c r="L57" i="43"/>
  <c r="D34" i="43"/>
  <c r="D54" i="43"/>
  <c r="E7" i="43"/>
  <c r="E14" i="43"/>
  <c r="E22" i="43"/>
  <c r="E28" i="43"/>
  <c r="E34" i="43"/>
  <c r="E39" i="43"/>
  <c r="E44" i="43"/>
  <c r="E50" i="43"/>
  <c r="E55" i="43"/>
  <c r="D16" i="43"/>
  <c r="D37" i="43"/>
  <c r="D57" i="43"/>
  <c r="G7" i="43"/>
  <c r="G14" i="43"/>
  <c r="G22" i="43"/>
  <c r="G28" i="43"/>
  <c r="G34" i="43"/>
  <c r="G39" i="43"/>
  <c r="G44" i="43"/>
  <c r="G50" i="43"/>
  <c r="G55" i="43"/>
  <c r="E13" i="43"/>
  <c r="D40" i="43"/>
  <c r="J2" i="43"/>
  <c r="I8" i="43"/>
  <c r="I15" i="43"/>
  <c r="I24" i="43"/>
  <c r="I29" i="43"/>
  <c r="I35" i="43"/>
  <c r="I40" i="43"/>
  <c r="I45" i="43"/>
  <c r="I51" i="43"/>
  <c r="I55" i="43"/>
  <c r="D18" i="43"/>
  <c r="D31" i="43"/>
  <c r="D47" i="43"/>
  <c r="K3" i="43"/>
  <c r="K8" i="43"/>
  <c r="K12" i="43"/>
  <c r="K17" i="43"/>
  <c r="K25" i="43"/>
  <c r="K29" i="43"/>
  <c r="K33" i="43"/>
  <c r="K37" i="43"/>
  <c r="K41" i="43"/>
  <c r="K45" i="43"/>
  <c r="K49" i="43"/>
  <c r="K53" i="43"/>
  <c r="K57" i="43"/>
  <c r="H13" i="43"/>
  <c r="M9" i="43"/>
  <c r="D11" i="43"/>
  <c r="J23" i="43"/>
  <c r="M41" i="43"/>
  <c r="J3" i="43"/>
  <c r="F10" i="43"/>
  <c r="J15" i="43"/>
  <c r="J25" i="43"/>
  <c r="F31" i="43"/>
  <c r="J35" i="43"/>
  <c r="J41" i="43"/>
  <c r="F47" i="43"/>
  <c r="J51" i="43"/>
  <c r="J57" i="43"/>
  <c r="D21" i="43"/>
  <c r="K5" i="43"/>
  <c r="L21" i="43"/>
  <c r="M38" i="43"/>
  <c r="M56" i="43"/>
  <c r="H8" i="43"/>
  <c r="L14" i="43"/>
  <c r="H22" i="43"/>
  <c r="H29" i="43"/>
  <c r="L34" i="43"/>
  <c r="L38" i="43"/>
  <c r="L42" i="43"/>
  <c r="L45" i="43"/>
  <c r="H49" i="43"/>
  <c r="H53" i="43"/>
  <c r="L56" i="43"/>
  <c r="E23" i="43"/>
  <c r="F2" i="43"/>
  <c r="E10" i="43"/>
  <c r="E18" i="43"/>
  <c r="E30" i="43"/>
  <c r="E36" i="43"/>
  <c r="E43" i="43"/>
  <c r="E51" i="43"/>
  <c r="D2" i="43"/>
  <c r="D29" i="43"/>
  <c r="H2" i="43"/>
  <c r="G10" i="43"/>
  <c r="G18" i="43"/>
  <c r="G30" i="43"/>
  <c r="G36" i="43"/>
  <c r="G43" i="43"/>
  <c r="G51" i="43"/>
  <c r="D4" i="43"/>
  <c r="D32" i="43"/>
  <c r="I3" i="43"/>
  <c r="I11" i="43"/>
  <c r="I22" i="43"/>
  <c r="I31" i="43"/>
  <c r="I37" i="43"/>
  <c r="I44" i="43"/>
  <c r="I52" i="43"/>
  <c r="I57" i="43"/>
  <c r="D24" i="43"/>
  <c r="D51" i="43"/>
  <c r="K6" i="43"/>
  <c r="K11" i="43"/>
  <c r="K18" i="43"/>
  <c r="K27" i="43"/>
  <c r="K32" i="43"/>
  <c r="K38" i="43"/>
  <c r="K43" i="43"/>
  <c r="K48" i="43"/>
  <c r="K54" i="43"/>
  <c r="L13" i="43"/>
  <c r="J13" i="43"/>
  <c r="I19" i="43"/>
  <c r="M25" i="43"/>
  <c r="M49" i="43"/>
  <c r="F6" i="43"/>
  <c r="J10" i="43"/>
  <c r="J17" i="43"/>
  <c r="F27" i="43"/>
  <c r="J31" i="43"/>
  <c r="J37" i="43"/>
  <c r="F43" i="43"/>
  <c r="J47" i="43"/>
  <c r="J53" i="43"/>
  <c r="D6" i="43"/>
  <c r="G21" i="43"/>
  <c r="D17" i="43"/>
  <c r="L23" i="43"/>
  <c r="M40" i="43"/>
  <c r="H3" i="43"/>
  <c r="L9" i="43"/>
  <c r="H15" i="43"/>
  <c r="H25" i="43"/>
  <c r="L30" i="43"/>
  <c r="H35" i="43"/>
  <c r="L39" i="43"/>
  <c r="H43" i="43"/>
  <c r="L46" i="43"/>
  <c r="L50" i="43"/>
  <c r="L53" i="43"/>
  <c r="H57" i="43"/>
  <c r="D38" i="43"/>
  <c r="E4" i="43"/>
  <c r="E11" i="43"/>
  <c r="E24" i="43"/>
  <c r="E31" i="43"/>
  <c r="E38" i="43"/>
  <c r="E46" i="43"/>
  <c r="E52" i="43"/>
  <c r="D12" i="43"/>
  <c r="D41" i="43"/>
  <c r="G4" i="43"/>
  <c r="G11" i="43"/>
  <c r="G24" i="43"/>
  <c r="G31" i="43"/>
  <c r="G38" i="43"/>
  <c r="G46" i="43"/>
  <c r="G52" i="43"/>
  <c r="D8" i="43"/>
  <c r="D44" i="43"/>
  <c r="I6" i="43"/>
  <c r="I12" i="43"/>
  <c r="I25" i="43"/>
  <c r="I32" i="43"/>
  <c r="I39" i="43"/>
  <c r="I47" i="43"/>
  <c r="I53" i="43"/>
  <c r="E5" i="43"/>
  <c r="D35" i="43"/>
  <c r="D55" i="43"/>
  <c r="K7" i="43"/>
  <c r="K14" i="43"/>
  <c r="K22" i="43"/>
  <c r="K28" i="43"/>
  <c r="K34" i="43"/>
  <c r="K39" i="43"/>
  <c r="K44" i="43"/>
  <c r="K50" i="43"/>
  <c r="K55" i="43"/>
  <c r="M4" i="43"/>
  <c r="M5" i="43"/>
  <c r="M19" i="43"/>
  <c r="H20" i="43"/>
  <c r="M33" i="43"/>
  <c r="M55" i="43"/>
  <c r="J6" i="43"/>
  <c r="J12" i="43"/>
  <c r="F22" i="43"/>
  <c r="J27" i="43"/>
  <c r="J33" i="43"/>
  <c r="F39" i="43"/>
  <c r="J43" i="43"/>
  <c r="J49" i="43"/>
  <c r="F55" i="43"/>
  <c r="D10" i="43"/>
  <c r="K23" i="43"/>
  <c r="L19" i="43"/>
  <c r="M24" i="43"/>
  <c r="M48" i="43"/>
  <c r="L4" i="43"/>
  <c r="H10" i="43"/>
  <c r="H17" i="43"/>
  <c r="L26" i="43"/>
  <c r="H31" i="43"/>
  <c r="H37" i="43"/>
  <c r="L40" i="43"/>
  <c r="L43" i="43"/>
  <c r="L47" i="43"/>
  <c r="H51" i="43"/>
  <c r="L54" i="43"/>
  <c r="G20" i="43"/>
  <c r="D42" i="43"/>
  <c r="E6" i="43"/>
  <c r="E15" i="43"/>
  <c r="E26" i="43"/>
  <c r="E32" i="43"/>
  <c r="E40" i="43"/>
  <c r="E47" i="43"/>
  <c r="E54" i="43"/>
  <c r="K20" i="43"/>
  <c r="D45" i="43"/>
  <c r="G6" i="43"/>
  <c r="G15" i="43"/>
  <c r="G26" i="43"/>
  <c r="G32" i="43"/>
  <c r="G40" i="43"/>
  <c r="G47" i="43"/>
  <c r="G54" i="43"/>
  <c r="D26" i="43"/>
  <c r="D48" i="43"/>
  <c r="I7" i="43"/>
  <c r="I16" i="43"/>
  <c r="I27" i="43"/>
  <c r="I33" i="43"/>
  <c r="I41" i="43"/>
  <c r="I48" i="43"/>
  <c r="I54" i="43"/>
  <c r="D20" i="43"/>
  <c r="D39" i="43"/>
  <c r="L2" i="43"/>
  <c r="K9" i="43"/>
  <c r="K15" i="43"/>
  <c r="K24" i="43"/>
  <c r="K30" i="43"/>
  <c r="K35" i="43"/>
  <c r="K40" i="43"/>
  <c r="K46" i="43"/>
  <c r="K51" i="43"/>
  <c r="K56" i="43"/>
  <c r="J21" i="43"/>
  <c r="F15" i="43"/>
  <c r="J39" i="43"/>
  <c r="K19" i="43"/>
  <c r="M54" i="43"/>
  <c r="H27" i="43"/>
  <c r="H45" i="43"/>
  <c r="I21" i="43"/>
  <c r="E27" i="43"/>
  <c r="E56" i="43"/>
  <c r="G16" i="43"/>
  <c r="G48" i="43"/>
  <c r="I10" i="43"/>
  <c r="I43" i="43"/>
  <c r="D43" i="43"/>
  <c r="K26" i="43"/>
  <c r="K47" i="43"/>
  <c r="M8" i="43"/>
  <c r="M39" i="43"/>
  <c r="J22" i="43"/>
  <c r="J45" i="43"/>
  <c r="D5" i="43"/>
  <c r="H6" i="43"/>
  <c r="H33" i="43"/>
  <c r="L48" i="43"/>
  <c r="D50" i="43"/>
  <c r="E35" i="43"/>
  <c r="I23" i="43"/>
  <c r="G27" i="43"/>
  <c r="G56" i="43"/>
  <c r="I17" i="43"/>
  <c r="I49" i="43"/>
  <c r="K4" i="43"/>
  <c r="K31" i="43"/>
  <c r="K52" i="43"/>
  <c r="M7" i="43"/>
  <c r="M57" i="43"/>
  <c r="J29" i="43"/>
  <c r="F51" i="43"/>
  <c r="M20" i="43"/>
  <c r="H12" i="43"/>
  <c r="L37" i="43"/>
  <c r="L51" i="43"/>
  <c r="E9" i="43"/>
  <c r="E42" i="43"/>
  <c r="D53" i="43"/>
  <c r="G35" i="43"/>
  <c r="D28" i="43"/>
  <c r="I28" i="43"/>
  <c r="I56" i="43"/>
  <c r="K10" i="43"/>
  <c r="K36" i="43"/>
  <c r="F19" i="43"/>
  <c r="J8" i="43"/>
  <c r="F35" i="43"/>
  <c r="J55" i="43"/>
  <c r="M32" i="43"/>
  <c r="L18" i="43"/>
  <c r="H41" i="43"/>
  <c r="L55" i="43"/>
  <c r="E16" i="43"/>
  <c r="E48" i="43"/>
  <c r="G9" i="43"/>
  <c r="G42" i="43"/>
  <c r="D56" i="43"/>
  <c r="I36" i="43"/>
  <c r="E21" i="43"/>
  <c r="K16" i="43"/>
  <c r="K42" i="43"/>
  <c r="N32" i="43" l="1"/>
  <c r="O32" i="43" s="1"/>
  <c r="P32" i="43" s="1"/>
  <c r="Q32" i="43" s="1"/>
  <c r="R32" i="43" s="1"/>
  <c r="S32" i="43" s="1"/>
  <c r="T32" i="43" s="1"/>
  <c r="U32" i="43" s="1"/>
  <c r="V32" i="43" s="1"/>
  <c r="W32" i="43" s="1"/>
  <c r="X32" i="43" s="1"/>
  <c r="Y32" i="43" s="1"/>
  <c r="Z32" i="43" s="1"/>
  <c r="AA32" i="43" s="1"/>
  <c r="AB32" i="43" s="1"/>
  <c r="AC32" i="43" s="1"/>
  <c r="AD32" i="43" s="1"/>
  <c r="AE32" i="43" s="1"/>
  <c r="AF32" i="43" s="1"/>
  <c r="AG32" i="43" s="1"/>
  <c r="AH32" i="43" s="1"/>
  <c r="AI32" i="43" s="1"/>
  <c r="AJ32" i="43" s="1"/>
  <c r="AK32" i="43" s="1"/>
  <c r="AL32" i="43" s="1"/>
  <c r="AM32" i="43" s="1"/>
  <c r="AN32" i="43" s="1"/>
  <c r="AO32" i="43" s="1"/>
  <c r="AP32" i="43" s="1"/>
  <c r="AQ32" i="43" s="1"/>
  <c r="AR32" i="43" s="1"/>
  <c r="AS32" i="43" s="1"/>
  <c r="AT32" i="43" s="1"/>
  <c r="AU32" i="43" s="1"/>
  <c r="AV32" i="43" s="1"/>
  <c r="D93" i="43"/>
  <c r="E93" i="43" s="1" a="1"/>
  <c r="D81" i="43"/>
  <c r="E81" i="43" s="1" a="1"/>
  <c r="N57" i="43"/>
  <c r="O57" i="43" s="1"/>
  <c r="P57" i="43" s="1"/>
  <c r="Q57" i="43" s="1"/>
  <c r="R57" i="43" s="1"/>
  <c r="S57" i="43" s="1"/>
  <c r="T57" i="43" s="1"/>
  <c r="U57" i="43" s="1"/>
  <c r="V57" i="43" s="1"/>
  <c r="W57" i="43" s="1"/>
  <c r="X57" i="43" s="1"/>
  <c r="Y57" i="43" s="1"/>
  <c r="Z57" i="43" s="1"/>
  <c r="AA57" i="43" s="1"/>
  <c r="AB57" i="43" s="1"/>
  <c r="AC57" i="43" s="1"/>
  <c r="AD57" i="43" s="1"/>
  <c r="AE57" i="43" s="1"/>
  <c r="AF57" i="43" s="1"/>
  <c r="AG57" i="43" s="1"/>
  <c r="AH57" i="43" s="1"/>
  <c r="AI57" i="43" s="1"/>
  <c r="AJ57" i="43" s="1"/>
  <c r="AK57" i="43" s="1"/>
  <c r="AL57" i="43" s="1"/>
  <c r="AM57" i="43" s="1"/>
  <c r="AN57" i="43" s="1"/>
  <c r="AO57" i="43" s="1"/>
  <c r="AP57" i="43" s="1"/>
  <c r="AQ57" i="43" s="1"/>
  <c r="AR57" i="43" s="1"/>
  <c r="AS57" i="43" s="1"/>
  <c r="AT57" i="43" s="1"/>
  <c r="AU57" i="43" s="1"/>
  <c r="AV57" i="43" s="1"/>
  <c r="D118" i="43"/>
  <c r="E118" i="43" s="1" a="1"/>
  <c r="D68" i="43"/>
  <c r="E68" i="43" s="1" a="1"/>
  <c r="N7" i="43"/>
  <c r="O7" i="43" s="1"/>
  <c r="P7" i="43" s="1"/>
  <c r="Q7" i="43" s="1"/>
  <c r="R7" i="43" s="1"/>
  <c r="S7" i="43" s="1"/>
  <c r="T7" i="43" s="1"/>
  <c r="U7" i="43" s="1"/>
  <c r="V7" i="43" s="1"/>
  <c r="W7" i="43" s="1"/>
  <c r="X7" i="43" s="1"/>
  <c r="Y7" i="43" s="1"/>
  <c r="Z7" i="43" s="1"/>
  <c r="AA7" i="43" s="1"/>
  <c r="AB7" i="43" s="1"/>
  <c r="AC7" i="43" s="1"/>
  <c r="AD7" i="43" s="1"/>
  <c r="AE7" i="43" s="1"/>
  <c r="AF7" i="43" s="1"/>
  <c r="AG7" i="43" s="1"/>
  <c r="AH7" i="43" s="1"/>
  <c r="AI7" i="43" s="1"/>
  <c r="AJ7" i="43" s="1"/>
  <c r="AK7" i="43" s="1"/>
  <c r="AL7" i="43" s="1"/>
  <c r="AM7" i="43" s="1"/>
  <c r="AN7" i="43" s="1"/>
  <c r="AO7" i="43" s="1"/>
  <c r="AP7" i="43" s="1"/>
  <c r="AQ7" i="43" s="1"/>
  <c r="AR7" i="43" s="1"/>
  <c r="AS7" i="43" s="1"/>
  <c r="AT7" i="43" s="1"/>
  <c r="AU7" i="43" s="1"/>
  <c r="AV7" i="43" s="1"/>
  <c r="D100" i="43"/>
  <c r="E100" i="43" s="1" a="1"/>
  <c r="N39" i="43"/>
  <c r="O39" i="43" s="1"/>
  <c r="P39" i="43" s="1"/>
  <c r="Q39" i="43" s="1"/>
  <c r="R39" i="43" s="1"/>
  <c r="S39" i="43" s="1"/>
  <c r="T39" i="43" s="1"/>
  <c r="U39" i="43" s="1"/>
  <c r="V39" i="43" s="1"/>
  <c r="W39" i="43" s="1"/>
  <c r="X39" i="43" s="1"/>
  <c r="Y39" i="43" s="1"/>
  <c r="Z39" i="43" s="1"/>
  <c r="AA39" i="43" s="1"/>
  <c r="AB39" i="43" s="1"/>
  <c r="AC39" i="43" s="1"/>
  <c r="AD39" i="43" s="1"/>
  <c r="AE39" i="43" s="1"/>
  <c r="AF39" i="43" s="1"/>
  <c r="AG39" i="43" s="1"/>
  <c r="AH39" i="43" s="1"/>
  <c r="AI39" i="43" s="1"/>
  <c r="AJ39" i="43" s="1"/>
  <c r="AK39" i="43" s="1"/>
  <c r="AL39" i="43" s="1"/>
  <c r="AM39" i="43" s="1"/>
  <c r="AN39" i="43" s="1"/>
  <c r="AO39" i="43" s="1"/>
  <c r="AP39" i="43" s="1"/>
  <c r="AQ39" i="43" s="1"/>
  <c r="AR39" i="43" s="1"/>
  <c r="AS39" i="43" s="1"/>
  <c r="AT39" i="43" s="1"/>
  <c r="AU39" i="43" s="1"/>
  <c r="AV39" i="43" s="1"/>
  <c r="D69" i="43"/>
  <c r="E69" i="43" s="1" a="1"/>
  <c r="N8" i="43"/>
  <c r="O8" i="43" s="1"/>
  <c r="P8" i="43" s="1"/>
  <c r="Q8" i="43" s="1"/>
  <c r="R8" i="43" s="1"/>
  <c r="S8" i="43" s="1"/>
  <c r="T8" i="43" s="1"/>
  <c r="U8" i="43" s="1"/>
  <c r="V8" i="43" s="1"/>
  <c r="W8" i="43" s="1"/>
  <c r="X8" i="43" s="1"/>
  <c r="Y8" i="43" s="1"/>
  <c r="Z8" i="43" s="1"/>
  <c r="AA8" i="43" s="1"/>
  <c r="AB8" i="43" s="1"/>
  <c r="AC8" i="43" s="1"/>
  <c r="AD8" i="43" s="1"/>
  <c r="AE8" i="43" s="1"/>
  <c r="AF8" i="43" s="1"/>
  <c r="AG8" i="43" s="1"/>
  <c r="AH8" i="43" s="1"/>
  <c r="AI8" i="43" s="1"/>
  <c r="AJ8" i="43" s="1"/>
  <c r="AK8" i="43" s="1"/>
  <c r="AL8" i="43" s="1"/>
  <c r="AM8" i="43" s="1"/>
  <c r="AN8" i="43" s="1"/>
  <c r="AO8" i="43" s="1"/>
  <c r="AP8" i="43" s="1"/>
  <c r="AQ8" i="43" s="1"/>
  <c r="AR8" i="43" s="1"/>
  <c r="AS8" i="43" s="1"/>
  <c r="AT8" i="43" s="1"/>
  <c r="AU8" i="43" s="1"/>
  <c r="AV8" i="43" s="1"/>
  <c r="N54" i="43"/>
  <c r="O54" i="43" s="1"/>
  <c r="P54" i="43" s="1"/>
  <c r="Q54" i="43" s="1"/>
  <c r="R54" i="43" s="1"/>
  <c r="S54" i="43" s="1"/>
  <c r="T54" i="43" s="1"/>
  <c r="U54" i="43" s="1"/>
  <c r="V54" i="43" s="1"/>
  <c r="W54" i="43" s="1"/>
  <c r="X54" i="43" s="1"/>
  <c r="Y54" i="43" s="1"/>
  <c r="Z54" i="43" s="1"/>
  <c r="AA54" i="43" s="1"/>
  <c r="AB54" i="43" s="1"/>
  <c r="AC54" i="43" s="1"/>
  <c r="AD54" i="43" s="1"/>
  <c r="AE54" i="43" s="1"/>
  <c r="AF54" i="43" s="1"/>
  <c r="AG54" i="43" s="1"/>
  <c r="AH54" i="43" s="1"/>
  <c r="AI54" i="43" s="1"/>
  <c r="AJ54" i="43" s="1"/>
  <c r="AK54" i="43" s="1"/>
  <c r="AL54" i="43" s="1"/>
  <c r="AM54" i="43" s="1"/>
  <c r="AN54" i="43" s="1"/>
  <c r="AO54" i="43" s="1"/>
  <c r="AP54" i="43" s="1"/>
  <c r="AQ54" i="43" s="1"/>
  <c r="AR54" i="43" s="1"/>
  <c r="AS54" i="43" s="1"/>
  <c r="AT54" i="43" s="1"/>
  <c r="AU54" i="43" s="1"/>
  <c r="AV54" i="43" s="1"/>
  <c r="D115" i="43"/>
  <c r="E115" i="43" s="1" a="1"/>
  <c r="N48" i="43"/>
  <c r="O48" i="43" s="1"/>
  <c r="P48" i="43" s="1"/>
  <c r="Q48" i="43" s="1"/>
  <c r="R48" i="43" s="1"/>
  <c r="S48" i="43" s="1"/>
  <c r="T48" i="43" s="1"/>
  <c r="U48" i="43" s="1"/>
  <c r="V48" i="43" s="1"/>
  <c r="W48" i="43" s="1"/>
  <c r="X48" i="43" s="1"/>
  <c r="Y48" i="43" s="1"/>
  <c r="Z48" i="43" s="1"/>
  <c r="AA48" i="43" s="1"/>
  <c r="AB48" i="43" s="1"/>
  <c r="AC48" i="43" s="1"/>
  <c r="AD48" i="43" s="1"/>
  <c r="AE48" i="43" s="1"/>
  <c r="AF48" i="43" s="1"/>
  <c r="AG48" i="43" s="1"/>
  <c r="AH48" i="43" s="1"/>
  <c r="AI48" i="43" s="1"/>
  <c r="AJ48" i="43" s="1"/>
  <c r="AK48" i="43" s="1"/>
  <c r="AL48" i="43" s="1"/>
  <c r="AM48" i="43" s="1"/>
  <c r="AN48" i="43" s="1"/>
  <c r="AO48" i="43" s="1"/>
  <c r="AP48" i="43" s="1"/>
  <c r="AQ48" i="43" s="1"/>
  <c r="AR48" i="43" s="1"/>
  <c r="AS48" i="43" s="1"/>
  <c r="AT48" i="43" s="1"/>
  <c r="AU48" i="43" s="1"/>
  <c r="AV48" i="43" s="1"/>
  <c r="D109" i="43"/>
  <c r="E109" i="43" s="1" a="1"/>
  <c r="N24" i="43"/>
  <c r="O24" i="43" s="1"/>
  <c r="P24" i="43" s="1"/>
  <c r="Q24" i="43" s="1"/>
  <c r="R24" i="43" s="1"/>
  <c r="S24" i="43" s="1"/>
  <c r="T24" i="43" s="1"/>
  <c r="U24" i="43" s="1"/>
  <c r="V24" i="43" s="1"/>
  <c r="W24" i="43" s="1"/>
  <c r="X24" i="43" s="1"/>
  <c r="Y24" i="43" s="1"/>
  <c r="Z24" i="43" s="1"/>
  <c r="AA24" i="43" s="1"/>
  <c r="AB24" i="43" s="1"/>
  <c r="AC24" i="43" s="1"/>
  <c r="AD24" i="43" s="1"/>
  <c r="AE24" i="43" s="1"/>
  <c r="AF24" i="43" s="1"/>
  <c r="AG24" i="43" s="1"/>
  <c r="AH24" i="43" s="1"/>
  <c r="AI24" i="43" s="1"/>
  <c r="AJ24" i="43" s="1"/>
  <c r="AK24" i="43" s="1"/>
  <c r="AL24" i="43" s="1"/>
  <c r="AM24" i="43" s="1"/>
  <c r="AN24" i="43" s="1"/>
  <c r="AO24" i="43" s="1"/>
  <c r="AP24" i="43" s="1"/>
  <c r="AQ24" i="43" s="1"/>
  <c r="AR24" i="43" s="1"/>
  <c r="AS24" i="43" s="1"/>
  <c r="AT24" i="43" s="1"/>
  <c r="AU24" i="43" s="1"/>
  <c r="AV24" i="43" s="1"/>
  <c r="D85" i="43"/>
  <c r="E85" i="43" s="1" a="1"/>
  <c r="D116" i="43"/>
  <c r="E116" i="43" s="1" a="1"/>
  <c r="N55" i="43"/>
  <c r="O55" i="43" s="1"/>
  <c r="P55" i="43" s="1"/>
  <c r="Q55" i="43" s="1"/>
  <c r="R55" i="43" s="1"/>
  <c r="S55" i="43" s="1"/>
  <c r="T55" i="43" s="1"/>
  <c r="U55" i="43" s="1"/>
  <c r="V55" i="43" s="1"/>
  <c r="W55" i="43" s="1"/>
  <c r="X55" i="43" s="1"/>
  <c r="Y55" i="43" s="1"/>
  <c r="Z55" i="43" s="1"/>
  <c r="AA55" i="43" s="1"/>
  <c r="AB55" i="43" s="1"/>
  <c r="AC55" i="43" s="1"/>
  <c r="AD55" i="43" s="1"/>
  <c r="AE55" i="43" s="1"/>
  <c r="AF55" i="43" s="1"/>
  <c r="AG55" i="43" s="1"/>
  <c r="AH55" i="43" s="1"/>
  <c r="AI55" i="43" s="1"/>
  <c r="AJ55" i="43" s="1"/>
  <c r="AK55" i="43" s="1"/>
  <c r="AL55" i="43" s="1"/>
  <c r="AM55" i="43" s="1"/>
  <c r="AN55" i="43" s="1"/>
  <c r="AO55" i="43" s="1"/>
  <c r="AP55" i="43" s="1"/>
  <c r="AQ55" i="43" s="1"/>
  <c r="AR55" i="43" s="1"/>
  <c r="AS55" i="43" s="1"/>
  <c r="AT55" i="43" s="1"/>
  <c r="AU55" i="43" s="1"/>
  <c r="AV55" i="43" s="1"/>
  <c r="N33" i="43"/>
  <c r="D94" i="43"/>
  <c r="E94" i="43" s="1" a="1"/>
  <c r="O33" i="43"/>
  <c r="P33" i="43" s="1"/>
  <c r="Q33" i="43" s="1"/>
  <c r="R33" i="43" s="1"/>
  <c r="S33" i="43" s="1"/>
  <c r="T33" i="43" s="1"/>
  <c r="U33" i="43" s="1"/>
  <c r="V33" i="43" s="1"/>
  <c r="W33" i="43" s="1"/>
  <c r="X33" i="43" s="1"/>
  <c r="Y33" i="43" s="1"/>
  <c r="Z33" i="43" s="1"/>
  <c r="AA33" i="43" s="1"/>
  <c r="AB33" i="43" s="1"/>
  <c r="AC33" i="43" s="1"/>
  <c r="AD33" i="43" s="1"/>
  <c r="AE33" i="43" s="1"/>
  <c r="AF33" i="43" s="1"/>
  <c r="AG33" i="43" s="1"/>
  <c r="AH33" i="43" s="1"/>
  <c r="AI33" i="43" s="1"/>
  <c r="AJ33" i="43" s="1"/>
  <c r="AK33" i="43" s="1"/>
  <c r="AL33" i="43" s="1"/>
  <c r="AM33" i="43" s="1"/>
  <c r="AN33" i="43" s="1"/>
  <c r="AO33" i="43" s="1"/>
  <c r="AP33" i="43" s="1"/>
  <c r="AQ33" i="43" s="1"/>
  <c r="AR33" i="43" s="1"/>
  <c r="AS33" i="43" s="1"/>
  <c r="AT33" i="43" s="1"/>
  <c r="AU33" i="43" s="1"/>
  <c r="AV33" i="43" s="1"/>
  <c r="D80" i="43"/>
  <c r="E80" i="43" s="1" a="1"/>
  <c r="D66" i="43"/>
  <c r="E66" i="43" s="1" a="1"/>
  <c r="N4" i="43"/>
  <c r="O4" i="43" s="1"/>
  <c r="P4" i="43" s="1"/>
  <c r="Q4" i="43" s="1"/>
  <c r="R4" i="43" s="1"/>
  <c r="S4" i="43" s="1"/>
  <c r="T4" i="43" s="1"/>
  <c r="U4" i="43" s="1"/>
  <c r="V4" i="43" s="1"/>
  <c r="W4" i="43" s="1"/>
  <c r="X4" i="43" s="1"/>
  <c r="Y4" i="43" s="1"/>
  <c r="Z4" i="43" s="1"/>
  <c r="AA4" i="43" s="1"/>
  <c r="AB4" i="43" s="1"/>
  <c r="AC4" i="43" s="1"/>
  <c r="AD4" i="43" s="1"/>
  <c r="AE4" i="43" s="1"/>
  <c r="AF4" i="43" s="1"/>
  <c r="AG4" i="43" s="1"/>
  <c r="AH4" i="43" s="1"/>
  <c r="AI4" i="43" s="1"/>
  <c r="AJ4" i="43" s="1"/>
  <c r="AK4" i="43" s="1"/>
  <c r="AL4" i="43" s="1"/>
  <c r="AM4" i="43" s="1"/>
  <c r="AN4" i="43" s="1"/>
  <c r="AO4" i="43" s="1"/>
  <c r="AP4" i="43" s="1"/>
  <c r="AQ4" i="43" s="1"/>
  <c r="AR4" i="43" s="1"/>
  <c r="AS4" i="43" s="1"/>
  <c r="AT4" i="43" s="1"/>
  <c r="AU4" i="43" s="1"/>
  <c r="AV4" i="43" s="1"/>
  <c r="D65" i="43"/>
  <c r="E65" i="43" s="1" a="1"/>
  <c r="N40" i="43"/>
  <c r="O40" i="43" s="1"/>
  <c r="P40" i="43" s="1"/>
  <c r="Q40" i="43" s="1"/>
  <c r="R40" i="43" s="1"/>
  <c r="S40" i="43" s="1"/>
  <c r="T40" i="43" s="1"/>
  <c r="U40" i="43" s="1"/>
  <c r="V40" i="43" s="1"/>
  <c r="W40" i="43" s="1"/>
  <c r="X40" i="43" s="1"/>
  <c r="Y40" i="43" s="1"/>
  <c r="Z40" i="43" s="1"/>
  <c r="AA40" i="43" s="1"/>
  <c r="AB40" i="43" s="1"/>
  <c r="AC40" i="43" s="1"/>
  <c r="AD40" i="43" s="1"/>
  <c r="AE40" i="43" s="1"/>
  <c r="AF40" i="43" s="1"/>
  <c r="AG40" i="43" s="1"/>
  <c r="AH40" i="43" s="1"/>
  <c r="AI40" i="43" s="1"/>
  <c r="AJ40" i="43" s="1"/>
  <c r="AK40" i="43" s="1"/>
  <c r="AL40" i="43" s="1"/>
  <c r="AM40" i="43" s="1"/>
  <c r="AN40" i="43" s="1"/>
  <c r="AO40" i="43" s="1"/>
  <c r="AP40" i="43" s="1"/>
  <c r="AQ40" i="43" s="1"/>
  <c r="AR40" i="43" s="1"/>
  <c r="AS40" i="43" s="1"/>
  <c r="AT40" i="43" s="1"/>
  <c r="AU40" i="43" s="1"/>
  <c r="AV40" i="43" s="1"/>
  <c r="D101" i="43"/>
  <c r="E101" i="43" s="1" a="1"/>
  <c r="N49" i="43"/>
  <c r="O49" i="43" s="1"/>
  <c r="P49" i="43" s="1"/>
  <c r="Q49" i="43" s="1"/>
  <c r="R49" i="43" s="1"/>
  <c r="S49" i="43" s="1"/>
  <c r="T49" i="43" s="1"/>
  <c r="U49" i="43" s="1"/>
  <c r="V49" i="43" s="1"/>
  <c r="W49" i="43" s="1"/>
  <c r="X49" i="43" s="1"/>
  <c r="Y49" i="43" s="1"/>
  <c r="Z49" i="43" s="1"/>
  <c r="AA49" i="43" s="1"/>
  <c r="AB49" i="43" s="1"/>
  <c r="AC49" i="43" s="1"/>
  <c r="AD49" i="43" s="1"/>
  <c r="AE49" i="43" s="1"/>
  <c r="AF49" i="43" s="1"/>
  <c r="AG49" i="43" s="1"/>
  <c r="AH49" i="43" s="1"/>
  <c r="AI49" i="43" s="1"/>
  <c r="AJ49" i="43" s="1"/>
  <c r="AK49" i="43" s="1"/>
  <c r="AL49" i="43" s="1"/>
  <c r="AM49" i="43" s="1"/>
  <c r="AN49" i="43" s="1"/>
  <c r="AO49" i="43" s="1"/>
  <c r="AP49" i="43" s="1"/>
  <c r="AQ49" i="43" s="1"/>
  <c r="AR49" i="43" s="1"/>
  <c r="AS49" i="43" s="1"/>
  <c r="AT49" i="43" s="1"/>
  <c r="AU49" i="43" s="1"/>
  <c r="AV49" i="43" s="1"/>
  <c r="D110" i="43"/>
  <c r="E110" i="43" s="1" a="1"/>
  <c r="D86" i="43"/>
  <c r="E86" i="43" s="1" a="1"/>
  <c r="N25" i="43"/>
  <c r="O25" i="43" s="1"/>
  <c r="P25" i="43" s="1"/>
  <c r="Q25" i="43" s="1"/>
  <c r="R25" i="43" s="1"/>
  <c r="S25" i="43" s="1"/>
  <c r="T25" i="43" s="1"/>
  <c r="U25" i="43" s="1"/>
  <c r="V25" i="43" s="1"/>
  <c r="W25" i="43" s="1"/>
  <c r="X25" i="43" s="1"/>
  <c r="Y25" i="43" s="1"/>
  <c r="Z25" i="43" s="1"/>
  <c r="AA25" i="43" s="1"/>
  <c r="AB25" i="43" s="1"/>
  <c r="AC25" i="43" s="1"/>
  <c r="AD25" i="43" s="1"/>
  <c r="AE25" i="43" s="1"/>
  <c r="AF25" i="43" s="1"/>
  <c r="AG25" i="43" s="1"/>
  <c r="AH25" i="43" s="1"/>
  <c r="AI25" i="43" s="1"/>
  <c r="AJ25" i="43" s="1"/>
  <c r="AK25" i="43" s="1"/>
  <c r="AL25" i="43" s="1"/>
  <c r="AM25" i="43" s="1"/>
  <c r="AN25" i="43" s="1"/>
  <c r="AO25" i="43" s="1"/>
  <c r="AP25" i="43" s="1"/>
  <c r="AQ25" i="43" s="1"/>
  <c r="AR25" i="43" s="1"/>
  <c r="AS25" i="43" s="1"/>
  <c r="AT25" i="43" s="1"/>
  <c r="AU25" i="43" s="1"/>
  <c r="AV25" i="43" s="1"/>
  <c r="N56" i="43"/>
  <c r="O56" i="43" s="1"/>
  <c r="P56" i="43" s="1"/>
  <c r="Q56" i="43" s="1"/>
  <c r="R56" i="43" s="1"/>
  <c r="S56" i="43" s="1"/>
  <c r="T56" i="43" s="1"/>
  <c r="U56" i="43" s="1"/>
  <c r="V56" i="43" s="1"/>
  <c r="W56" i="43" s="1"/>
  <c r="X56" i="43" s="1"/>
  <c r="Y56" i="43" s="1"/>
  <c r="Z56" i="43" s="1"/>
  <c r="AA56" i="43" s="1"/>
  <c r="AB56" i="43" s="1"/>
  <c r="AC56" i="43" s="1"/>
  <c r="AD56" i="43" s="1"/>
  <c r="AE56" i="43" s="1"/>
  <c r="AF56" i="43" s="1"/>
  <c r="AG56" i="43" s="1"/>
  <c r="AH56" i="43" s="1"/>
  <c r="AI56" i="43" s="1"/>
  <c r="AJ56" i="43" s="1"/>
  <c r="AK56" i="43" s="1"/>
  <c r="AL56" i="43" s="1"/>
  <c r="AM56" i="43" s="1"/>
  <c r="AN56" i="43" s="1"/>
  <c r="AO56" i="43" s="1"/>
  <c r="AP56" i="43" s="1"/>
  <c r="AQ56" i="43" s="1"/>
  <c r="AR56" i="43" s="1"/>
  <c r="AS56" i="43" s="1"/>
  <c r="AT56" i="43" s="1"/>
  <c r="AU56" i="43" s="1"/>
  <c r="AV56" i="43" s="1"/>
  <c r="D117" i="43"/>
  <c r="E117" i="43" s="1" a="1"/>
  <c r="N38" i="43"/>
  <c r="O38" i="43" s="1"/>
  <c r="P38" i="43" s="1"/>
  <c r="Q38" i="43" s="1"/>
  <c r="R38" i="43" s="1"/>
  <c r="S38" i="43" s="1"/>
  <c r="T38" i="43" s="1"/>
  <c r="U38" i="43" s="1"/>
  <c r="V38" i="43" s="1"/>
  <c r="W38" i="43" s="1"/>
  <c r="X38" i="43" s="1"/>
  <c r="Y38" i="43" s="1"/>
  <c r="Z38" i="43" s="1"/>
  <c r="AA38" i="43" s="1"/>
  <c r="AB38" i="43" s="1"/>
  <c r="AC38" i="43" s="1"/>
  <c r="AD38" i="43" s="1"/>
  <c r="AE38" i="43" s="1"/>
  <c r="AF38" i="43" s="1"/>
  <c r="AG38" i="43" s="1"/>
  <c r="AH38" i="43" s="1"/>
  <c r="AI38" i="43" s="1"/>
  <c r="AJ38" i="43" s="1"/>
  <c r="AK38" i="43" s="1"/>
  <c r="AL38" i="43" s="1"/>
  <c r="AM38" i="43" s="1"/>
  <c r="AN38" i="43" s="1"/>
  <c r="AO38" i="43" s="1"/>
  <c r="AP38" i="43" s="1"/>
  <c r="AQ38" i="43" s="1"/>
  <c r="AR38" i="43" s="1"/>
  <c r="AS38" i="43" s="1"/>
  <c r="AT38" i="43" s="1"/>
  <c r="AU38" i="43" s="1"/>
  <c r="AV38" i="43" s="1"/>
  <c r="D99" i="43"/>
  <c r="E99" i="43" s="1" a="1"/>
  <c r="N41" i="43"/>
  <c r="O41" i="43" s="1"/>
  <c r="P41" i="43" s="1"/>
  <c r="Q41" i="43" s="1"/>
  <c r="R41" i="43" s="1"/>
  <c r="S41" i="43" s="1"/>
  <c r="T41" i="43" s="1"/>
  <c r="U41" i="43" s="1"/>
  <c r="V41" i="43" s="1"/>
  <c r="W41" i="43" s="1"/>
  <c r="X41" i="43" s="1"/>
  <c r="Y41" i="43" s="1"/>
  <c r="Z41" i="43" s="1"/>
  <c r="AA41" i="43" s="1"/>
  <c r="AB41" i="43" s="1"/>
  <c r="AC41" i="43" s="1"/>
  <c r="AD41" i="43" s="1"/>
  <c r="AE41" i="43" s="1"/>
  <c r="AF41" i="43" s="1"/>
  <c r="AG41" i="43" s="1"/>
  <c r="AH41" i="43" s="1"/>
  <c r="AI41" i="43" s="1"/>
  <c r="AJ41" i="43" s="1"/>
  <c r="AK41" i="43" s="1"/>
  <c r="AL41" i="43" s="1"/>
  <c r="AM41" i="43" s="1"/>
  <c r="AN41" i="43" s="1"/>
  <c r="AO41" i="43" s="1"/>
  <c r="AP41" i="43" s="1"/>
  <c r="AQ41" i="43" s="1"/>
  <c r="AR41" i="43" s="1"/>
  <c r="AS41" i="43" s="1"/>
  <c r="AT41" i="43" s="1"/>
  <c r="AU41" i="43" s="1"/>
  <c r="AV41" i="43" s="1"/>
  <c r="D102" i="43"/>
  <c r="E102" i="43" s="1" a="1"/>
  <c r="D70" i="43"/>
  <c r="E70" i="43" s="1" a="1"/>
  <c r="N9" i="43"/>
  <c r="O9" i="43" s="1"/>
  <c r="P9" i="43" s="1"/>
  <c r="Q9" i="43" s="1"/>
  <c r="R9" i="43" s="1"/>
  <c r="S9" i="43" s="1"/>
  <c r="T9" i="43" s="1"/>
  <c r="U9" i="43" s="1"/>
  <c r="V9" i="43" s="1"/>
  <c r="W9" i="43" s="1"/>
  <c r="X9" i="43" s="1"/>
  <c r="Y9" i="43" s="1"/>
  <c r="Z9" i="43" s="1"/>
  <c r="AA9" i="43" s="1"/>
  <c r="AB9" i="43" s="1"/>
  <c r="AC9" i="43" s="1"/>
  <c r="AD9" i="43" s="1"/>
  <c r="AE9" i="43" s="1"/>
  <c r="AF9" i="43" s="1"/>
  <c r="AG9" i="43" s="1"/>
  <c r="AH9" i="43" s="1"/>
  <c r="AI9" i="43" s="1"/>
  <c r="AJ9" i="43" s="1"/>
  <c r="AK9" i="43" s="1"/>
  <c r="AL9" i="43" s="1"/>
  <c r="AM9" i="43" s="1"/>
  <c r="AN9" i="43" s="1"/>
  <c r="AO9" i="43" s="1"/>
  <c r="AP9" i="43" s="1"/>
  <c r="AQ9" i="43" s="1"/>
  <c r="AR9" i="43" s="1"/>
  <c r="AS9" i="43" s="1"/>
  <c r="AT9" i="43" s="1"/>
  <c r="AU9" i="43" s="1"/>
  <c r="AV9" i="43" s="1"/>
  <c r="N2" i="43"/>
  <c r="O2" i="43" s="1"/>
  <c r="P2" i="43" s="1"/>
  <c r="Q2" i="43" s="1"/>
  <c r="R2" i="43" s="1"/>
  <c r="S2" i="43" s="1"/>
  <c r="T2" i="43" s="1"/>
  <c r="U2" i="43" s="1"/>
  <c r="V2" i="43" s="1"/>
  <c r="W2" i="43" s="1"/>
  <c r="X2" i="43" s="1"/>
  <c r="Y2" i="43" s="1"/>
  <c r="Z2" i="43" s="1"/>
  <c r="AA2" i="43" s="1"/>
  <c r="AB2" i="43" s="1"/>
  <c r="AC2" i="43" s="1"/>
  <c r="AD2" i="43" s="1"/>
  <c r="AE2" i="43" s="1"/>
  <c r="AF2" i="43" s="1"/>
  <c r="AG2" i="43" s="1"/>
  <c r="AH2" i="43" s="1"/>
  <c r="AI2" i="43" s="1"/>
  <c r="AJ2" i="43" s="1"/>
  <c r="AK2" i="43" s="1"/>
  <c r="AL2" i="43" s="1"/>
  <c r="AM2" i="43" s="1"/>
  <c r="AN2" i="43" s="1"/>
  <c r="AO2" i="43" s="1"/>
  <c r="AP2" i="43" s="1"/>
  <c r="AQ2" i="43" s="1"/>
  <c r="AR2" i="43" s="1"/>
  <c r="AS2" i="43" s="1"/>
  <c r="AT2" i="43" s="1"/>
  <c r="AU2" i="43" s="1"/>
  <c r="AV2" i="43" s="1"/>
  <c r="D63" i="43"/>
  <c r="E63" i="43" s="1" a="1"/>
  <c r="D107" i="43"/>
  <c r="E107" i="43" s="1" a="1"/>
  <c r="N46" i="43"/>
  <c r="O46" i="43" s="1"/>
  <c r="P46" i="43" s="1"/>
  <c r="Q46" i="43" s="1"/>
  <c r="R46" i="43" s="1"/>
  <c r="S46" i="43" s="1"/>
  <c r="T46" i="43" s="1"/>
  <c r="U46" i="43" s="1"/>
  <c r="V46" i="43" s="1"/>
  <c r="W46" i="43" s="1"/>
  <c r="X46" i="43" s="1"/>
  <c r="Y46" i="43" s="1"/>
  <c r="Z46" i="43" s="1"/>
  <c r="AA46" i="43" s="1"/>
  <c r="AB46" i="43" s="1"/>
  <c r="AC46" i="43" s="1"/>
  <c r="AD46" i="43" s="1"/>
  <c r="AE46" i="43" s="1"/>
  <c r="AF46" i="43" s="1"/>
  <c r="AG46" i="43" s="1"/>
  <c r="AH46" i="43" s="1"/>
  <c r="AI46" i="43" s="1"/>
  <c r="AJ46" i="43" s="1"/>
  <c r="AK46" i="43" s="1"/>
  <c r="AL46" i="43" s="1"/>
  <c r="AM46" i="43" s="1"/>
  <c r="AN46" i="43" s="1"/>
  <c r="AO46" i="43" s="1"/>
  <c r="AP46" i="43" s="1"/>
  <c r="AQ46" i="43" s="1"/>
  <c r="AR46" i="43" s="1"/>
  <c r="AS46" i="43" s="1"/>
  <c r="AT46" i="43" s="1"/>
  <c r="AU46" i="43" s="1"/>
  <c r="AV46" i="43" s="1"/>
  <c r="N30" i="43"/>
  <c r="O30" i="43" s="1"/>
  <c r="P30" i="43" s="1"/>
  <c r="Q30" i="43" s="1"/>
  <c r="R30" i="43" s="1"/>
  <c r="S30" i="43" s="1"/>
  <c r="T30" i="43" s="1"/>
  <c r="U30" i="43" s="1"/>
  <c r="V30" i="43" s="1"/>
  <c r="W30" i="43" s="1"/>
  <c r="X30" i="43" s="1"/>
  <c r="Y30" i="43" s="1"/>
  <c r="Z30" i="43" s="1"/>
  <c r="AA30" i="43" s="1"/>
  <c r="AB30" i="43" s="1"/>
  <c r="AC30" i="43" s="1"/>
  <c r="AD30" i="43" s="1"/>
  <c r="AE30" i="43" s="1"/>
  <c r="AF30" i="43" s="1"/>
  <c r="AG30" i="43" s="1"/>
  <c r="AH30" i="43" s="1"/>
  <c r="AI30" i="43" s="1"/>
  <c r="AJ30" i="43" s="1"/>
  <c r="AK30" i="43" s="1"/>
  <c r="AL30" i="43" s="1"/>
  <c r="AM30" i="43" s="1"/>
  <c r="AN30" i="43" s="1"/>
  <c r="AO30" i="43" s="1"/>
  <c r="AP30" i="43" s="1"/>
  <c r="AQ30" i="43" s="1"/>
  <c r="AR30" i="43" s="1"/>
  <c r="AS30" i="43" s="1"/>
  <c r="AT30" i="43" s="1"/>
  <c r="AU30" i="43" s="1"/>
  <c r="AV30" i="43" s="1"/>
  <c r="D91" i="43"/>
  <c r="E91" i="43" s="1" a="1"/>
  <c r="D108" i="43"/>
  <c r="E108" i="43" s="1" a="1"/>
  <c r="N47" i="43"/>
  <c r="O47" i="43" s="1"/>
  <c r="P47" i="43" s="1"/>
  <c r="Q47" i="43" s="1"/>
  <c r="R47" i="43" s="1"/>
  <c r="S47" i="43" s="1"/>
  <c r="T47" i="43" s="1"/>
  <c r="U47" i="43" s="1"/>
  <c r="V47" i="43" s="1"/>
  <c r="W47" i="43" s="1"/>
  <c r="X47" i="43" s="1"/>
  <c r="Y47" i="43" s="1"/>
  <c r="Z47" i="43" s="1"/>
  <c r="AA47" i="43" s="1"/>
  <c r="AB47" i="43" s="1"/>
  <c r="AC47" i="43" s="1"/>
  <c r="AD47" i="43" s="1"/>
  <c r="AE47" i="43" s="1"/>
  <c r="AF47" i="43" s="1"/>
  <c r="AG47" i="43" s="1"/>
  <c r="AH47" i="43" s="1"/>
  <c r="AI47" i="43" s="1"/>
  <c r="AJ47" i="43" s="1"/>
  <c r="AK47" i="43" s="1"/>
  <c r="AL47" i="43" s="1"/>
  <c r="AM47" i="43" s="1"/>
  <c r="AN47" i="43" s="1"/>
  <c r="AO47" i="43" s="1"/>
  <c r="AP47" i="43" s="1"/>
  <c r="AQ47" i="43" s="1"/>
  <c r="AR47" i="43" s="1"/>
  <c r="AS47" i="43" s="1"/>
  <c r="AT47" i="43" s="1"/>
  <c r="AU47" i="43" s="1"/>
  <c r="AV47" i="43" s="1"/>
  <c r="D92" i="43"/>
  <c r="E92" i="43" s="1" a="1"/>
  <c r="N31" i="43"/>
  <c r="O31" i="43" s="1"/>
  <c r="P31" i="43" s="1"/>
  <c r="Q31" i="43" s="1"/>
  <c r="R31" i="43" s="1"/>
  <c r="S31" i="43" s="1"/>
  <c r="T31" i="43" s="1"/>
  <c r="U31" i="43" s="1"/>
  <c r="V31" i="43" s="1"/>
  <c r="W31" i="43" s="1"/>
  <c r="X31" i="43" s="1"/>
  <c r="Y31" i="43" s="1"/>
  <c r="Z31" i="43" s="1"/>
  <c r="AA31" i="43" s="1"/>
  <c r="AB31" i="43" s="1"/>
  <c r="AC31" i="43" s="1"/>
  <c r="AD31" i="43" s="1"/>
  <c r="AE31" i="43" s="1"/>
  <c r="AF31" i="43" s="1"/>
  <c r="AG31" i="43" s="1"/>
  <c r="AH31" i="43" s="1"/>
  <c r="AI31" i="43" s="1"/>
  <c r="AJ31" i="43" s="1"/>
  <c r="AK31" i="43" s="1"/>
  <c r="AL31" i="43" s="1"/>
  <c r="AM31" i="43" s="1"/>
  <c r="AN31" i="43" s="1"/>
  <c r="AO31" i="43" s="1"/>
  <c r="AP31" i="43" s="1"/>
  <c r="AQ31" i="43" s="1"/>
  <c r="AR31" i="43" s="1"/>
  <c r="AS31" i="43" s="1"/>
  <c r="AT31" i="43" s="1"/>
  <c r="AU31" i="43" s="1"/>
  <c r="AV31" i="43" s="1"/>
  <c r="D64" i="43"/>
  <c r="E64" i="43" s="1" a="1"/>
  <c r="N3" i="43"/>
  <c r="O3" i="43"/>
  <c r="P3" i="43" s="1"/>
  <c r="Q3" i="43" s="1"/>
  <c r="R3" i="43" s="1"/>
  <c r="S3" i="43" s="1"/>
  <c r="T3" i="43" s="1"/>
  <c r="U3" i="43" s="1"/>
  <c r="V3" i="43" s="1"/>
  <c r="W3" i="43" s="1"/>
  <c r="X3" i="43" s="1"/>
  <c r="Y3" i="43" s="1"/>
  <c r="Z3" i="43" s="1"/>
  <c r="AA3" i="43" s="1"/>
  <c r="AB3" i="43" s="1"/>
  <c r="AC3" i="43" s="1"/>
  <c r="AD3" i="43" s="1"/>
  <c r="AE3" i="43" s="1"/>
  <c r="AF3" i="43" s="1"/>
  <c r="AG3" i="43" s="1"/>
  <c r="AH3" i="43" s="1"/>
  <c r="AI3" i="43" s="1"/>
  <c r="AJ3" i="43" s="1"/>
  <c r="AK3" i="43" s="1"/>
  <c r="AL3" i="43" s="1"/>
  <c r="AM3" i="43" s="1"/>
  <c r="AN3" i="43" s="1"/>
  <c r="AO3" i="43" s="1"/>
  <c r="AP3" i="43" s="1"/>
  <c r="AQ3" i="43" s="1"/>
  <c r="AR3" i="43" s="1"/>
  <c r="AS3" i="43" s="1"/>
  <c r="AT3" i="43" s="1"/>
  <c r="AU3" i="43" s="1"/>
  <c r="AV3" i="43" s="1"/>
  <c r="N6" i="43"/>
  <c r="O6" i="43" s="1"/>
  <c r="P6" i="43" s="1"/>
  <c r="Q6" i="43" s="1"/>
  <c r="R6" i="43" s="1"/>
  <c r="S6" i="43" s="1"/>
  <c r="T6" i="43" s="1"/>
  <c r="U6" i="43" s="1"/>
  <c r="V6" i="43" s="1"/>
  <c r="W6" i="43" s="1"/>
  <c r="X6" i="43" s="1"/>
  <c r="Y6" i="43" s="1"/>
  <c r="Z6" i="43" s="1"/>
  <c r="AA6" i="43" s="1"/>
  <c r="AB6" i="43" s="1"/>
  <c r="AC6" i="43" s="1"/>
  <c r="AD6" i="43" s="1"/>
  <c r="AE6" i="43" s="1"/>
  <c r="AF6" i="43" s="1"/>
  <c r="AG6" i="43" s="1"/>
  <c r="AH6" i="43" s="1"/>
  <c r="AI6" i="43" s="1"/>
  <c r="AJ6" i="43" s="1"/>
  <c r="AK6" i="43" s="1"/>
  <c r="AL6" i="43" s="1"/>
  <c r="AM6" i="43" s="1"/>
  <c r="AN6" i="43" s="1"/>
  <c r="AO6" i="43" s="1"/>
  <c r="AP6" i="43" s="1"/>
  <c r="AQ6" i="43" s="1"/>
  <c r="AR6" i="43" s="1"/>
  <c r="AS6" i="43" s="1"/>
  <c r="AT6" i="43" s="1"/>
  <c r="AU6" i="43" s="1"/>
  <c r="AV6" i="43" s="1"/>
  <c r="D67" i="43"/>
  <c r="E67" i="43" s="1" a="1"/>
  <c r="D113" i="43"/>
  <c r="E113" i="43" s="1" a="1"/>
  <c r="N52" i="43"/>
  <c r="O52" i="43"/>
  <c r="P52" i="43" s="1"/>
  <c r="Q52" i="43" s="1"/>
  <c r="R52" i="43" s="1"/>
  <c r="S52" i="43" s="1"/>
  <c r="T52" i="43" s="1"/>
  <c r="U52" i="43" s="1"/>
  <c r="V52" i="43" s="1"/>
  <c r="W52" i="43" s="1"/>
  <c r="X52" i="43" s="1"/>
  <c r="Y52" i="43" s="1"/>
  <c r="Z52" i="43" s="1"/>
  <c r="AA52" i="43" s="1"/>
  <c r="AB52" i="43" s="1"/>
  <c r="AC52" i="43" s="1"/>
  <c r="AD52" i="43" s="1"/>
  <c r="AE52" i="43" s="1"/>
  <c r="AF52" i="43" s="1"/>
  <c r="AG52" i="43" s="1"/>
  <c r="AH52" i="43" s="1"/>
  <c r="AI52" i="43" s="1"/>
  <c r="AJ52" i="43" s="1"/>
  <c r="AK52" i="43" s="1"/>
  <c r="AL52" i="43" s="1"/>
  <c r="AM52" i="43" s="1"/>
  <c r="AN52" i="43" s="1"/>
  <c r="AO52" i="43" s="1"/>
  <c r="AP52" i="43" s="1"/>
  <c r="AQ52" i="43" s="1"/>
  <c r="AR52" i="43" s="1"/>
  <c r="AS52" i="43" s="1"/>
  <c r="AT52" i="43" s="1"/>
  <c r="AU52" i="43" s="1"/>
  <c r="AV52" i="43" s="1"/>
  <c r="D105" i="43"/>
  <c r="E105" i="43" s="1" a="1"/>
  <c r="N44" i="43"/>
  <c r="O44" i="43" s="1"/>
  <c r="P44" i="43" s="1"/>
  <c r="Q44" i="43" s="1"/>
  <c r="R44" i="43" s="1"/>
  <c r="S44" i="43" s="1"/>
  <c r="T44" i="43" s="1"/>
  <c r="U44" i="43" s="1"/>
  <c r="V44" i="43" s="1"/>
  <c r="W44" i="43" s="1"/>
  <c r="X44" i="43" s="1"/>
  <c r="Y44" i="43" s="1"/>
  <c r="Z44" i="43" s="1"/>
  <c r="AA44" i="43" s="1"/>
  <c r="AB44" i="43" s="1"/>
  <c r="AC44" i="43" s="1"/>
  <c r="AD44" i="43" s="1"/>
  <c r="AE44" i="43" s="1"/>
  <c r="AF44" i="43" s="1"/>
  <c r="AG44" i="43" s="1"/>
  <c r="AH44" i="43" s="1"/>
  <c r="AI44" i="43" s="1"/>
  <c r="AJ44" i="43" s="1"/>
  <c r="AK44" i="43" s="1"/>
  <c r="AL44" i="43" s="1"/>
  <c r="AM44" i="43" s="1"/>
  <c r="AN44" i="43" s="1"/>
  <c r="AO44" i="43" s="1"/>
  <c r="AP44" i="43" s="1"/>
  <c r="AQ44" i="43" s="1"/>
  <c r="AR44" i="43" s="1"/>
  <c r="AS44" i="43" s="1"/>
  <c r="AT44" i="43" s="1"/>
  <c r="AU44" i="43" s="1"/>
  <c r="AV44" i="43" s="1"/>
  <c r="D97" i="43"/>
  <c r="E97" i="43" s="1" a="1"/>
  <c r="N36" i="43"/>
  <c r="O36" i="43" s="1"/>
  <c r="P36" i="43" s="1"/>
  <c r="Q36" i="43" s="1"/>
  <c r="R36" i="43" s="1"/>
  <c r="S36" i="43" s="1"/>
  <c r="T36" i="43" s="1"/>
  <c r="U36" i="43" s="1"/>
  <c r="V36" i="43" s="1"/>
  <c r="W36" i="43" s="1"/>
  <c r="X36" i="43" s="1"/>
  <c r="Y36" i="43" s="1"/>
  <c r="Z36" i="43" s="1"/>
  <c r="AA36" i="43" s="1"/>
  <c r="AB36" i="43" s="1"/>
  <c r="AC36" i="43" s="1"/>
  <c r="AD36" i="43" s="1"/>
  <c r="AE36" i="43" s="1"/>
  <c r="AF36" i="43" s="1"/>
  <c r="AG36" i="43" s="1"/>
  <c r="AH36" i="43" s="1"/>
  <c r="AI36" i="43" s="1"/>
  <c r="AJ36" i="43" s="1"/>
  <c r="AK36" i="43" s="1"/>
  <c r="AL36" i="43" s="1"/>
  <c r="AM36" i="43" s="1"/>
  <c r="AN36" i="43" s="1"/>
  <c r="AO36" i="43" s="1"/>
  <c r="AP36" i="43" s="1"/>
  <c r="AQ36" i="43" s="1"/>
  <c r="AR36" i="43" s="1"/>
  <c r="AS36" i="43" s="1"/>
  <c r="AT36" i="43" s="1"/>
  <c r="AU36" i="43" s="1"/>
  <c r="AV36" i="43" s="1"/>
  <c r="D89" i="43"/>
  <c r="E89" i="43" s="1" a="1"/>
  <c r="N28" i="43"/>
  <c r="O28" i="43" s="1"/>
  <c r="P28" i="43" s="1"/>
  <c r="Q28" i="43" s="1"/>
  <c r="R28" i="43" s="1"/>
  <c r="S28" i="43" s="1"/>
  <c r="T28" i="43" s="1"/>
  <c r="U28" i="43" s="1"/>
  <c r="V28" i="43" s="1"/>
  <c r="W28" i="43" s="1"/>
  <c r="X28" i="43" s="1"/>
  <c r="Y28" i="43" s="1"/>
  <c r="Z28" i="43" s="1"/>
  <c r="AA28" i="43" s="1"/>
  <c r="AB28" i="43" s="1"/>
  <c r="AC28" i="43" s="1"/>
  <c r="AD28" i="43" s="1"/>
  <c r="AE28" i="43" s="1"/>
  <c r="AF28" i="43" s="1"/>
  <c r="AG28" i="43" s="1"/>
  <c r="AH28" i="43" s="1"/>
  <c r="AI28" i="43" s="1"/>
  <c r="AJ28" i="43" s="1"/>
  <c r="AK28" i="43" s="1"/>
  <c r="AL28" i="43" s="1"/>
  <c r="AM28" i="43" s="1"/>
  <c r="AN28" i="43" s="1"/>
  <c r="AO28" i="43" s="1"/>
  <c r="AP28" i="43" s="1"/>
  <c r="AQ28" i="43" s="1"/>
  <c r="AR28" i="43" s="1"/>
  <c r="AS28" i="43" s="1"/>
  <c r="AT28" i="43" s="1"/>
  <c r="AU28" i="43" s="1"/>
  <c r="AV28" i="43" s="1"/>
  <c r="D114" i="43"/>
  <c r="E114" i="43" s="1" a="1"/>
  <c r="N53" i="43"/>
  <c r="O53" i="43" s="1"/>
  <c r="P53" i="43" s="1"/>
  <c r="Q53" i="43" s="1"/>
  <c r="R53" i="43" s="1"/>
  <c r="S53" i="43" s="1"/>
  <c r="T53" i="43" s="1"/>
  <c r="U53" i="43" s="1"/>
  <c r="V53" i="43" s="1"/>
  <c r="W53" i="43" s="1"/>
  <c r="X53" i="43" s="1"/>
  <c r="Y53" i="43" s="1"/>
  <c r="Z53" i="43" s="1"/>
  <c r="AA53" i="43" s="1"/>
  <c r="AB53" i="43" s="1"/>
  <c r="AC53" i="43" s="1"/>
  <c r="AD53" i="43" s="1"/>
  <c r="AE53" i="43" s="1"/>
  <c r="AF53" i="43" s="1"/>
  <c r="AG53" i="43" s="1"/>
  <c r="AH53" i="43" s="1"/>
  <c r="AI53" i="43" s="1"/>
  <c r="AJ53" i="43" s="1"/>
  <c r="AK53" i="43" s="1"/>
  <c r="AL53" i="43" s="1"/>
  <c r="AM53" i="43" s="1"/>
  <c r="AN53" i="43" s="1"/>
  <c r="AO53" i="43" s="1"/>
  <c r="AP53" i="43" s="1"/>
  <c r="AQ53" i="43" s="1"/>
  <c r="AR53" i="43" s="1"/>
  <c r="AS53" i="43" s="1"/>
  <c r="AT53" i="43" s="1"/>
  <c r="AU53" i="43" s="1"/>
  <c r="AV53" i="43" s="1"/>
  <c r="D106" i="43"/>
  <c r="E106" i="43" s="1" a="1"/>
  <c r="N45" i="43"/>
  <c r="O45" i="43" s="1"/>
  <c r="P45" i="43" s="1"/>
  <c r="Q45" i="43" s="1"/>
  <c r="R45" i="43" s="1"/>
  <c r="S45" i="43" s="1"/>
  <c r="T45" i="43" s="1"/>
  <c r="U45" i="43" s="1"/>
  <c r="V45" i="43" s="1"/>
  <c r="W45" i="43" s="1"/>
  <c r="X45" i="43" s="1"/>
  <c r="Y45" i="43" s="1"/>
  <c r="Z45" i="43" s="1"/>
  <c r="AA45" i="43" s="1"/>
  <c r="AB45" i="43" s="1"/>
  <c r="AC45" i="43" s="1"/>
  <c r="AD45" i="43" s="1"/>
  <c r="AE45" i="43" s="1"/>
  <c r="AF45" i="43" s="1"/>
  <c r="AG45" i="43" s="1"/>
  <c r="AH45" i="43" s="1"/>
  <c r="AI45" i="43" s="1"/>
  <c r="AJ45" i="43" s="1"/>
  <c r="AK45" i="43" s="1"/>
  <c r="AL45" i="43" s="1"/>
  <c r="AM45" i="43" s="1"/>
  <c r="AN45" i="43" s="1"/>
  <c r="AO45" i="43" s="1"/>
  <c r="AP45" i="43" s="1"/>
  <c r="AQ45" i="43" s="1"/>
  <c r="AR45" i="43" s="1"/>
  <c r="AS45" i="43" s="1"/>
  <c r="AT45" i="43" s="1"/>
  <c r="AU45" i="43" s="1"/>
  <c r="AV45" i="43" s="1"/>
  <c r="D98" i="43"/>
  <c r="E98" i="43" s="1" a="1"/>
  <c r="N37" i="43"/>
  <c r="O37" i="43" s="1"/>
  <c r="P37" i="43" s="1"/>
  <c r="Q37" i="43" s="1"/>
  <c r="R37" i="43" s="1"/>
  <c r="S37" i="43" s="1"/>
  <c r="T37" i="43" s="1"/>
  <c r="U37" i="43" s="1"/>
  <c r="V37" i="43" s="1"/>
  <c r="W37" i="43" s="1"/>
  <c r="X37" i="43" s="1"/>
  <c r="Y37" i="43" s="1"/>
  <c r="Z37" i="43" s="1"/>
  <c r="AA37" i="43" s="1"/>
  <c r="AB37" i="43" s="1"/>
  <c r="AC37" i="43" s="1"/>
  <c r="AD37" i="43" s="1"/>
  <c r="AE37" i="43" s="1"/>
  <c r="AF37" i="43" s="1"/>
  <c r="AG37" i="43" s="1"/>
  <c r="AH37" i="43" s="1"/>
  <c r="AI37" i="43" s="1"/>
  <c r="AJ37" i="43" s="1"/>
  <c r="AK37" i="43" s="1"/>
  <c r="AL37" i="43" s="1"/>
  <c r="AM37" i="43" s="1"/>
  <c r="AN37" i="43" s="1"/>
  <c r="AO37" i="43" s="1"/>
  <c r="AP37" i="43" s="1"/>
  <c r="AQ37" i="43" s="1"/>
  <c r="AR37" i="43" s="1"/>
  <c r="AS37" i="43" s="1"/>
  <c r="AT37" i="43" s="1"/>
  <c r="AU37" i="43" s="1"/>
  <c r="AV37" i="43" s="1"/>
  <c r="N29" i="43"/>
  <c r="O29" i="43" s="1"/>
  <c r="P29" i="43" s="1"/>
  <c r="Q29" i="43" s="1"/>
  <c r="R29" i="43" s="1"/>
  <c r="S29" i="43" s="1"/>
  <c r="T29" i="43" s="1"/>
  <c r="U29" i="43" s="1"/>
  <c r="V29" i="43" s="1"/>
  <c r="W29" i="43" s="1"/>
  <c r="X29" i="43" s="1"/>
  <c r="Y29" i="43" s="1"/>
  <c r="Z29" i="43" s="1"/>
  <c r="AA29" i="43" s="1"/>
  <c r="AB29" i="43" s="1"/>
  <c r="AC29" i="43" s="1"/>
  <c r="AD29" i="43" s="1"/>
  <c r="AE29" i="43" s="1"/>
  <c r="AF29" i="43" s="1"/>
  <c r="AG29" i="43" s="1"/>
  <c r="AH29" i="43" s="1"/>
  <c r="AI29" i="43" s="1"/>
  <c r="AJ29" i="43" s="1"/>
  <c r="AK29" i="43" s="1"/>
  <c r="AL29" i="43" s="1"/>
  <c r="AM29" i="43" s="1"/>
  <c r="AN29" i="43" s="1"/>
  <c r="AO29" i="43" s="1"/>
  <c r="AP29" i="43" s="1"/>
  <c r="AQ29" i="43" s="1"/>
  <c r="AR29" i="43" s="1"/>
  <c r="AS29" i="43" s="1"/>
  <c r="AT29" i="43" s="1"/>
  <c r="AU29" i="43" s="1"/>
  <c r="AV29" i="43" s="1"/>
  <c r="D90" i="43"/>
  <c r="E90" i="43" s="1" a="1"/>
  <c r="D82" i="43"/>
  <c r="E82" i="43" s="1" a="1"/>
  <c r="N17" i="43"/>
  <c r="O17" i="43" s="1"/>
  <c r="P17" i="43" s="1"/>
  <c r="Q17" i="43" s="1"/>
  <c r="R17" i="43" s="1"/>
  <c r="S17" i="43" s="1"/>
  <c r="T17" i="43" s="1"/>
  <c r="U17" i="43" s="1"/>
  <c r="V17" i="43" s="1"/>
  <c r="W17" i="43" s="1"/>
  <c r="X17" i="43" s="1"/>
  <c r="Y17" i="43" s="1"/>
  <c r="Z17" i="43" s="1"/>
  <c r="AA17" i="43" s="1"/>
  <c r="AB17" i="43" s="1"/>
  <c r="AC17" i="43" s="1"/>
  <c r="AD17" i="43" s="1"/>
  <c r="AE17" i="43" s="1"/>
  <c r="AF17" i="43" s="1"/>
  <c r="AG17" i="43" s="1"/>
  <c r="AH17" i="43" s="1"/>
  <c r="AI17" i="43" s="1"/>
  <c r="AJ17" i="43" s="1"/>
  <c r="AK17" i="43" s="1"/>
  <c r="AL17" i="43" s="1"/>
  <c r="AM17" i="43" s="1"/>
  <c r="AN17" i="43" s="1"/>
  <c r="AO17" i="43" s="1"/>
  <c r="AP17" i="43" s="1"/>
  <c r="AQ17" i="43" s="1"/>
  <c r="AR17" i="43" s="1"/>
  <c r="AS17" i="43" s="1"/>
  <c r="AT17" i="43" s="1"/>
  <c r="AU17" i="43" s="1"/>
  <c r="AV17" i="43" s="1"/>
  <c r="D78" i="43"/>
  <c r="E78" i="43" s="1" a="1"/>
  <c r="D74" i="43"/>
  <c r="E74" i="43" s="1" a="1"/>
  <c r="O16" i="43"/>
  <c r="P16" i="43" s="1"/>
  <c r="Q16" i="43" s="1"/>
  <c r="R16" i="43" s="1"/>
  <c r="S16" i="43" s="1"/>
  <c r="T16" i="43" s="1"/>
  <c r="U16" i="43" s="1"/>
  <c r="V16" i="43" s="1"/>
  <c r="W16" i="43" s="1"/>
  <c r="X16" i="43" s="1"/>
  <c r="Y16" i="43" s="1"/>
  <c r="Z16" i="43" s="1"/>
  <c r="AA16" i="43" s="1"/>
  <c r="AB16" i="43" s="1"/>
  <c r="AC16" i="43" s="1"/>
  <c r="AD16" i="43" s="1"/>
  <c r="AE16" i="43" s="1"/>
  <c r="AF16" i="43" s="1"/>
  <c r="AG16" i="43" s="1"/>
  <c r="AH16" i="43" s="1"/>
  <c r="AI16" i="43" s="1"/>
  <c r="AJ16" i="43" s="1"/>
  <c r="AK16" i="43" s="1"/>
  <c r="AL16" i="43" s="1"/>
  <c r="AM16" i="43" s="1"/>
  <c r="AN16" i="43" s="1"/>
  <c r="AO16" i="43" s="1"/>
  <c r="AP16" i="43" s="1"/>
  <c r="AQ16" i="43" s="1"/>
  <c r="AR16" i="43" s="1"/>
  <c r="AS16" i="43" s="1"/>
  <c r="AT16" i="43" s="1"/>
  <c r="AU16" i="43" s="1"/>
  <c r="AV16" i="43" s="1"/>
  <c r="D77" i="43"/>
  <c r="E77" i="43" s="1" a="1"/>
  <c r="N16" i="43"/>
  <c r="N12" i="43"/>
  <c r="O12" i="43" s="1"/>
  <c r="P12" i="43" s="1"/>
  <c r="Q12" i="43" s="1"/>
  <c r="R12" i="43" s="1"/>
  <c r="S12" i="43" s="1"/>
  <c r="T12" i="43" s="1"/>
  <c r="U12" i="43" s="1"/>
  <c r="V12" i="43" s="1"/>
  <c r="W12" i="43" s="1"/>
  <c r="X12" i="43" s="1"/>
  <c r="Y12" i="43" s="1"/>
  <c r="Z12" i="43" s="1"/>
  <c r="AA12" i="43" s="1"/>
  <c r="AB12" i="43" s="1"/>
  <c r="AC12" i="43" s="1"/>
  <c r="AD12" i="43" s="1"/>
  <c r="AE12" i="43" s="1"/>
  <c r="AF12" i="43" s="1"/>
  <c r="AG12" i="43" s="1"/>
  <c r="AH12" i="43" s="1"/>
  <c r="AI12" i="43" s="1"/>
  <c r="AJ12" i="43" s="1"/>
  <c r="AK12" i="43" s="1"/>
  <c r="AL12" i="43" s="1"/>
  <c r="AM12" i="43" s="1"/>
  <c r="AN12" i="43" s="1"/>
  <c r="AO12" i="43" s="1"/>
  <c r="AP12" i="43" s="1"/>
  <c r="AQ12" i="43" s="1"/>
  <c r="AR12" i="43" s="1"/>
  <c r="AS12" i="43" s="1"/>
  <c r="AT12" i="43" s="1"/>
  <c r="AU12" i="43" s="1"/>
  <c r="AV12" i="43" s="1"/>
  <c r="D73" i="43"/>
  <c r="E73" i="43" s="1" a="1"/>
  <c r="N50" i="43"/>
  <c r="O50" i="43" s="1"/>
  <c r="P50" i="43" s="1"/>
  <c r="Q50" i="43" s="1"/>
  <c r="R50" i="43" s="1"/>
  <c r="S50" i="43" s="1"/>
  <c r="T50" i="43" s="1"/>
  <c r="U50" i="43" s="1"/>
  <c r="V50" i="43" s="1"/>
  <c r="W50" i="43" s="1"/>
  <c r="X50" i="43" s="1"/>
  <c r="Y50" i="43" s="1"/>
  <c r="Z50" i="43" s="1"/>
  <c r="AA50" i="43" s="1"/>
  <c r="AB50" i="43" s="1"/>
  <c r="AC50" i="43" s="1"/>
  <c r="AD50" i="43" s="1"/>
  <c r="AE50" i="43" s="1"/>
  <c r="AF50" i="43" s="1"/>
  <c r="AG50" i="43" s="1"/>
  <c r="AH50" i="43" s="1"/>
  <c r="AI50" i="43" s="1"/>
  <c r="AJ50" i="43" s="1"/>
  <c r="AK50" i="43" s="1"/>
  <c r="AL50" i="43" s="1"/>
  <c r="AM50" i="43" s="1"/>
  <c r="AN50" i="43" s="1"/>
  <c r="AO50" i="43" s="1"/>
  <c r="AP50" i="43" s="1"/>
  <c r="AQ50" i="43" s="1"/>
  <c r="AR50" i="43" s="1"/>
  <c r="AS50" i="43" s="1"/>
  <c r="AT50" i="43" s="1"/>
  <c r="AU50" i="43" s="1"/>
  <c r="AV50" i="43" s="1"/>
  <c r="D111" i="43"/>
  <c r="E111" i="43" s="1" a="1"/>
  <c r="D103" i="43"/>
  <c r="E103" i="43" s="1" a="1"/>
  <c r="N42" i="43"/>
  <c r="O42" i="43" s="1"/>
  <c r="P42" i="43" s="1"/>
  <c r="Q42" i="43" s="1"/>
  <c r="R42" i="43" s="1"/>
  <c r="S42" i="43" s="1"/>
  <c r="T42" i="43" s="1"/>
  <c r="U42" i="43" s="1"/>
  <c r="V42" i="43" s="1"/>
  <c r="W42" i="43" s="1"/>
  <c r="X42" i="43" s="1"/>
  <c r="Y42" i="43" s="1"/>
  <c r="Z42" i="43" s="1"/>
  <c r="AA42" i="43" s="1"/>
  <c r="AB42" i="43" s="1"/>
  <c r="AC42" i="43" s="1"/>
  <c r="AD42" i="43" s="1"/>
  <c r="AE42" i="43" s="1"/>
  <c r="AF42" i="43" s="1"/>
  <c r="AG42" i="43" s="1"/>
  <c r="AH42" i="43" s="1"/>
  <c r="AI42" i="43" s="1"/>
  <c r="AJ42" i="43" s="1"/>
  <c r="AK42" i="43" s="1"/>
  <c r="AL42" i="43" s="1"/>
  <c r="AM42" i="43" s="1"/>
  <c r="AN42" i="43" s="1"/>
  <c r="AO42" i="43" s="1"/>
  <c r="AP42" i="43" s="1"/>
  <c r="AQ42" i="43" s="1"/>
  <c r="AR42" i="43" s="1"/>
  <c r="AS42" i="43" s="1"/>
  <c r="AT42" i="43" s="1"/>
  <c r="AU42" i="43" s="1"/>
  <c r="AV42" i="43" s="1"/>
  <c r="D95" i="43"/>
  <c r="E95" i="43" s="1" a="1"/>
  <c r="N34" i="43"/>
  <c r="O34" i="43" s="1"/>
  <c r="P34" i="43" s="1"/>
  <c r="Q34" i="43" s="1"/>
  <c r="R34" i="43" s="1"/>
  <c r="S34" i="43" s="1"/>
  <c r="T34" i="43" s="1"/>
  <c r="U34" i="43" s="1"/>
  <c r="V34" i="43" s="1"/>
  <c r="W34" i="43" s="1"/>
  <c r="X34" i="43" s="1"/>
  <c r="Y34" i="43" s="1"/>
  <c r="Z34" i="43" s="1"/>
  <c r="AA34" i="43" s="1"/>
  <c r="AB34" i="43" s="1"/>
  <c r="AC34" i="43" s="1"/>
  <c r="AD34" i="43" s="1"/>
  <c r="AE34" i="43" s="1"/>
  <c r="AF34" i="43" s="1"/>
  <c r="AG34" i="43" s="1"/>
  <c r="AH34" i="43" s="1"/>
  <c r="AI34" i="43" s="1"/>
  <c r="AJ34" i="43" s="1"/>
  <c r="AK34" i="43" s="1"/>
  <c r="AL34" i="43" s="1"/>
  <c r="AM34" i="43" s="1"/>
  <c r="AN34" i="43" s="1"/>
  <c r="AO34" i="43" s="1"/>
  <c r="AP34" i="43" s="1"/>
  <c r="AQ34" i="43" s="1"/>
  <c r="AR34" i="43" s="1"/>
  <c r="AS34" i="43" s="1"/>
  <c r="AT34" i="43" s="1"/>
  <c r="AU34" i="43" s="1"/>
  <c r="AV34" i="43" s="1"/>
  <c r="D87" i="43"/>
  <c r="E87" i="43" s="1" a="1"/>
  <c r="N26" i="43"/>
  <c r="O26" i="43" s="1"/>
  <c r="P26" i="43" s="1"/>
  <c r="Q26" i="43" s="1"/>
  <c r="R26" i="43" s="1"/>
  <c r="S26" i="43" s="1"/>
  <c r="T26" i="43" s="1"/>
  <c r="U26" i="43" s="1"/>
  <c r="V26" i="43" s="1"/>
  <c r="W26" i="43" s="1"/>
  <c r="X26" i="43" s="1"/>
  <c r="Y26" i="43" s="1"/>
  <c r="Z26" i="43" s="1"/>
  <c r="AA26" i="43" s="1"/>
  <c r="AB26" i="43" s="1"/>
  <c r="AC26" i="43" s="1"/>
  <c r="AD26" i="43" s="1"/>
  <c r="AE26" i="43" s="1"/>
  <c r="AF26" i="43" s="1"/>
  <c r="AG26" i="43" s="1"/>
  <c r="AH26" i="43" s="1"/>
  <c r="AI26" i="43" s="1"/>
  <c r="AJ26" i="43" s="1"/>
  <c r="AK26" i="43" s="1"/>
  <c r="AL26" i="43" s="1"/>
  <c r="AM26" i="43" s="1"/>
  <c r="AN26" i="43" s="1"/>
  <c r="AO26" i="43" s="1"/>
  <c r="AP26" i="43" s="1"/>
  <c r="AQ26" i="43" s="1"/>
  <c r="AR26" i="43" s="1"/>
  <c r="AS26" i="43" s="1"/>
  <c r="AT26" i="43" s="1"/>
  <c r="AU26" i="43" s="1"/>
  <c r="AV26" i="43" s="1"/>
  <c r="N22" i="43"/>
  <c r="D83" i="43"/>
  <c r="E83" i="43" s="1" a="1"/>
  <c r="O22" i="43"/>
  <c r="P22" i="43" s="1"/>
  <c r="Q22" i="43" s="1"/>
  <c r="R22" i="43" s="1"/>
  <c r="S22" i="43" s="1"/>
  <c r="T22" i="43" s="1"/>
  <c r="U22" i="43" s="1"/>
  <c r="V22" i="43" s="1"/>
  <c r="W22" i="43" s="1"/>
  <c r="X22" i="43" s="1"/>
  <c r="Y22" i="43" s="1"/>
  <c r="Z22" i="43" s="1"/>
  <c r="AA22" i="43" s="1"/>
  <c r="AB22" i="43" s="1"/>
  <c r="AC22" i="43" s="1"/>
  <c r="AD22" i="43" s="1"/>
  <c r="AE22" i="43" s="1"/>
  <c r="AF22" i="43" s="1"/>
  <c r="AG22" i="43" s="1"/>
  <c r="AH22" i="43" s="1"/>
  <c r="AI22" i="43" s="1"/>
  <c r="AJ22" i="43" s="1"/>
  <c r="AK22" i="43" s="1"/>
  <c r="AL22" i="43" s="1"/>
  <c r="AM22" i="43" s="1"/>
  <c r="AN22" i="43" s="1"/>
  <c r="AO22" i="43" s="1"/>
  <c r="AP22" i="43" s="1"/>
  <c r="AQ22" i="43" s="1"/>
  <c r="AR22" i="43" s="1"/>
  <c r="AS22" i="43" s="1"/>
  <c r="AT22" i="43" s="1"/>
  <c r="AU22" i="43" s="1"/>
  <c r="AV22" i="43" s="1"/>
  <c r="D79" i="43"/>
  <c r="E79" i="43" s="1" a="1"/>
  <c r="N18" i="43"/>
  <c r="O18" i="43" s="1"/>
  <c r="P18" i="43" s="1"/>
  <c r="Q18" i="43" s="1"/>
  <c r="R18" i="43" s="1"/>
  <c r="S18" i="43" s="1"/>
  <c r="T18" i="43" s="1"/>
  <c r="U18" i="43" s="1"/>
  <c r="V18" i="43" s="1"/>
  <c r="W18" i="43" s="1"/>
  <c r="X18" i="43" s="1"/>
  <c r="Y18" i="43" s="1"/>
  <c r="Z18" i="43" s="1"/>
  <c r="AA18" i="43" s="1"/>
  <c r="AB18" i="43" s="1"/>
  <c r="AC18" i="43" s="1"/>
  <c r="AD18" i="43" s="1"/>
  <c r="AE18" i="43" s="1"/>
  <c r="AF18" i="43" s="1"/>
  <c r="AG18" i="43" s="1"/>
  <c r="AH18" i="43" s="1"/>
  <c r="AI18" i="43" s="1"/>
  <c r="AJ18" i="43" s="1"/>
  <c r="AK18" i="43" s="1"/>
  <c r="AL18" i="43" s="1"/>
  <c r="AM18" i="43" s="1"/>
  <c r="AN18" i="43" s="1"/>
  <c r="AO18" i="43" s="1"/>
  <c r="AP18" i="43" s="1"/>
  <c r="AQ18" i="43" s="1"/>
  <c r="AR18" i="43" s="1"/>
  <c r="AS18" i="43" s="1"/>
  <c r="AT18" i="43" s="1"/>
  <c r="AU18" i="43" s="1"/>
  <c r="AV18" i="43" s="1"/>
  <c r="N51" i="43"/>
  <c r="O51" i="43" s="1"/>
  <c r="P51" i="43" s="1"/>
  <c r="Q51" i="43" s="1"/>
  <c r="R51" i="43" s="1"/>
  <c r="S51" i="43" s="1"/>
  <c r="T51" i="43" s="1"/>
  <c r="U51" i="43" s="1"/>
  <c r="V51" i="43" s="1"/>
  <c r="W51" i="43" s="1"/>
  <c r="X51" i="43" s="1"/>
  <c r="Y51" i="43" s="1"/>
  <c r="Z51" i="43" s="1"/>
  <c r="AA51" i="43" s="1"/>
  <c r="AB51" i="43" s="1"/>
  <c r="AC51" i="43" s="1"/>
  <c r="AD51" i="43" s="1"/>
  <c r="AE51" i="43" s="1"/>
  <c r="AF51" i="43" s="1"/>
  <c r="AG51" i="43" s="1"/>
  <c r="AH51" i="43" s="1"/>
  <c r="AI51" i="43" s="1"/>
  <c r="AJ51" i="43" s="1"/>
  <c r="AK51" i="43" s="1"/>
  <c r="AL51" i="43" s="1"/>
  <c r="AM51" i="43" s="1"/>
  <c r="AN51" i="43" s="1"/>
  <c r="AO51" i="43" s="1"/>
  <c r="AP51" i="43" s="1"/>
  <c r="AQ51" i="43" s="1"/>
  <c r="AR51" i="43" s="1"/>
  <c r="AS51" i="43" s="1"/>
  <c r="AT51" i="43" s="1"/>
  <c r="AU51" i="43" s="1"/>
  <c r="AV51" i="43" s="1"/>
  <c r="D112" i="43"/>
  <c r="E112" i="43" s="1" a="1"/>
  <c r="N43" i="43"/>
  <c r="O43" i="43" s="1"/>
  <c r="P43" i="43" s="1"/>
  <c r="Q43" i="43" s="1"/>
  <c r="R43" i="43" s="1"/>
  <c r="S43" i="43" s="1"/>
  <c r="T43" i="43" s="1"/>
  <c r="U43" i="43" s="1"/>
  <c r="V43" i="43" s="1"/>
  <c r="W43" i="43" s="1"/>
  <c r="X43" i="43" s="1"/>
  <c r="Y43" i="43" s="1"/>
  <c r="Z43" i="43" s="1"/>
  <c r="AA43" i="43" s="1"/>
  <c r="AB43" i="43" s="1"/>
  <c r="AC43" i="43" s="1"/>
  <c r="AD43" i="43" s="1"/>
  <c r="AE43" i="43" s="1"/>
  <c r="AF43" i="43" s="1"/>
  <c r="AG43" i="43" s="1"/>
  <c r="AH43" i="43" s="1"/>
  <c r="AI43" i="43" s="1"/>
  <c r="AJ43" i="43" s="1"/>
  <c r="AK43" i="43" s="1"/>
  <c r="AL43" i="43" s="1"/>
  <c r="AM43" i="43" s="1"/>
  <c r="AN43" i="43" s="1"/>
  <c r="AO43" i="43" s="1"/>
  <c r="AP43" i="43" s="1"/>
  <c r="AQ43" i="43" s="1"/>
  <c r="AR43" i="43" s="1"/>
  <c r="AS43" i="43" s="1"/>
  <c r="AT43" i="43" s="1"/>
  <c r="AU43" i="43" s="1"/>
  <c r="AV43" i="43" s="1"/>
  <c r="D104" i="43"/>
  <c r="E104" i="43" s="1" a="1"/>
  <c r="N35" i="43"/>
  <c r="O35" i="43" s="1"/>
  <c r="P35" i="43" s="1"/>
  <c r="Q35" i="43" s="1"/>
  <c r="R35" i="43" s="1"/>
  <c r="S35" i="43" s="1"/>
  <c r="T35" i="43" s="1"/>
  <c r="U35" i="43" s="1"/>
  <c r="V35" i="43" s="1"/>
  <c r="W35" i="43" s="1"/>
  <c r="X35" i="43" s="1"/>
  <c r="Y35" i="43" s="1"/>
  <c r="Z35" i="43" s="1"/>
  <c r="AA35" i="43" s="1"/>
  <c r="AB35" i="43" s="1"/>
  <c r="AC35" i="43" s="1"/>
  <c r="AD35" i="43" s="1"/>
  <c r="AE35" i="43" s="1"/>
  <c r="AF35" i="43" s="1"/>
  <c r="AG35" i="43" s="1"/>
  <c r="AH35" i="43" s="1"/>
  <c r="AI35" i="43" s="1"/>
  <c r="AJ35" i="43" s="1"/>
  <c r="AK35" i="43" s="1"/>
  <c r="AL35" i="43" s="1"/>
  <c r="AM35" i="43" s="1"/>
  <c r="AN35" i="43" s="1"/>
  <c r="AO35" i="43" s="1"/>
  <c r="AP35" i="43" s="1"/>
  <c r="AQ35" i="43" s="1"/>
  <c r="AR35" i="43" s="1"/>
  <c r="AS35" i="43" s="1"/>
  <c r="AT35" i="43" s="1"/>
  <c r="AU35" i="43" s="1"/>
  <c r="AV35" i="43" s="1"/>
  <c r="D96" i="43"/>
  <c r="E96" i="43" s="1" a="1"/>
  <c r="N27" i="43"/>
  <c r="O27" i="43" s="1"/>
  <c r="P27" i="43" s="1"/>
  <c r="Q27" i="43" s="1"/>
  <c r="R27" i="43" s="1"/>
  <c r="S27" i="43" s="1"/>
  <c r="T27" i="43" s="1"/>
  <c r="U27" i="43" s="1"/>
  <c r="V27" i="43" s="1"/>
  <c r="W27" i="43" s="1"/>
  <c r="X27" i="43" s="1"/>
  <c r="Y27" i="43" s="1"/>
  <c r="Z27" i="43" s="1"/>
  <c r="AA27" i="43" s="1"/>
  <c r="AB27" i="43" s="1"/>
  <c r="AC27" i="43" s="1"/>
  <c r="AD27" i="43" s="1"/>
  <c r="AE27" i="43" s="1"/>
  <c r="AF27" i="43" s="1"/>
  <c r="AG27" i="43" s="1"/>
  <c r="AH27" i="43" s="1"/>
  <c r="AI27" i="43" s="1"/>
  <c r="AJ27" i="43" s="1"/>
  <c r="AK27" i="43" s="1"/>
  <c r="AL27" i="43" s="1"/>
  <c r="AM27" i="43" s="1"/>
  <c r="AN27" i="43" s="1"/>
  <c r="AO27" i="43" s="1"/>
  <c r="AP27" i="43" s="1"/>
  <c r="AQ27" i="43" s="1"/>
  <c r="AR27" i="43" s="1"/>
  <c r="AS27" i="43" s="1"/>
  <c r="AT27" i="43" s="1"/>
  <c r="AU27" i="43" s="1"/>
  <c r="AV27" i="43" s="1"/>
  <c r="D88" i="43"/>
  <c r="E88" i="43" s="1" a="1"/>
  <c r="D84" i="43"/>
  <c r="E84" i="43" s="1" a="1"/>
  <c r="D76" i="43"/>
  <c r="E76" i="43" s="1" a="1"/>
  <c r="N15" i="43"/>
  <c r="O15" i="43" s="1"/>
  <c r="P15" i="43" s="1"/>
  <c r="Q15" i="43" s="1"/>
  <c r="R15" i="43" s="1"/>
  <c r="S15" i="43" s="1"/>
  <c r="T15" i="43" s="1"/>
  <c r="U15" i="43" s="1"/>
  <c r="V15" i="43" s="1"/>
  <c r="W15" i="43" s="1"/>
  <c r="X15" i="43" s="1"/>
  <c r="Y15" i="43" s="1"/>
  <c r="Z15" i="43" s="1"/>
  <c r="AA15" i="43" s="1"/>
  <c r="AB15" i="43" s="1"/>
  <c r="AC15" i="43" s="1"/>
  <c r="AD15" i="43" s="1"/>
  <c r="AE15" i="43" s="1"/>
  <c r="AF15" i="43" s="1"/>
  <c r="AG15" i="43" s="1"/>
  <c r="AH15" i="43" s="1"/>
  <c r="AI15" i="43" s="1"/>
  <c r="AJ15" i="43" s="1"/>
  <c r="AK15" i="43" s="1"/>
  <c r="AL15" i="43" s="1"/>
  <c r="AM15" i="43" s="1"/>
  <c r="AN15" i="43" s="1"/>
  <c r="AO15" i="43" s="1"/>
  <c r="AP15" i="43" s="1"/>
  <c r="AQ15" i="43" s="1"/>
  <c r="AR15" i="43" s="1"/>
  <c r="AS15" i="43" s="1"/>
  <c r="AT15" i="43" s="1"/>
  <c r="AU15" i="43" s="1"/>
  <c r="AV15" i="43" s="1"/>
  <c r="N11" i="43"/>
  <c r="O11" i="43" s="1"/>
  <c r="P11" i="43" s="1"/>
  <c r="Q11" i="43" s="1"/>
  <c r="R11" i="43" s="1"/>
  <c r="S11" i="43" s="1"/>
  <c r="T11" i="43" s="1"/>
  <c r="U11" i="43" s="1"/>
  <c r="V11" i="43" s="1"/>
  <c r="W11" i="43" s="1"/>
  <c r="X11" i="43" s="1"/>
  <c r="Y11" i="43" s="1"/>
  <c r="Z11" i="43" s="1"/>
  <c r="AA11" i="43" s="1"/>
  <c r="AB11" i="43" s="1"/>
  <c r="AC11" i="43" s="1"/>
  <c r="AD11" i="43" s="1"/>
  <c r="AE11" i="43" s="1"/>
  <c r="AF11" i="43" s="1"/>
  <c r="AG11" i="43" s="1"/>
  <c r="AH11" i="43" s="1"/>
  <c r="AI11" i="43" s="1"/>
  <c r="AJ11" i="43" s="1"/>
  <c r="AK11" i="43" s="1"/>
  <c r="AL11" i="43" s="1"/>
  <c r="AM11" i="43" s="1"/>
  <c r="AN11" i="43" s="1"/>
  <c r="AO11" i="43" s="1"/>
  <c r="AP11" i="43" s="1"/>
  <c r="AQ11" i="43" s="1"/>
  <c r="AR11" i="43" s="1"/>
  <c r="AS11" i="43" s="1"/>
  <c r="AT11" i="43" s="1"/>
  <c r="AU11" i="43" s="1"/>
  <c r="AV11" i="43" s="1"/>
  <c r="D72" i="43"/>
  <c r="E72" i="43" s="1" a="1"/>
  <c r="N14" i="43"/>
  <c r="O14" i="43" s="1"/>
  <c r="P14" i="43" s="1"/>
  <c r="Q14" i="43" s="1"/>
  <c r="R14" i="43" s="1"/>
  <c r="S14" i="43" s="1"/>
  <c r="T14" i="43" s="1"/>
  <c r="U14" i="43" s="1"/>
  <c r="V14" i="43" s="1"/>
  <c r="W14" i="43" s="1"/>
  <c r="X14" i="43" s="1"/>
  <c r="Y14" i="43" s="1"/>
  <c r="Z14" i="43" s="1"/>
  <c r="AA14" i="43" s="1"/>
  <c r="AB14" i="43" s="1"/>
  <c r="AC14" i="43" s="1"/>
  <c r="AD14" i="43" s="1"/>
  <c r="AE14" i="43" s="1"/>
  <c r="AF14" i="43" s="1"/>
  <c r="AG14" i="43" s="1"/>
  <c r="AH14" i="43" s="1"/>
  <c r="AI14" i="43" s="1"/>
  <c r="AJ14" i="43" s="1"/>
  <c r="AK14" i="43" s="1"/>
  <c r="AL14" i="43" s="1"/>
  <c r="AM14" i="43" s="1"/>
  <c r="AN14" i="43" s="1"/>
  <c r="AO14" i="43" s="1"/>
  <c r="AP14" i="43" s="1"/>
  <c r="AQ14" i="43" s="1"/>
  <c r="AR14" i="43" s="1"/>
  <c r="AS14" i="43" s="1"/>
  <c r="AT14" i="43" s="1"/>
  <c r="AU14" i="43" s="1"/>
  <c r="AV14" i="43" s="1"/>
  <c r="D75" i="43"/>
  <c r="E75" i="43" s="1" a="1"/>
  <c r="D71" i="43"/>
  <c r="E71" i="43" s="1" a="1"/>
  <c r="N10" i="43"/>
  <c r="O10" i="43" s="1"/>
  <c r="P10" i="43" s="1"/>
  <c r="Q10" i="43" s="1"/>
  <c r="R10" i="43" s="1"/>
  <c r="S10" i="43" s="1"/>
  <c r="T10" i="43" s="1"/>
  <c r="U10" i="43" s="1"/>
  <c r="V10" i="43" s="1"/>
  <c r="W10" i="43" s="1"/>
  <c r="X10" i="43" s="1"/>
  <c r="Y10" i="43" s="1"/>
  <c r="Z10" i="43" s="1"/>
  <c r="AA10" i="43" s="1"/>
  <c r="AB10" i="43" s="1"/>
  <c r="AC10" i="43" s="1"/>
  <c r="AD10" i="43" s="1"/>
  <c r="AE10" i="43" s="1"/>
  <c r="AF10" i="43" s="1"/>
  <c r="AG10" i="43" s="1"/>
  <c r="AH10" i="43" s="1"/>
  <c r="AI10" i="43" s="1"/>
  <c r="AJ10" i="43" s="1"/>
  <c r="AK10" i="43" s="1"/>
  <c r="AL10" i="43" s="1"/>
  <c r="AM10" i="43" s="1"/>
  <c r="AN10" i="43" s="1"/>
  <c r="AO10" i="43" s="1"/>
  <c r="AP10" i="43" s="1"/>
  <c r="AQ10" i="43" s="1"/>
  <c r="AR10" i="43" s="1"/>
  <c r="AS10" i="43" s="1"/>
  <c r="AT10" i="43" s="1"/>
  <c r="AU10" i="43" s="1"/>
  <c r="AV10" i="43" s="1"/>
  <c r="M25" i="18"/>
  <c r="M47" i="18"/>
  <c r="M37" i="18"/>
  <c r="N7" i="18"/>
  <c r="I23" i="18"/>
  <c r="I45" i="18"/>
  <c r="J4" i="18"/>
  <c r="I35" i="18"/>
  <c r="M36" i="20"/>
  <c r="I7" i="25"/>
  <c r="H68" i="30"/>
  <c r="H65" i="30" s="1"/>
  <c r="I8" i="34" s="1"/>
  <c r="P37" i="20"/>
  <c r="N4" i="24"/>
  <c r="M71" i="30"/>
  <c r="O38" i="20"/>
  <c r="P38" i="20" s="1"/>
  <c r="Q38" i="20" s="1"/>
  <c r="R38" i="20" s="1"/>
  <c r="S38" i="20" s="1"/>
  <c r="T38" i="20" s="1"/>
  <c r="U38" i="20" s="1"/>
  <c r="V38" i="20" s="1"/>
  <c r="W38" i="20" s="1"/>
  <c r="X38" i="20" s="1"/>
  <c r="Y38" i="20" s="1"/>
  <c r="Z38" i="20" s="1"/>
  <c r="AA38" i="20" s="1"/>
  <c r="AB38" i="20" s="1"/>
  <c r="AC38" i="20" s="1"/>
  <c r="AD38" i="20" s="1"/>
  <c r="AE38" i="20" s="1"/>
  <c r="AF38" i="20" s="1"/>
  <c r="AG38" i="20" s="1"/>
  <c r="AH38" i="20" s="1"/>
  <c r="AI38" i="20" s="1"/>
  <c r="AJ38" i="20" s="1"/>
  <c r="AK38" i="20" s="1"/>
  <c r="L4" i="23"/>
  <c r="K69" i="30"/>
  <c r="AC34" i="8"/>
  <c r="AB16" i="30"/>
  <c r="L37" i="18"/>
  <c r="K25" i="18"/>
  <c r="J25" i="18"/>
  <c r="I37" i="18"/>
  <c r="I6" i="18"/>
  <c r="H35" i="18"/>
  <c r="G26" i="18"/>
  <c r="H47" i="18"/>
  <c r="F38" i="18"/>
  <c r="L34" i="20"/>
  <c r="D5" i="18"/>
  <c r="C46" i="18"/>
  <c r="C24" i="18"/>
  <c r="C27" i="18" s="1"/>
  <c r="C36" i="18"/>
  <c r="AE7" i="13"/>
  <c r="AD22" i="30"/>
  <c r="AD19" i="30" s="1"/>
  <c r="D30" i="31" s="1"/>
  <c r="J47" i="11"/>
  <c r="AJ26" i="6"/>
  <c r="AH26" i="6"/>
  <c r="L39" i="20"/>
  <c r="AE13" i="30"/>
  <c r="AF33" i="8"/>
  <c r="G31" i="11"/>
  <c r="R47" i="11"/>
  <c r="L25" i="6"/>
  <c r="L37" i="30" s="1"/>
  <c r="L36" i="30" s="1"/>
  <c r="F12" i="32" s="1"/>
  <c r="P25" i="6"/>
  <c r="P37" i="30" s="1"/>
  <c r="P36" i="30" s="1"/>
  <c r="F16" i="32" s="1"/>
  <c r="T25" i="6"/>
  <c r="T37" i="30" s="1"/>
  <c r="T36" i="30" s="1"/>
  <c r="F20" i="32" s="1"/>
  <c r="I25" i="6"/>
  <c r="I37" i="30" s="1"/>
  <c r="I36" i="30" s="1"/>
  <c r="F9" i="32" s="1"/>
  <c r="V25" i="6"/>
  <c r="V37" i="30" s="1"/>
  <c r="V36" i="30" s="1"/>
  <c r="F22" i="32" s="1"/>
  <c r="E23" i="20"/>
  <c r="D9" i="1"/>
  <c r="AC22" i="30"/>
  <c r="AC19" i="30" s="1"/>
  <c r="D29" i="31" s="1"/>
  <c r="I47" i="11"/>
  <c r="D41" i="20"/>
  <c r="C90" i="20"/>
  <c r="C94" i="20" s="1"/>
  <c r="AB27" i="30"/>
  <c r="E28" i="34" s="1"/>
  <c r="E72" i="30"/>
  <c r="F3" i="24"/>
  <c r="D32" i="11"/>
  <c r="G32" i="11" s="1"/>
  <c r="D31" i="11"/>
  <c r="E40" i="20"/>
  <c r="D91" i="20"/>
  <c r="F28" i="11"/>
  <c r="B36" i="11"/>
  <c r="AH47" i="11" s="1"/>
  <c r="F32" i="11"/>
  <c r="B37" i="11"/>
  <c r="B14" i="28"/>
  <c r="B46" i="30" s="1"/>
  <c r="I86" i="20"/>
  <c r="Q100" i="20"/>
  <c r="N18" i="20"/>
  <c r="N17" i="20"/>
  <c r="AI18" i="20"/>
  <c r="AI17" i="20"/>
  <c r="B88" i="20"/>
  <c r="B94" i="20" s="1"/>
  <c r="E28" i="11"/>
  <c r="G28" i="11" s="1"/>
  <c r="B68" i="30"/>
  <c r="B65" i="30" s="1"/>
  <c r="I2" i="34" s="1"/>
  <c r="D70" i="30"/>
  <c r="D66" i="30" s="1"/>
  <c r="I4" i="31" s="1"/>
  <c r="E3" i="23"/>
  <c r="G86" i="20"/>
  <c r="E100" i="20"/>
  <c r="C9" i="18"/>
  <c r="D9" i="18" s="1"/>
  <c r="E9" i="18" s="1"/>
  <c r="F9" i="18" s="1"/>
  <c r="G9" i="18" s="1"/>
  <c r="H9" i="18" s="1"/>
  <c r="I9" i="18" s="1"/>
  <c r="J9" i="18" s="1"/>
  <c r="K9" i="18" s="1"/>
  <c r="L9" i="18" s="1"/>
  <c r="M9" i="18" s="1"/>
  <c r="N9" i="18" s="1"/>
  <c r="O9" i="18" s="1"/>
  <c r="P9" i="18" s="1"/>
  <c r="Q9" i="18" s="1"/>
  <c r="R9" i="18" s="1"/>
  <c r="S9" i="18" s="1"/>
  <c r="T9" i="18" s="1"/>
  <c r="U9" i="18" s="1"/>
  <c r="V9" i="18" s="1"/>
  <c r="W9" i="18" s="1"/>
  <c r="X9" i="18" s="1"/>
  <c r="Y9" i="18" s="1"/>
  <c r="Z9" i="18" s="1"/>
  <c r="AA9" i="18" s="1"/>
  <c r="AB9" i="18" s="1"/>
  <c r="AC9" i="18" s="1"/>
  <c r="AD9" i="18" s="1"/>
  <c r="AE9" i="18" s="1"/>
  <c r="AF9" i="18" s="1"/>
  <c r="AG9" i="18" s="1"/>
  <c r="AH9" i="18" s="1"/>
  <c r="AI9" i="18" s="1"/>
  <c r="AJ9" i="18" s="1"/>
  <c r="AK9" i="18" s="1"/>
  <c r="V18" i="20"/>
  <c r="V17" i="20"/>
  <c r="C9" i="28"/>
  <c r="B45" i="30"/>
  <c r="D10" i="28"/>
  <c r="C43" i="30"/>
  <c r="C41" i="30" s="1"/>
  <c r="G3" i="33" s="1"/>
  <c r="AC100" i="20"/>
  <c r="Z18" i="20"/>
  <c r="Z17" i="20"/>
  <c r="Z100" i="20" s="1"/>
  <c r="U100" i="20"/>
  <c r="R18" i="20"/>
  <c r="R17" i="20"/>
  <c r="R100" i="20" s="1"/>
  <c r="M100" i="20"/>
  <c r="J18" i="20"/>
  <c r="J17" i="20"/>
  <c r="F18" i="20"/>
  <c r="F17" i="20"/>
  <c r="F100" i="20" s="1"/>
  <c r="B41" i="30"/>
  <c r="G2" i="33" s="1"/>
  <c r="AB30" i="30"/>
  <c r="AC5" i="17"/>
  <c r="G17" i="20"/>
  <c r="G100" i="20" s="1"/>
  <c r="AA4" i="27"/>
  <c r="V4" i="27"/>
  <c r="V44" i="30" s="1"/>
  <c r="N4" i="27"/>
  <c r="N44" i="30" s="1"/>
  <c r="F4" i="27"/>
  <c r="F44" i="30" s="1"/>
  <c r="Z4" i="27"/>
  <c r="Z44" i="30" s="1"/>
  <c r="Q4" i="27"/>
  <c r="Q44" i="30" s="1"/>
  <c r="D48" i="11" l="1"/>
  <c r="H48" i="11"/>
  <c r="L48" i="11"/>
  <c r="P48" i="11"/>
  <c r="T48" i="11"/>
  <c r="X48" i="11"/>
  <c r="AB48" i="11"/>
  <c r="AF48" i="11"/>
  <c r="AJ48" i="11"/>
  <c r="E48" i="11"/>
  <c r="I48" i="11"/>
  <c r="M48" i="11"/>
  <c r="Q48" i="11"/>
  <c r="U48" i="11"/>
  <c r="Y48" i="11"/>
  <c r="AC48" i="11"/>
  <c r="AG48" i="11"/>
  <c r="AK48" i="11"/>
  <c r="C48" i="11"/>
  <c r="G48" i="11"/>
  <c r="K48" i="11"/>
  <c r="O48" i="11"/>
  <c r="S48" i="11"/>
  <c r="W48" i="11"/>
  <c r="AA48" i="11"/>
  <c r="AE48" i="11"/>
  <c r="AI48" i="11"/>
  <c r="F48" i="11"/>
  <c r="V48" i="11"/>
  <c r="J48" i="11"/>
  <c r="Z48" i="11"/>
  <c r="N48" i="11"/>
  <c r="AD48" i="11"/>
  <c r="R48" i="11"/>
  <c r="AH48" i="11"/>
  <c r="AH52" i="11"/>
  <c r="AH12" i="30" s="1"/>
  <c r="AB4" i="27"/>
  <c r="AA44" i="30"/>
  <c r="U53" i="30"/>
  <c r="V100" i="20"/>
  <c r="E44" i="11"/>
  <c r="U44" i="11"/>
  <c r="Z44" i="11"/>
  <c r="G44" i="11"/>
  <c r="X44" i="11"/>
  <c r="T44" i="11"/>
  <c r="AI44" i="11"/>
  <c r="P44" i="11"/>
  <c r="O44" i="11"/>
  <c r="I44" i="11"/>
  <c r="Y44" i="11"/>
  <c r="J44" i="11"/>
  <c r="AA44" i="11"/>
  <c r="H44" i="11"/>
  <c r="D44" i="11"/>
  <c r="AH44" i="11"/>
  <c r="AD44" i="11"/>
  <c r="AF44" i="11"/>
  <c r="C44" i="11"/>
  <c r="Q44" i="11"/>
  <c r="AG44" i="11"/>
  <c r="L44" i="11"/>
  <c r="F44" i="11"/>
  <c r="W44" i="11"/>
  <c r="S44" i="11"/>
  <c r="AJ44" i="11"/>
  <c r="AE44" i="11"/>
  <c r="M44" i="11"/>
  <c r="AC44" i="11"/>
  <c r="K44" i="11"/>
  <c r="AB44" i="11"/>
  <c r="AK44" i="11"/>
  <c r="R44" i="11"/>
  <c r="V44" i="11"/>
  <c r="N44" i="11"/>
  <c r="AI100" i="20"/>
  <c r="Q53" i="30"/>
  <c r="I52" i="11"/>
  <c r="I12" i="30" s="1"/>
  <c r="I10" i="30" s="1"/>
  <c r="C9" i="31" s="1"/>
  <c r="C29" i="18"/>
  <c r="C57" i="30" s="1"/>
  <c r="J52" i="11"/>
  <c r="J12" i="30" s="1"/>
  <c r="J10" i="30" s="1"/>
  <c r="C10" i="31" s="1"/>
  <c r="C39" i="18"/>
  <c r="C41" i="18"/>
  <c r="C58" i="30" s="1"/>
  <c r="L69" i="30"/>
  <c r="M4" i="23"/>
  <c r="E75" i="43"/>
  <c r="F75" i="43"/>
  <c r="F72" i="43"/>
  <c r="E72" i="43"/>
  <c r="F88" i="43"/>
  <c r="E88" i="43"/>
  <c r="F104" i="43"/>
  <c r="E104" i="43"/>
  <c r="E83" i="43"/>
  <c r="F83" i="43"/>
  <c r="E74" i="43"/>
  <c r="F74" i="43"/>
  <c r="G53" i="30"/>
  <c r="F53" i="30"/>
  <c r="M53" i="30"/>
  <c r="Z53" i="30"/>
  <c r="D43" i="30"/>
  <c r="D41" i="30" s="1"/>
  <c r="G4" i="33" s="1"/>
  <c r="E10" i="28"/>
  <c r="F3" i="23"/>
  <c r="E70" i="30"/>
  <c r="E66" i="30" s="1"/>
  <c r="I5" i="31" s="1"/>
  <c r="C96" i="20"/>
  <c r="R52" i="11"/>
  <c r="R12" i="30" s="1"/>
  <c r="R10" i="30" s="1"/>
  <c r="C18" i="31" s="1"/>
  <c r="O46" i="11"/>
  <c r="AE46" i="11"/>
  <c r="Q46" i="11"/>
  <c r="AH46" i="11"/>
  <c r="AB46" i="11"/>
  <c r="I46" i="11"/>
  <c r="Z46" i="11"/>
  <c r="U46" i="11"/>
  <c r="AJ46" i="11"/>
  <c r="S46" i="11"/>
  <c r="AI46" i="11"/>
  <c r="R46" i="11"/>
  <c r="L46" i="11"/>
  <c r="AC46" i="11"/>
  <c r="J46" i="11"/>
  <c r="E46" i="11"/>
  <c r="D46" i="11"/>
  <c r="G46" i="11"/>
  <c r="W46" i="11"/>
  <c r="C46" i="11"/>
  <c r="AF46" i="11"/>
  <c r="M46" i="11"/>
  <c r="AD46" i="11"/>
  <c r="X46" i="11"/>
  <c r="T46" i="11"/>
  <c r="F46" i="11"/>
  <c r="K46" i="11"/>
  <c r="AA46" i="11"/>
  <c r="P46" i="11"/>
  <c r="AG46" i="11"/>
  <c r="N46" i="11"/>
  <c r="H46" i="11"/>
  <c r="Y46" i="11"/>
  <c r="AK46" i="11"/>
  <c r="V46" i="11"/>
  <c r="M39" i="20"/>
  <c r="AD34" i="8"/>
  <c r="AC16" i="30"/>
  <c r="I68" i="30"/>
  <c r="I65" i="30" s="1"/>
  <c r="I9" i="34" s="1"/>
  <c r="J7" i="25"/>
  <c r="F79" i="43"/>
  <c r="E79" i="43"/>
  <c r="F87" i="43"/>
  <c r="E87" i="43"/>
  <c r="E95" i="43"/>
  <c r="F95" i="43"/>
  <c r="F103" i="43"/>
  <c r="E103" i="43"/>
  <c r="F77" i="43"/>
  <c r="E77" i="43"/>
  <c r="E82" i="43"/>
  <c r="F82" i="43"/>
  <c r="AC30" i="30"/>
  <c r="AC27" i="30" s="1"/>
  <c r="E29" i="34" s="1"/>
  <c r="AD5" i="17"/>
  <c r="R53" i="30"/>
  <c r="B42" i="30"/>
  <c r="G2" i="32" s="1"/>
  <c r="N100" i="20"/>
  <c r="F40" i="20"/>
  <c r="E91" i="20"/>
  <c r="G3" i="24"/>
  <c r="F72" i="30"/>
  <c r="D90" i="20"/>
  <c r="D94" i="20" s="1"/>
  <c r="D96" i="20" s="1"/>
  <c r="D101" i="20" s="1"/>
  <c r="E41" i="20"/>
  <c r="E9" i="1"/>
  <c r="D10" i="1"/>
  <c r="D5" i="30" s="1"/>
  <c r="D4" i="30" s="1"/>
  <c r="B4" i="31" s="1"/>
  <c r="C50" i="18"/>
  <c r="C49" i="18"/>
  <c r="C52" i="18" s="1"/>
  <c r="C55" i="30" s="1"/>
  <c r="M34" i="20"/>
  <c r="N71" i="30"/>
  <c r="O4" i="24"/>
  <c r="Q37" i="20"/>
  <c r="J45" i="18"/>
  <c r="K4" i="18"/>
  <c r="J35" i="18"/>
  <c r="J23" i="18"/>
  <c r="E71" i="43"/>
  <c r="F71" i="43"/>
  <c r="F76" i="43"/>
  <c r="E76" i="43"/>
  <c r="F84" i="43"/>
  <c r="E84" i="43"/>
  <c r="F112" i="43"/>
  <c r="E112" i="43"/>
  <c r="F73" i="43"/>
  <c r="E73" i="43"/>
  <c r="J100" i="20"/>
  <c r="AC53" i="30"/>
  <c r="D9" i="28"/>
  <c r="C45" i="30"/>
  <c r="E53" i="30"/>
  <c r="C14" i="28"/>
  <c r="F47" i="11"/>
  <c r="F52" i="11" s="1"/>
  <c r="F12" i="30" s="1"/>
  <c r="F10" i="30" s="1"/>
  <c r="C6" i="31" s="1"/>
  <c r="V47" i="11"/>
  <c r="V52" i="11" s="1"/>
  <c r="V12" i="30" s="1"/>
  <c r="V10" i="30" s="1"/>
  <c r="C22" i="31" s="1"/>
  <c r="E47" i="11"/>
  <c r="E52" i="11" s="1"/>
  <c r="E12" i="30" s="1"/>
  <c r="E10" i="30" s="1"/>
  <c r="C5" i="31" s="1"/>
  <c r="U47" i="11"/>
  <c r="U52" i="11" s="1"/>
  <c r="U12" i="30" s="1"/>
  <c r="U10" i="30" s="1"/>
  <c r="C21" i="31" s="1"/>
  <c r="L47" i="11"/>
  <c r="L52" i="11" s="1"/>
  <c r="L12" i="30" s="1"/>
  <c r="L10" i="30" s="1"/>
  <c r="C12" i="31" s="1"/>
  <c r="AB47" i="11"/>
  <c r="AB52" i="11" s="1"/>
  <c r="AB12" i="30" s="1"/>
  <c r="AB10" i="30" s="1"/>
  <c r="C28" i="31" s="1"/>
  <c r="W47" i="11"/>
  <c r="W52" i="11" s="1"/>
  <c r="W12" i="30" s="1"/>
  <c r="W10" i="30" s="1"/>
  <c r="C23" i="31" s="1"/>
  <c r="AE47" i="11"/>
  <c r="AE52" i="11" s="1"/>
  <c r="AE12" i="30" s="1"/>
  <c r="Y47" i="11"/>
  <c r="Y52" i="11" s="1"/>
  <c r="Y12" i="30" s="1"/>
  <c r="Y10" i="30" s="1"/>
  <c r="C25" i="31" s="1"/>
  <c r="C47" i="11"/>
  <c r="C52" i="11" s="1"/>
  <c r="C12" i="30" s="1"/>
  <c r="C10" i="30" s="1"/>
  <c r="C3" i="31" s="1"/>
  <c r="P47" i="11"/>
  <c r="P52" i="11" s="1"/>
  <c r="P12" i="30" s="1"/>
  <c r="P10" i="30" s="1"/>
  <c r="C16" i="31" s="1"/>
  <c r="AF47" i="11"/>
  <c r="AF52" i="11" s="1"/>
  <c r="AF12" i="30" s="1"/>
  <c r="S47" i="11"/>
  <c r="S52" i="11" s="1"/>
  <c r="S12" i="30" s="1"/>
  <c r="S10" i="30" s="1"/>
  <c r="C19" i="31" s="1"/>
  <c r="AA47" i="11"/>
  <c r="AA52" i="11" s="1"/>
  <c r="AA12" i="30" s="1"/>
  <c r="AA10" i="30" s="1"/>
  <c r="C27" i="31" s="1"/>
  <c r="N47" i="11"/>
  <c r="N52" i="11" s="1"/>
  <c r="N12" i="30" s="1"/>
  <c r="N10" i="30" s="1"/>
  <c r="C14" i="31" s="1"/>
  <c r="AD47" i="11"/>
  <c r="AD52" i="11" s="1"/>
  <c r="AD12" i="30" s="1"/>
  <c r="M47" i="11"/>
  <c r="M52" i="11" s="1"/>
  <c r="M12" i="30" s="1"/>
  <c r="M10" i="30" s="1"/>
  <c r="C13" i="31" s="1"/>
  <c r="AC47" i="11"/>
  <c r="AC52" i="11" s="1"/>
  <c r="AC12" i="30" s="1"/>
  <c r="AC10" i="30" s="1"/>
  <c r="C29" i="31" s="1"/>
  <c r="AK47" i="11"/>
  <c r="AK52" i="11" s="1"/>
  <c r="AK12" i="30" s="1"/>
  <c r="D47" i="11"/>
  <c r="D52" i="11" s="1"/>
  <c r="D12" i="30" s="1"/>
  <c r="D10" i="30" s="1"/>
  <c r="C4" i="31" s="1"/>
  <c r="T47" i="11"/>
  <c r="T52" i="11" s="1"/>
  <c r="T12" i="30" s="1"/>
  <c r="T10" i="30" s="1"/>
  <c r="C20" i="31" s="1"/>
  <c r="AJ47" i="11"/>
  <c r="AJ52" i="11" s="1"/>
  <c r="AJ12" i="30" s="1"/>
  <c r="AI47" i="11"/>
  <c r="AI52" i="11" s="1"/>
  <c r="AI12" i="30" s="1"/>
  <c r="K47" i="11"/>
  <c r="K52" i="11" s="1"/>
  <c r="K12" i="30" s="1"/>
  <c r="K10" i="30" s="1"/>
  <c r="C11" i="31" s="1"/>
  <c r="AG47" i="11"/>
  <c r="AG52" i="11" s="1"/>
  <c r="AG12" i="30" s="1"/>
  <c r="H47" i="11"/>
  <c r="H52" i="11" s="1"/>
  <c r="H12" i="30" s="1"/>
  <c r="H10" i="30" s="1"/>
  <c r="C8" i="31" s="1"/>
  <c r="X47" i="11"/>
  <c r="X52" i="11" s="1"/>
  <c r="X12" i="30" s="1"/>
  <c r="X10" i="30" s="1"/>
  <c r="C24" i="31" s="1"/>
  <c r="G47" i="11"/>
  <c r="G52" i="11" s="1"/>
  <c r="G12" i="30" s="1"/>
  <c r="G10" i="30" s="1"/>
  <c r="C7" i="31" s="1"/>
  <c r="O47" i="11"/>
  <c r="O52" i="11" s="1"/>
  <c r="O12" i="30" s="1"/>
  <c r="O10" i="30" s="1"/>
  <c r="C15" i="31" s="1"/>
  <c r="Z47" i="11"/>
  <c r="Z52" i="11" s="1"/>
  <c r="Z12" i="30" s="1"/>
  <c r="Z10" i="30" s="1"/>
  <c r="C26" i="31" s="1"/>
  <c r="F23" i="20"/>
  <c r="E89" i="20"/>
  <c r="Q47" i="11"/>
  <c r="Q52" i="11" s="1"/>
  <c r="Q12" i="30" s="1"/>
  <c r="Q10" i="30" s="1"/>
  <c r="C17" i="31" s="1"/>
  <c r="AF13" i="30"/>
  <c r="AG33" i="8"/>
  <c r="AF7" i="13"/>
  <c r="AE22" i="30"/>
  <c r="AE19" i="30" s="1"/>
  <c r="D31" i="31" s="1"/>
  <c r="D24" i="18"/>
  <c r="E5" i="18"/>
  <c r="D46" i="18"/>
  <c r="D36" i="18"/>
  <c r="J6" i="18"/>
  <c r="I48" i="18"/>
  <c r="I26" i="18"/>
  <c r="I38" i="18"/>
  <c r="N36" i="20"/>
  <c r="N37" i="18"/>
  <c r="N47" i="18"/>
  <c r="N25" i="18"/>
  <c r="O7" i="18"/>
  <c r="F96" i="43"/>
  <c r="E96" i="43"/>
  <c r="F111" i="43"/>
  <c r="E111" i="43"/>
  <c r="E78" i="43"/>
  <c r="F78" i="43"/>
  <c r="E90" i="43"/>
  <c r="F90" i="43"/>
  <c r="E67" i="43"/>
  <c r="F67" i="43"/>
  <c r="E101" i="43"/>
  <c r="F101" i="43"/>
  <c r="E65" i="43"/>
  <c r="F65" i="43"/>
  <c r="E94" i="43"/>
  <c r="F94" i="43"/>
  <c r="F92" i="43"/>
  <c r="E92" i="43"/>
  <c r="F108" i="43"/>
  <c r="E108" i="43"/>
  <c r="F107" i="43"/>
  <c r="E107" i="43"/>
  <c r="F63" i="43"/>
  <c r="E63" i="43"/>
  <c r="E102" i="43"/>
  <c r="F102" i="43"/>
  <c r="E110" i="43"/>
  <c r="F110" i="43"/>
  <c r="F116" i="43"/>
  <c r="E116" i="43"/>
  <c r="F85" i="43"/>
  <c r="E85" i="43"/>
  <c r="F109" i="43"/>
  <c r="E109" i="43"/>
  <c r="E115" i="43"/>
  <c r="F115" i="43"/>
  <c r="F69" i="43"/>
  <c r="E69" i="43"/>
  <c r="F100" i="43"/>
  <c r="E100" i="43"/>
  <c r="F68" i="43"/>
  <c r="E68" i="43"/>
  <c r="E118" i="43"/>
  <c r="F118" i="43"/>
  <c r="F93" i="43"/>
  <c r="E93" i="43"/>
  <c r="E98" i="43"/>
  <c r="F98" i="43"/>
  <c r="E106" i="43"/>
  <c r="F106" i="43"/>
  <c r="E114" i="43"/>
  <c r="F114" i="43"/>
  <c r="F89" i="43"/>
  <c r="E89" i="43"/>
  <c r="E97" i="43"/>
  <c r="F97" i="43"/>
  <c r="E105" i="43"/>
  <c r="F105" i="43"/>
  <c r="E113" i="43"/>
  <c r="F113" i="43"/>
  <c r="E64" i="43"/>
  <c r="F64" i="43"/>
  <c r="E70" i="43"/>
  <c r="F70" i="43"/>
  <c r="E117" i="43"/>
  <c r="F117" i="43"/>
  <c r="E86" i="43"/>
  <c r="F86" i="43"/>
  <c r="E66" i="43"/>
  <c r="F66" i="43"/>
  <c r="F80" i="43"/>
  <c r="E80" i="43"/>
  <c r="E91" i="43"/>
  <c r="F91" i="43"/>
  <c r="F99" i="43"/>
  <c r="E99" i="43"/>
  <c r="E81" i="43"/>
  <c r="F81" i="43"/>
  <c r="AB21" i="43" l="1"/>
  <c r="Z21" i="43"/>
  <c r="Y21" i="43"/>
  <c r="U21" i="43"/>
  <c r="T21" i="43"/>
  <c r="AS21" i="43"/>
  <c r="AN21" i="43"/>
  <c r="AR21" i="43"/>
  <c r="AT21" i="43"/>
  <c r="AF21" i="43"/>
  <c r="AV21" i="43"/>
  <c r="AC21" i="43"/>
  <c r="AG21" i="43"/>
  <c r="Q21" i="43"/>
  <c r="AE21" i="43"/>
  <c r="AP21" i="43"/>
  <c r="O21" i="43"/>
  <c r="AA21" i="43"/>
  <c r="AO21" i="43"/>
  <c r="R21" i="43"/>
  <c r="AQ21" i="43"/>
  <c r="V21" i="43"/>
  <c r="AU21" i="43"/>
  <c r="AJ21" i="43"/>
  <c r="AK21" i="43"/>
  <c r="AI21" i="43"/>
  <c r="W21" i="43"/>
  <c r="AH21" i="43"/>
  <c r="AM21" i="43"/>
  <c r="P21" i="43"/>
  <c r="AL21" i="43"/>
  <c r="S21" i="43"/>
  <c r="N21" i="43"/>
  <c r="AD21" i="43"/>
  <c r="X21" i="43"/>
  <c r="J26" i="18"/>
  <c r="K6" i="18"/>
  <c r="J48" i="18"/>
  <c r="J38" i="18"/>
  <c r="D27" i="18"/>
  <c r="D29" i="18" s="1"/>
  <c r="D57" i="30" s="1"/>
  <c r="K23" i="18"/>
  <c r="K35" i="18"/>
  <c r="K45" i="18"/>
  <c r="L4" i="18"/>
  <c r="P4" i="24"/>
  <c r="O71" i="30"/>
  <c r="D54" i="30"/>
  <c r="F91" i="20"/>
  <c r="G40" i="20"/>
  <c r="C101" i="20"/>
  <c r="C103" i="20"/>
  <c r="D103" i="20" s="1"/>
  <c r="C102" i="20"/>
  <c r="E43" i="30"/>
  <c r="E41" i="30" s="1"/>
  <c r="G5" i="33" s="1"/>
  <c r="F10" i="28"/>
  <c r="V51" i="11"/>
  <c r="V11" i="30" s="1"/>
  <c r="V9" i="30" s="1"/>
  <c r="C22" i="32" s="1"/>
  <c r="K51" i="11"/>
  <c r="K11" i="30" s="1"/>
  <c r="K9" i="30" s="1"/>
  <c r="C11" i="32" s="1"/>
  <c r="AJ51" i="11"/>
  <c r="AJ11" i="30" s="1"/>
  <c r="L51" i="11"/>
  <c r="L11" i="30" s="1"/>
  <c r="L9" i="30" s="1"/>
  <c r="C12" i="32" s="1"/>
  <c r="AF51" i="11"/>
  <c r="AF11" i="30" s="1"/>
  <c r="AF9" i="30" s="1"/>
  <c r="C32" i="32" s="1"/>
  <c r="H51" i="11"/>
  <c r="H11" i="30" s="1"/>
  <c r="H9" i="30" s="1"/>
  <c r="C8" i="32" s="1"/>
  <c r="I51" i="11"/>
  <c r="I11" i="30" s="1"/>
  <c r="I9" i="30" s="1"/>
  <c r="C9" i="32" s="1"/>
  <c r="T51" i="11"/>
  <c r="T11" i="30" s="1"/>
  <c r="T9" i="30" s="1"/>
  <c r="C20" i="32" s="1"/>
  <c r="U51" i="11"/>
  <c r="U11" i="30" s="1"/>
  <c r="U9" i="30" s="1"/>
  <c r="C21" i="32" s="1"/>
  <c r="Q5" i="43"/>
  <c r="P5" i="43"/>
  <c r="AH5" i="43"/>
  <c r="AC5" i="43"/>
  <c r="U5" i="43"/>
  <c r="S5" i="43"/>
  <c r="AM5" i="43"/>
  <c r="AT5" i="43"/>
  <c r="AU5" i="43"/>
  <c r="V5" i="43"/>
  <c r="Y5" i="43"/>
  <c r="AG5" i="43"/>
  <c r="W5" i="43"/>
  <c r="AA5" i="43"/>
  <c r="R5" i="43"/>
  <c r="AN5" i="43"/>
  <c r="AB5" i="43"/>
  <c r="AK5" i="43"/>
  <c r="AD5" i="43"/>
  <c r="N5" i="43"/>
  <c r="AQ5" i="43"/>
  <c r="Z5" i="43"/>
  <c r="AI5" i="43"/>
  <c r="AS5" i="43"/>
  <c r="AL5" i="43"/>
  <c r="AF5" i="43"/>
  <c r="AV5" i="43"/>
  <c r="X5" i="43"/>
  <c r="T5" i="43"/>
  <c r="AO5" i="43"/>
  <c r="AE5" i="43"/>
  <c r="AJ5" i="43"/>
  <c r="AR5" i="43"/>
  <c r="O5" i="43"/>
  <c r="AP5" i="43"/>
  <c r="D39" i="18"/>
  <c r="D41" i="18" s="1"/>
  <c r="D58" i="30" s="1"/>
  <c r="J53" i="30"/>
  <c r="AV20" i="43"/>
  <c r="AS20" i="43"/>
  <c r="AT20" i="43"/>
  <c r="AU20" i="43"/>
  <c r="N34" i="20"/>
  <c r="N53" i="30"/>
  <c r="AE5" i="17"/>
  <c r="AD30" i="30"/>
  <c r="AD27" i="30" s="1"/>
  <c r="E30" i="34" s="1"/>
  <c r="AS23" i="43"/>
  <c r="AV23" i="43"/>
  <c r="AJ23" i="43"/>
  <c r="X23" i="43"/>
  <c r="AN23" i="43"/>
  <c r="W23" i="43"/>
  <c r="AB23" i="43"/>
  <c r="R23" i="43"/>
  <c r="AD23" i="43"/>
  <c r="N23" i="43"/>
  <c r="Y23" i="43"/>
  <c r="AF23" i="43"/>
  <c r="AR23" i="43"/>
  <c r="AC23" i="43"/>
  <c r="S23" i="43"/>
  <c r="AL23" i="43"/>
  <c r="AA23" i="43"/>
  <c r="V23" i="43"/>
  <c r="AG23" i="43"/>
  <c r="AU23" i="43"/>
  <c r="O23" i="43"/>
  <c r="AH23" i="43"/>
  <c r="T23" i="43"/>
  <c r="AP23" i="43"/>
  <c r="AM23" i="43"/>
  <c r="U23" i="43"/>
  <c r="AI23" i="43"/>
  <c r="AE23" i="43"/>
  <c r="AQ23" i="43"/>
  <c r="P23" i="43"/>
  <c r="AK23" i="43"/>
  <c r="Q23" i="43"/>
  <c r="AO23" i="43"/>
  <c r="Z23" i="43"/>
  <c r="AT23" i="43"/>
  <c r="AD16" i="30"/>
  <c r="AE34" i="8"/>
  <c r="AC19" i="43"/>
  <c r="AB19" i="43"/>
  <c r="AQ19" i="43"/>
  <c r="AV19" i="43"/>
  <c r="P19" i="43"/>
  <c r="AO19" i="43"/>
  <c r="Z19" i="43"/>
  <c r="AH19" i="43"/>
  <c r="T19" i="43"/>
  <c r="AK19" i="43"/>
  <c r="U19" i="43"/>
  <c r="O19" i="43"/>
  <c r="X19" i="43"/>
  <c r="AP19" i="43"/>
  <c r="AS19" i="43"/>
  <c r="AF19" i="43"/>
  <c r="N19" i="43"/>
  <c r="AN19" i="43"/>
  <c r="AT19" i="43"/>
  <c r="R19" i="43"/>
  <c r="AM19" i="43"/>
  <c r="AA19" i="43"/>
  <c r="AG19" i="43"/>
  <c r="AE19" i="43"/>
  <c r="AJ19" i="43"/>
  <c r="AL19" i="43"/>
  <c r="Q19" i="43"/>
  <c r="AR19" i="43"/>
  <c r="Y19" i="43"/>
  <c r="AI19" i="43"/>
  <c r="S19" i="43"/>
  <c r="AD19" i="43"/>
  <c r="W19" i="43"/>
  <c r="V19" i="43"/>
  <c r="AU19" i="43"/>
  <c r="M69" i="30"/>
  <c r="N4" i="23"/>
  <c r="R51" i="11"/>
  <c r="R11" i="30" s="1"/>
  <c r="R9" i="30" s="1"/>
  <c r="C18" i="32" s="1"/>
  <c r="AC51" i="11"/>
  <c r="AC11" i="30" s="1"/>
  <c r="AC9" i="30" s="1"/>
  <c r="C29" i="32" s="1"/>
  <c r="S51" i="11"/>
  <c r="S11" i="30" s="1"/>
  <c r="S9" i="30" s="1"/>
  <c r="C19" i="32" s="1"/>
  <c r="AG51" i="11"/>
  <c r="AG11" i="30" s="1"/>
  <c r="AD51" i="11"/>
  <c r="AD11" i="30" s="1"/>
  <c r="AD9" i="30" s="1"/>
  <c r="C30" i="32" s="1"/>
  <c r="AA51" i="11"/>
  <c r="AA11" i="30" s="1"/>
  <c r="AA9" i="30" s="1"/>
  <c r="C27" i="32" s="1"/>
  <c r="O51" i="11"/>
  <c r="O11" i="30" s="1"/>
  <c r="O9" i="30" s="1"/>
  <c r="C15" i="32" s="1"/>
  <c r="X51" i="11"/>
  <c r="X11" i="30" s="1"/>
  <c r="X9" i="30" s="1"/>
  <c r="C24" i="32" s="1"/>
  <c r="E51" i="11"/>
  <c r="E11" i="30" s="1"/>
  <c r="E9" i="30" s="1"/>
  <c r="C5" i="32" s="1"/>
  <c r="D50" i="18"/>
  <c r="D49" i="18"/>
  <c r="D52" i="18" s="1"/>
  <c r="D55" i="30" s="1"/>
  <c r="AG7" i="13"/>
  <c r="AF22" i="30"/>
  <c r="AF19" i="30" s="1"/>
  <c r="D32" i="31" s="1"/>
  <c r="AD10" i="30"/>
  <c r="C30" i="31" s="1"/>
  <c r="C46" i="30"/>
  <c r="C42" i="30" s="1"/>
  <c r="G3" i="32" s="1"/>
  <c r="D14" i="28"/>
  <c r="E9" i="28"/>
  <c r="D45" i="30"/>
  <c r="R37" i="20"/>
  <c r="E10" i="1"/>
  <c r="E5" i="30" s="1"/>
  <c r="E4" i="30" s="1"/>
  <c r="B5" i="31" s="1"/>
  <c r="F9" i="1"/>
  <c r="H3" i="24"/>
  <c r="G72" i="30"/>
  <c r="J68" i="30"/>
  <c r="J65" i="30" s="1"/>
  <c r="I10" i="34" s="1"/>
  <c r="K7" i="25"/>
  <c r="N39" i="20"/>
  <c r="C52" i="30"/>
  <c r="H3" i="32" s="1"/>
  <c r="AI53" i="30"/>
  <c r="AK51" i="11"/>
  <c r="AK11" i="30" s="1"/>
  <c r="M51" i="11"/>
  <c r="M11" i="30" s="1"/>
  <c r="M9" i="30" s="1"/>
  <c r="C13" i="32" s="1"/>
  <c r="W51" i="11"/>
  <c r="W11" i="30" s="1"/>
  <c r="W9" i="30" s="1"/>
  <c r="C23" i="32" s="1"/>
  <c r="Q51" i="11"/>
  <c r="Q11" i="30" s="1"/>
  <c r="Q9" i="30" s="1"/>
  <c r="C17" i="32" s="1"/>
  <c r="AH51" i="11"/>
  <c r="AH11" i="30" s="1"/>
  <c r="J51" i="11"/>
  <c r="J11" i="30" s="1"/>
  <c r="J9" i="30" s="1"/>
  <c r="C10" i="32" s="1"/>
  <c r="P51" i="11"/>
  <c r="P11" i="30" s="1"/>
  <c r="P9" i="30" s="1"/>
  <c r="C16" i="32" s="1"/>
  <c r="G51" i="11"/>
  <c r="G11" i="30" s="1"/>
  <c r="G9" i="30" s="1"/>
  <c r="C7" i="32" s="1"/>
  <c r="O47" i="18"/>
  <c r="O25" i="18"/>
  <c r="P7" i="18"/>
  <c r="O37" i="18"/>
  <c r="O36" i="20"/>
  <c r="E36" i="18"/>
  <c r="E24" i="18"/>
  <c r="E46" i="18"/>
  <c r="F5" i="18"/>
  <c r="AH33" i="8"/>
  <c r="AG13" i="30"/>
  <c r="F89" i="20"/>
  <c r="G23" i="20"/>
  <c r="E90" i="20"/>
  <c r="E94" i="20" s="1"/>
  <c r="E96" i="20" s="1"/>
  <c r="E101" i="20" s="1"/>
  <c r="F41" i="20"/>
  <c r="AH13" i="43"/>
  <c r="V13" i="43"/>
  <c r="AV13" i="43"/>
  <c r="P13" i="43"/>
  <c r="AJ13" i="43"/>
  <c r="Y13" i="43"/>
  <c r="AI13" i="43"/>
  <c r="AO13" i="43"/>
  <c r="T13" i="43"/>
  <c r="AL13" i="43"/>
  <c r="AE13" i="43"/>
  <c r="AD13" i="43"/>
  <c r="AM13" i="43"/>
  <c r="W13" i="43"/>
  <c r="X13" i="43"/>
  <c r="AT13" i="43"/>
  <c r="AA13" i="43"/>
  <c r="N13" i="43"/>
  <c r="AR13" i="43"/>
  <c r="U13" i="43"/>
  <c r="AB13" i="43"/>
  <c r="Z13" i="43"/>
  <c r="AG13" i="43"/>
  <c r="AU13" i="43"/>
  <c r="S13" i="43"/>
  <c r="AK13" i="43"/>
  <c r="AC13" i="43"/>
  <c r="R13" i="43"/>
  <c r="AQ13" i="43"/>
  <c r="AN13" i="43"/>
  <c r="Q13" i="43"/>
  <c r="AF13" i="43"/>
  <c r="AP13" i="43"/>
  <c r="O13" i="43"/>
  <c r="AS13" i="43"/>
  <c r="G3" i="23"/>
  <c r="F70" i="30"/>
  <c r="F66" i="30" s="1"/>
  <c r="I6" i="31" s="1"/>
  <c r="N51" i="11"/>
  <c r="N11" i="30" s="1"/>
  <c r="N9" i="30" s="1"/>
  <c r="C14" i="32" s="1"/>
  <c r="AB51" i="11"/>
  <c r="AB11" i="30" s="1"/>
  <c r="AB9" i="30" s="1"/>
  <c r="C28" i="32" s="1"/>
  <c r="AE51" i="11"/>
  <c r="AE11" i="30" s="1"/>
  <c r="AE9" i="30" s="1"/>
  <c r="C31" i="32" s="1"/>
  <c r="F51" i="11"/>
  <c r="F11" i="30" s="1"/>
  <c r="F9" i="30" s="1"/>
  <c r="C6" i="32" s="1"/>
  <c r="C51" i="11"/>
  <c r="C11" i="30" s="1"/>
  <c r="C9" i="30" s="1"/>
  <c r="C3" i="32" s="1"/>
  <c r="D51" i="11"/>
  <c r="D11" i="30" s="1"/>
  <c r="D9" i="30" s="1"/>
  <c r="C4" i="32" s="1"/>
  <c r="Y51" i="11"/>
  <c r="Y11" i="30" s="1"/>
  <c r="Y9" i="30" s="1"/>
  <c r="C25" i="32" s="1"/>
  <c r="AI51" i="11"/>
  <c r="AI11" i="30" s="1"/>
  <c r="Z51" i="11"/>
  <c r="Z11" i="30" s="1"/>
  <c r="Z9" i="30" s="1"/>
  <c r="C26" i="32" s="1"/>
  <c r="V53" i="30"/>
  <c r="AB44" i="30"/>
  <c r="AC4" i="27"/>
  <c r="D52" i="30" l="1"/>
  <c r="H4" i="32" s="1"/>
  <c r="E54" i="30"/>
  <c r="AI33" i="8"/>
  <c r="AH13" i="30"/>
  <c r="E39" i="18"/>
  <c r="E41" i="18"/>
  <c r="E58" i="30" s="1"/>
  <c r="Q7" i="18"/>
  <c r="P25" i="18"/>
  <c r="P37" i="18"/>
  <c r="P47" i="18"/>
  <c r="K68" i="30"/>
  <c r="K65" i="30" s="1"/>
  <c r="I11" i="34" s="1"/>
  <c r="L7" i="25"/>
  <c r="F10" i="1"/>
  <c r="F5" i="30" s="1"/>
  <c r="F4" i="30" s="1"/>
  <c r="B6" i="31" s="1"/>
  <c r="G9" i="1"/>
  <c r="D46" i="30"/>
  <c r="E14" i="28"/>
  <c r="O4" i="23"/>
  <c r="N69" i="30"/>
  <c r="O34" i="20"/>
  <c r="G10" i="28"/>
  <c r="F43" i="30"/>
  <c r="F41" i="30" s="1"/>
  <c r="G6" i="33" s="1"/>
  <c r="C54" i="30"/>
  <c r="C105" i="20"/>
  <c r="M4" i="18"/>
  <c r="L45" i="18"/>
  <c r="L23" i="18"/>
  <c r="L35" i="18"/>
  <c r="H23" i="20"/>
  <c r="G89" i="20"/>
  <c r="F24" i="18"/>
  <c r="G5" i="18"/>
  <c r="F36" i="18"/>
  <c r="F46" i="18"/>
  <c r="AF5" i="17"/>
  <c r="AE30" i="30"/>
  <c r="AE27" i="30" s="1"/>
  <c r="E31" i="34" s="1"/>
  <c r="E49" i="18"/>
  <c r="E50" i="18"/>
  <c r="E52" i="18"/>
  <c r="E55" i="30" s="1"/>
  <c r="P36" i="20"/>
  <c r="AH9" i="30"/>
  <c r="C34" i="32" s="1"/>
  <c r="O39" i="20"/>
  <c r="S37" i="20"/>
  <c r="D42" i="30"/>
  <c r="G4" i="32" s="1"/>
  <c r="C59" i="30"/>
  <c r="D102" i="20"/>
  <c r="H40" i="20"/>
  <c r="G91" i="20"/>
  <c r="AC44" i="30"/>
  <c r="AD4" i="27"/>
  <c r="H3" i="23"/>
  <c r="G70" i="30"/>
  <c r="G66" i="30" s="1"/>
  <c r="I7" i="31" s="1"/>
  <c r="F90" i="20"/>
  <c r="F94" i="20" s="1"/>
  <c r="F96" i="20" s="1"/>
  <c r="F101" i="20" s="1"/>
  <c r="G41" i="20"/>
  <c r="E27" i="18"/>
  <c r="E29" i="18"/>
  <c r="E57" i="30" s="1"/>
  <c r="E52" i="30" s="1"/>
  <c r="H5" i="32" s="1"/>
  <c r="H72" i="30"/>
  <c r="I3" i="24"/>
  <c r="F9" i="28"/>
  <c r="E45" i="30"/>
  <c r="AH7" i="13"/>
  <c r="AG22" i="30"/>
  <c r="AG19" i="30" s="1"/>
  <c r="D33" i="31" s="1"/>
  <c r="AG9" i="30"/>
  <c r="C33" i="32" s="1"/>
  <c r="AF34" i="8"/>
  <c r="AE16" i="30"/>
  <c r="AE10" i="30" s="1"/>
  <c r="C31" i="31" s="1"/>
  <c r="E103" i="20"/>
  <c r="Q4" i="24"/>
  <c r="P71" i="30"/>
  <c r="K38" i="18"/>
  <c r="L6" i="18"/>
  <c r="K26" i="18"/>
  <c r="K48" i="18"/>
  <c r="F54" i="30" l="1"/>
  <c r="F103" i="20"/>
  <c r="G9" i="28"/>
  <c r="F45" i="30"/>
  <c r="H70" i="30"/>
  <c r="H66" i="30" s="1"/>
  <c r="I8" i="31" s="1"/>
  <c r="I3" i="23"/>
  <c r="F39" i="18"/>
  <c r="F41" i="18"/>
  <c r="F58" i="30" s="1"/>
  <c r="I23" i="20"/>
  <c r="H89" i="20"/>
  <c r="M45" i="18"/>
  <c r="N4" i="18"/>
  <c r="M35" i="18"/>
  <c r="M23" i="18"/>
  <c r="G43" i="30"/>
  <c r="G41" i="30" s="1"/>
  <c r="G7" i="33" s="1"/>
  <c r="H10" i="28"/>
  <c r="P4" i="23"/>
  <c r="O69" i="30"/>
  <c r="I72" i="30"/>
  <c r="J3" i="24"/>
  <c r="G90" i="20"/>
  <c r="H41" i="20"/>
  <c r="AE4" i="27"/>
  <c r="AD44" i="30"/>
  <c r="P39" i="20"/>
  <c r="Q36" i="20"/>
  <c r="G46" i="18"/>
  <c r="H5" i="18"/>
  <c r="G24" i="18"/>
  <c r="G36" i="18"/>
  <c r="F14" i="28"/>
  <c r="E46" i="30"/>
  <c r="L68" i="30"/>
  <c r="L65" i="30" s="1"/>
  <c r="I12" i="34" s="1"/>
  <c r="M7" i="25"/>
  <c r="L26" i="18"/>
  <c r="M6" i="18"/>
  <c r="L38" i="18"/>
  <c r="L48" i="18"/>
  <c r="AI7" i="13"/>
  <c r="AH22" i="30"/>
  <c r="AH19" i="30" s="1"/>
  <c r="D34" i="31" s="1"/>
  <c r="I40" i="20"/>
  <c r="H91" i="20"/>
  <c r="AF30" i="30"/>
  <c r="AF27" i="30" s="1"/>
  <c r="E32" i="34" s="1"/>
  <c r="AG5" i="17"/>
  <c r="F27" i="18"/>
  <c r="F29" i="18" s="1"/>
  <c r="F57" i="30" s="1"/>
  <c r="F52" i="30" s="1"/>
  <c r="H6" i="32" s="1"/>
  <c r="C51" i="30"/>
  <c r="H3" i="33" s="1"/>
  <c r="P34" i="20"/>
  <c r="Q71" i="30"/>
  <c r="R4" i="24"/>
  <c r="AG34" i="8"/>
  <c r="AF16" i="30"/>
  <c r="AF10" i="30" s="1"/>
  <c r="C32" i="31" s="1"/>
  <c r="E42" i="30"/>
  <c r="G5" i="32" s="1"/>
  <c r="E102" i="20"/>
  <c r="D59" i="30"/>
  <c r="D51" i="30" s="1"/>
  <c r="H4" i="33" s="1"/>
  <c r="D105" i="20"/>
  <c r="T37" i="20"/>
  <c r="F50" i="18"/>
  <c r="F52" i="18"/>
  <c r="F55" i="30" s="1"/>
  <c r="F49" i="18"/>
  <c r="G94" i="20"/>
  <c r="G96" i="20" s="1"/>
  <c r="G101" i="20" s="1"/>
  <c r="G10" i="1"/>
  <c r="G5" i="30" s="1"/>
  <c r="G4" i="30" s="1"/>
  <c r="B7" i="31" s="1"/>
  <c r="H9" i="1"/>
  <c r="R7" i="18"/>
  <c r="Q25" i="18"/>
  <c r="Q37" i="18"/>
  <c r="Q47" i="18"/>
  <c r="AI13" i="30"/>
  <c r="AI9" i="30" s="1"/>
  <c r="C35" i="32" s="1"/>
  <c r="AJ33" i="8"/>
  <c r="AG16" i="30" l="1"/>
  <c r="AG10" i="30" s="1"/>
  <c r="C33" i="31" s="1"/>
  <c r="AH34" i="8"/>
  <c r="AI22" i="30"/>
  <c r="AI19" i="30" s="1"/>
  <c r="D35" i="31" s="1"/>
  <c r="AJ7" i="13"/>
  <c r="F46" i="30"/>
  <c r="G14" i="28"/>
  <c r="G27" i="18"/>
  <c r="G29" i="18" s="1"/>
  <c r="G57" i="30" s="1"/>
  <c r="R36" i="20"/>
  <c r="AE44" i="30"/>
  <c r="AF4" i="27"/>
  <c r="G45" i="30"/>
  <c r="H9" i="28"/>
  <c r="R47" i="18"/>
  <c r="R37" i="18"/>
  <c r="R25" i="18"/>
  <c r="S7" i="18"/>
  <c r="H10" i="1"/>
  <c r="H5" i="30" s="1"/>
  <c r="H4" i="30" s="1"/>
  <c r="B8" i="31" s="1"/>
  <c r="I9" i="1"/>
  <c r="G54" i="30"/>
  <c r="U37" i="20"/>
  <c r="E59" i="30"/>
  <c r="E51" i="30" s="1"/>
  <c r="H5" i="33" s="1"/>
  <c r="F102" i="20"/>
  <c r="E105" i="20"/>
  <c r="S4" i="24"/>
  <c r="R71" i="30"/>
  <c r="Q34" i="20"/>
  <c r="N7" i="25"/>
  <c r="M68" i="30"/>
  <c r="M65" i="30" s="1"/>
  <c r="I13" i="34" s="1"/>
  <c r="I5" i="18"/>
  <c r="H24" i="18"/>
  <c r="H46" i="18"/>
  <c r="H36" i="18"/>
  <c r="Q39" i="20"/>
  <c r="I41" i="20"/>
  <c r="H90" i="20"/>
  <c r="H94" i="20" s="1"/>
  <c r="H96" i="20" s="1"/>
  <c r="H101" i="20" s="1"/>
  <c r="J3" i="23"/>
  <c r="I70" i="30"/>
  <c r="I66" i="30" s="1"/>
  <c r="I9" i="31" s="1"/>
  <c r="G103" i="20"/>
  <c r="AK33" i="8"/>
  <c r="AK13" i="30" s="1"/>
  <c r="AK9" i="30" s="1"/>
  <c r="C37" i="32" s="1"/>
  <c r="AJ13" i="30"/>
  <c r="AJ9" i="30" s="1"/>
  <c r="C36" i="32" s="1"/>
  <c r="I91" i="20"/>
  <c r="J40" i="20"/>
  <c r="G50" i="18"/>
  <c r="G49" i="18"/>
  <c r="G52" i="18" s="1"/>
  <c r="G55" i="30" s="1"/>
  <c r="P69" i="30"/>
  <c r="Q4" i="23"/>
  <c r="J23" i="20"/>
  <c r="J89" i="20" s="1"/>
  <c r="J24" i="20"/>
  <c r="J28" i="20"/>
  <c r="J86" i="20" s="1"/>
  <c r="J27" i="20"/>
  <c r="K27" i="20" s="1"/>
  <c r="L27" i="20" s="1"/>
  <c r="M27" i="20" s="1"/>
  <c r="N27" i="20" s="1"/>
  <c r="O27" i="20" s="1"/>
  <c r="P27" i="20" s="1"/>
  <c r="Q27" i="20" s="1"/>
  <c r="R27" i="20" s="1"/>
  <c r="S27" i="20" s="1"/>
  <c r="T27" i="20" s="1"/>
  <c r="U27" i="20" s="1"/>
  <c r="V27" i="20" s="1"/>
  <c r="W27" i="20" s="1"/>
  <c r="X27" i="20" s="1"/>
  <c r="Y27" i="20" s="1"/>
  <c r="Z27" i="20" s="1"/>
  <c r="AA27" i="20" s="1"/>
  <c r="AB27" i="20" s="1"/>
  <c r="AC27" i="20" s="1"/>
  <c r="AD27" i="20" s="1"/>
  <c r="AE27" i="20" s="1"/>
  <c r="AF27" i="20" s="1"/>
  <c r="AG27" i="20" s="1"/>
  <c r="AH27" i="20" s="1"/>
  <c r="AI27" i="20" s="1"/>
  <c r="AJ27" i="20" s="1"/>
  <c r="AK27" i="20" s="1"/>
  <c r="J30" i="20"/>
  <c r="K23" i="20"/>
  <c r="K89" i="20" s="1"/>
  <c r="K24" i="20"/>
  <c r="K88" i="20" s="1"/>
  <c r="J25" i="20"/>
  <c r="K28" i="20"/>
  <c r="K86" i="20" s="1"/>
  <c r="J29" i="20"/>
  <c r="K29" i="20" s="1"/>
  <c r="L29" i="20" s="1"/>
  <c r="M29" i="20" s="1"/>
  <c r="N29" i="20" s="1"/>
  <c r="O29" i="20" s="1"/>
  <c r="P29" i="20" s="1"/>
  <c r="Q29" i="20" s="1"/>
  <c r="R29" i="20" s="1"/>
  <c r="S29" i="20" s="1"/>
  <c r="T29" i="20" s="1"/>
  <c r="U29" i="20" s="1"/>
  <c r="V29" i="20" s="1"/>
  <c r="W29" i="20" s="1"/>
  <c r="X29" i="20" s="1"/>
  <c r="Y29" i="20" s="1"/>
  <c r="Z29" i="20" s="1"/>
  <c r="AA29" i="20" s="1"/>
  <c r="AB29" i="20" s="1"/>
  <c r="AC29" i="20" s="1"/>
  <c r="AD29" i="20" s="1"/>
  <c r="AE29" i="20" s="1"/>
  <c r="AF29" i="20" s="1"/>
  <c r="AG29" i="20" s="1"/>
  <c r="AH29" i="20" s="1"/>
  <c r="AI29" i="20" s="1"/>
  <c r="AJ29" i="20" s="1"/>
  <c r="AK29" i="20" s="1"/>
  <c r="L23" i="20"/>
  <c r="L89" i="20" s="1"/>
  <c r="L28" i="20"/>
  <c r="L86" i="20" s="1"/>
  <c r="L24" i="20"/>
  <c r="K25" i="20"/>
  <c r="L25" i="20" s="1"/>
  <c r="M25" i="20" s="1"/>
  <c r="N25" i="20" s="1"/>
  <c r="O25" i="20" s="1"/>
  <c r="P25" i="20" s="1"/>
  <c r="Q25" i="20" s="1"/>
  <c r="R25" i="20" s="1"/>
  <c r="S25" i="20" s="1"/>
  <c r="T25" i="20" s="1"/>
  <c r="U25" i="20" s="1"/>
  <c r="V25" i="20" s="1"/>
  <c r="W25" i="20" s="1"/>
  <c r="X25" i="20" s="1"/>
  <c r="Y25" i="20" s="1"/>
  <c r="Z25" i="20" s="1"/>
  <c r="AA25" i="20" s="1"/>
  <c r="AB25" i="20" s="1"/>
  <c r="AC25" i="20" s="1"/>
  <c r="AD25" i="20" s="1"/>
  <c r="AE25" i="20" s="1"/>
  <c r="AF25" i="20" s="1"/>
  <c r="AG25" i="20" s="1"/>
  <c r="AH25" i="20" s="1"/>
  <c r="AI25" i="20" s="1"/>
  <c r="AJ25" i="20" s="1"/>
  <c r="AK25" i="20" s="1"/>
  <c r="K26" i="20"/>
  <c r="J26" i="20"/>
  <c r="J87" i="20" s="1"/>
  <c r="M23" i="20"/>
  <c r="M89" i="20" s="1"/>
  <c r="K30" i="20"/>
  <c r="L30" i="20" s="1"/>
  <c r="M30" i="20" s="1"/>
  <c r="N30" i="20" s="1"/>
  <c r="O30" i="20" s="1"/>
  <c r="P30" i="20" s="1"/>
  <c r="Q30" i="20" s="1"/>
  <c r="R30" i="20" s="1"/>
  <c r="S30" i="20" s="1"/>
  <c r="T30" i="20" s="1"/>
  <c r="U30" i="20" s="1"/>
  <c r="V30" i="20" s="1"/>
  <c r="W30" i="20" s="1"/>
  <c r="X30" i="20" s="1"/>
  <c r="Y30" i="20" s="1"/>
  <c r="Z30" i="20" s="1"/>
  <c r="AA30" i="20" s="1"/>
  <c r="AB30" i="20" s="1"/>
  <c r="AC30" i="20" s="1"/>
  <c r="AD30" i="20" s="1"/>
  <c r="AE30" i="20" s="1"/>
  <c r="AF30" i="20" s="1"/>
  <c r="AG30" i="20" s="1"/>
  <c r="AH30" i="20" s="1"/>
  <c r="AI30" i="20" s="1"/>
  <c r="AJ30" i="20" s="1"/>
  <c r="AK30" i="20" s="1"/>
  <c r="M28" i="20"/>
  <c r="M86" i="20" s="1"/>
  <c r="M24" i="20"/>
  <c r="N24" i="20" s="1"/>
  <c r="I89" i="20"/>
  <c r="AG30" i="30"/>
  <c r="AG27" i="30" s="1"/>
  <c r="E33" i="34" s="1"/>
  <c r="AH5" i="17"/>
  <c r="N6" i="18"/>
  <c r="M38" i="18"/>
  <c r="M48" i="18"/>
  <c r="M26" i="18"/>
  <c r="G39" i="18"/>
  <c r="G41" i="18" s="1"/>
  <c r="G58" i="30" s="1"/>
  <c r="J72" i="30"/>
  <c r="K3" i="24"/>
  <c r="I10" i="28"/>
  <c r="H43" i="30"/>
  <c r="H41" i="30" s="1"/>
  <c r="G8" i="33" s="1"/>
  <c r="N45" i="18"/>
  <c r="N23" i="18"/>
  <c r="N35" i="18"/>
  <c r="O4" i="18"/>
  <c r="F42" i="30"/>
  <c r="G6" i="32" s="1"/>
  <c r="H54" i="30" l="1"/>
  <c r="G52" i="30"/>
  <c r="H7" i="32" s="1"/>
  <c r="N88" i="20"/>
  <c r="O24" i="20"/>
  <c r="AI5" i="17"/>
  <c r="AH30" i="30"/>
  <c r="AH27" i="30" s="1"/>
  <c r="E34" i="34" s="1"/>
  <c r="K87" i="20"/>
  <c r="N28" i="20"/>
  <c r="N23" i="20"/>
  <c r="L26" i="20"/>
  <c r="K3" i="23"/>
  <c r="J70" i="30"/>
  <c r="J66" i="30" s="1"/>
  <c r="I10" i="31" s="1"/>
  <c r="H39" i="18"/>
  <c r="H41" i="18"/>
  <c r="H58" i="30" s="1"/>
  <c r="AG4" i="27"/>
  <c r="AF44" i="30"/>
  <c r="AJ22" i="30"/>
  <c r="AJ19" i="30" s="1"/>
  <c r="D36" i="31" s="1"/>
  <c r="AK7" i="13"/>
  <c r="AK22" i="30" s="1"/>
  <c r="AK19" i="30" s="1"/>
  <c r="D37" i="31" s="1"/>
  <c r="L88" i="20"/>
  <c r="R4" i="23"/>
  <c r="Q69" i="30"/>
  <c r="I90" i="20"/>
  <c r="J41" i="20"/>
  <c r="H49" i="18"/>
  <c r="H52" i="18"/>
  <c r="H55" i="30" s="1"/>
  <c r="H50" i="18"/>
  <c r="N68" i="30"/>
  <c r="N65" i="30" s="1"/>
  <c r="I14" i="34" s="1"/>
  <c r="O7" i="25"/>
  <c r="S71" i="30"/>
  <c r="T4" i="24"/>
  <c r="V37" i="20"/>
  <c r="I10" i="1"/>
  <c r="I5" i="30" s="1"/>
  <c r="I4" i="30" s="1"/>
  <c r="B9" i="31" s="1"/>
  <c r="J9" i="1"/>
  <c r="K72" i="30"/>
  <c r="L3" i="24"/>
  <c r="M88" i="20"/>
  <c r="P4" i="18"/>
  <c r="O35" i="18"/>
  <c r="O23" i="18"/>
  <c r="O45" i="18"/>
  <c r="I94" i="20"/>
  <c r="I96" i="20" s="1"/>
  <c r="I101" i="20" s="1"/>
  <c r="J88" i="20"/>
  <c r="J91" i="20"/>
  <c r="K40" i="20"/>
  <c r="H103" i="20"/>
  <c r="I103" i="20" s="1"/>
  <c r="H27" i="18"/>
  <c r="H29" i="18" s="1"/>
  <c r="H57" i="30" s="1"/>
  <c r="H52" i="30" s="1"/>
  <c r="H8" i="32" s="1"/>
  <c r="R34" i="20"/>
  <c r="S36" i="20"/>
  <c r="H14" i="28"/>
  <c r="G46" i="30"/>
  <c r="G42" i="30" s="1"/>
  <c r="G7" i="32" s="1"/>
  <c r="AI34" i="8"/>
  <c r="AH16" i="30"/>
  <c r="AH10" i="30" s="1"/>
  <c r="C34" i="31" s="1"/>
  <c r="J10" i="28"/>
  <c r="I43" i="30"/>
  <c r="I41" i="30" s="1"/>
  <c r="G9" i="33" s="1"/>
  <c r="N26" i="18"/>
  <c r="N48" i="18"/>
  <c r="N38" i="18"/>
  <c r="O6" i="18"/>
  <c r="R39" i="20"/>
  <c r="I36" i="18"/>
  <c r="I46" i="18"/>
  <c r="J5" i="18"/>
  <c r="I24" i="18"/>
  <c r="F59" i="30"/>
  <c r="F51" i="30" s="1"/>
  <c r="H6" i="33" s="1"/>
  <c r="G102" i="20"/>
  <c r="F105" i="20"/>
  <c r="S47" i="18"/>
  <c r="S25" i="18"/>
  <c r="S37" i="18"/>
  <c r="T7" i="18"/>
  <c r="I9" i="28"/>
  <c r="H45" i="30"/>
  <c r="J46" i="18" l="1"/>
  <c r="K5" i="18"/>
  <c r="J36" i="18"/>
  <c r="J24" i="18"/>
  <c r="S34" i="20"/>
  <c r="G59" i="30"/>
  <c r="G51" i="30" s="1"/>
  <c r="H7" i="33" s="1"/>
  <c r="H102" i="20"/>
  <c r="G105" i="20"/>
  <c r="I49" i="18"/>
  <c r="I52" i="18" s="1"/>
  <c r="I55" i="30" s="1"/>
  <c r="I50" i="18"/>
  <c r="I14" i="28"/>
  <c r="H46" i="30"/>
  <c r="L40" i="20"/>
  <c r="K91" i="20"/>
  <c r="L72" i="30"/>
  <c r="M3" i="24"/>
  <c r="W37" i="20"/>
  <c r="O68" i="30"/>
  <c r="O65" i="30" s="1"/>
  <c r="I15" i="34" s="1"/>
  <c r="P7" i="25"/>
  <c r="S4" i="23"/>
  <c r="R69" i="30"/>
  <c r="K70" i="30"/>
  <c r="K66" i="30" s="1"/>
  <c r="I11" i="31" s="1"/>
  <c r="L3" i="23"/>
  <c r="AJ5" i="17"/>
  <c r="AI30" i="30"/>
  <c r="AI27" i="30" s="1"/>
  <c r="E35" i="34" s="1"/>
  <c r="I39" i="18"/>
  <c r="I41" i="18" s="1"/>
  <c r="I58" i="30" s="1"/>
  <c r="T36" i="20"/>
  <c r="J90" i="20"/>
  <c r="J94" i="20" s="1"/>
  <c r="J96" i="20" s="1"/>
  <c r="J101" i="20" s="1"/>
  <c r="K41" i="20"/>
  <c r="L87" i="20"/>
  <c r="M26" i="20"/>
  <c r="H42" i="30"/>
  <c r="G8" i="32" s="1"/>
  <c r="O38" i="18"/>
  <c r="P6" i="18"/>
  <c r="O48" i="18"/>
  <c r="O26" i="18"/>
  <c r="I45" i="30"/>
  <c r="J9" i="28"/>
  <c r="I27" i="18"/>
  <c r="I29" i="18"/>
  <c r="I57" i="30" s="1"/>
  <c r="K10" i="28"/>
  <c r="J43" i="30"/>
  <c r="J41" i="30" s="1"/>
  <c r="G10" i="33" s="1"/>
  <c r="AJ34" i="8"/>
  <c r="AI16" i="30"/>
  <c r="AI10" i="30" s="1"/>
  <c r="C35" i="31" s="1"/>
  <c r="J10" i="1"/>
  <c r="J5" i="30" s="1"/>
  <c r="J4" i="30" s="1"/>
  <c r="B10" i="31" s="1"/>
  <c r="K9" i="1"/>
  <c r="T71" i="30"/>
  <c r="U4" i="24"/>
  <c r="AG44" i="30"/>
  <c r="AH4" i="27"/>
  <c r="N89" i="20"/>
  <c r="O23" i="20"/>
  <c r="T25" i="18"/>
  <c r="U7" i="18"/>
  <c r="T37" i="18"/>
  <c r="T47" i="18"/>
  <c r="S39" i="20"/>
  <c r="J103" i="20"/>
  <c r="I54" i="30"/>
  <c r="P23" i="18"/>
  <c r="Q4" i="18"/>
  <c r="P35" i="18"/>
  <c r="P45" i="18"/>
  <c r="N86" i="20"/>
  <c r="O28" i="20"/>
  <c r="O88" i="20"/>
  <c r="P24" i="20"/>
  <c r="O89" i="20" l="1"/>
  <c r="P23" i="20"/>
  <c r="V4" i="24"/>
  <c r="U71" i="30"/>
  <c r="J45" i="30"/>
  <c r="K9" i="28"/>
  <c r="P26" i="18"/>
  <c r="P38" i="18"/>
  <c r="P48" i="18"/>
  <c r="Q6" i="18"/>
  <c r="I102" i="20"/>
  <c r="H59" i="30"/>
  <c r="H51" i="30" s="1"/>
  <c r="H8" i="33" s="1"/>
  <c r="H105" i="20"/>
  <c r="J27" i="18"/>
  <c r="J29" i="18" s="1"/>
  <c r="J57" i="30" s="1"/>
  <c r="Q45" i="18"/>
  <c r="R4" i="18"/>
  <c r="Q35" i="18"/>
  <c r="Q23" i="18"/>
  <c r="L10" i="28"/>
  <c r="K43" i="30"/>
  <c r="K41" i="30" s="1"/>
  <c r="G11" i="33" s="1"/>
  <c r="K90" i="20"/>
  <c r="K94" i="20" s="1"/>
  <c r="K96" i="20" s="1"/>
  <c r="K101" i="20" s="1"/>
  <c r="L41" i="20"/>
  <c r="X37" i="20"/>
  <c r="M40" i="20"/>
  <c r="L91" i="20"/>
  <c r="J39" i="18"/>
  <c r="J41" i="18" s="1"/>
  <c r="J58" i="30" s="1"/>
  <c r="I52" i="30"/>
  <c r="H9" i="32" s="1"/>
  <c r="J54" i="30"/>
  <c r="U36" i="20"/>
  <c r="AJ30" i="30"/>
  <c r="AJ27" i="30" s="1"/>
  <c r="E36" i="34" s="1"/>
  <c r="AK5" i="17"/>
  <c r="AK30" i="30" s="1"/>
  <c r="AK27" i="30" s="1"/>
  <c r="E37" i="34" s="1"/>
  <c r="T4" i="23"/>
  <c r="S69" i="30"/>
  <c r="T34" i="20"/>
  <c r="K36" i="18"/>
  <c r="L5" i="18"/>
  <c r="K46" i="18"/>
  <c r="K24" i="18"/>
  <c r="O86" i="20"/>
  <c r="P28" i="20"/>
  <c r="U25" i="18"/>
  <c r="U47" i="18"/>
  <c r="U37" i="18"/>
  <c r="V7" i="18"/>
  <c r="AH44" i="30"/>
  <c r="AI4" i="27"/>
  <c r="K10" i="1"/>
  <c r="K5" i="30" s="1"/>
  <c r="K4" i="30" s="1"/>
  <c r="B11" i="31" s="1"/>
  <c r="L9" i="1"/>
  <c r="P88" i="20"/>
  <c r="Q24" i="20"/>
  <c r="T39" i="20"/>
  <c r="AK34" i="8"/>
  <c r="AK16" i="30" s="1"/>
  <c r="AK10" i="30" s="1"/>
  <c r="C37" i="31" s="1"/>
  <c r="AJ16" i="30"/>
  <c r="AJ10" i="30" s="1"/>
  <c r="C36" i="31" s="1"/>
  <c r="M87" i="20"/>
  <c r="N26" i="20"/>
  <c r="M3" i="23"/>
  <c r="L70" i="30"/>
  <c r="L66" i="30" s="1"/>
  <c r="I12" i="31" s="1"/>
  <c r="P68" i="30"/>
  <c r="P65" i="30" s="1"/>
  <c r="I16" i="34" s="1"/>
  <c r="Q7" i="25"/>
  <c r="N3" i="24"/>
  <c r="M72" i="30"/>
  <c r="I46" i="30"/>
  <c r="I42" i="30" s="1"/>
  <c r="G9" i="32" s="1"/>
  <c r="J14" i="28"/>
  <c r="J52" i="18"/>
  <c r="J55" i="30" s="1"/>
  <c r="J50" i="18"/>
  <c r="J49" i="18"/>
  <c r="J52" i="30" l="1"/>
  <c r="H10" i="32" s="1"/>
  <c r="K50" i="18"/>
  <c r="K49" i="18"/>
  <c r="K52" i="18" s="1"/>
  <c r="K55" i="30" s="1"/>
  <c r="U34" i="20"/>
  <c r="M91" i="20"/>
  <c r="N40" i="20"/>
  <c r="K54" i="30"/>
  <c r="K103" i="20"/>
  <c r="V71" i="30"/>
  <c r="W4" i="24"/>
  <c r="N72" i="30"/>
  <c r="O3" i="24"/>
  <c r="M70" i="30"/>
  <c r="M66" i="30" s="1"/>
  <c r="I13" i="31" s="1"/>
  <c r="N3" i="23"/>
  <c r="L10" i="1"/>
  <c r="L5" i="30" s="1"/>
  <c r="L4" i="30" s="1"/>
  <c r="B12" i="31" s="1"/>
  <c r="M9" i="1"/>
  <c r="V25" i="18"/>
  <c r="V37" i="18"/>
  <c r="W7" i="18"/>
  <c r="V47" i="18"/>
  <c r="Q28" i="20"/>
  <c r="P86" i="20"/>
  <c r="L24" i="18"/>
  <c r="L36" i="18"/>
  <c r="L46" i="18"/>
  <c r="M5" i="18"/>
  <c r="Y37" i="20"/>
  <c r="Q48" i="18"/>
  <c r="Q26" i="18"/>
  <c r="Q38" i="18"/>
  <c r="R6" i="18"/>
  <c r="K45" i="30"/>
  <c r="L9" i="28"/>
  <c r="P89" i="20"/>
  <c r="Q23" i="20"/>
  <c r="Q68" i="30"/>
  <c r="Q65" i="30" s="1"/>
  <c r="I17" i="34" s="1"/>
  <c r="R7" i="25"/>
  <c r="N87" i="20"/>
  <c r="O26" i="20"/>
  <c r="U39" i="20"/>
  <c r="K39" i="18"/>
  <c r="K41" i="18" s="1"/>
  <c r="K58" i="30" s="1"/>
  <c r="T69" i="30"/>
  <c r="U4" i="23"/>
  <c r="V36" i="20"/>
  <c r="J46" i="30"/>
  <c r="J42" i="30" s="1"/>
  <c r="G10" i="32" s="1"/>
  <c r="K14" i="28"/>
  <c r="Q88" i="20"/>
  <c r="R24" i="20"/>
  <c r="AI44" i="30"/>
  <c r="AJ4" i="27"/>
  <c r="K27" i="18"/>
  <c r="K29" i="18"/>
  <c r="K57" i="30" s="1"/>
  <c r="L90" i="20"/>
  <c r="L94" i="20" s="1"/>
  <c r="L96" i="20" s="1"/>
  <c r="L101" i="20" s="1"/>
  <c r="M41" i="20"/>
  <c r="L43" i="30"/>
  <c r="L41" i="30" s="1"/>
  <c r="G12" i="33" s="1"/>
  <c r="M10" i="28"/>
  <c r="S4" i="18"/>
  <c r="R45" i="18"/>
  <c r="R35" i="18"/>
  <c r="R23" i="18"/>
  <c r="I59" i="30"/>
  <c r="I51" i="30" s="1"/>
  <c r="H9" i="33" s="1"/>
  <c r="J102" i="20"/>
  <c r="I105" i="20"/>
  <c r="J59" i="30" l="1"/>
  <c r="J51" i="30" s="1"/>
  <c r="H10" i="33" s="1"/>
  <c r="K102" i="20"/>
  <c r="J105" i="20"/>
  <c r="N41" i="20"/>
  <c r="M90" i="20"/>
  <c r="M94" i="20" s="1"/>
  <c r="M96" i="20" s="1"/>
  <c r="M101" i="20" s="1"/>
  <c r="AJ44" i="30"/>
  <c r="AK4" i="27"/>
  <c r="AK44" i="30" s="1"/>
  <c r="U69" i="30"/>
  <c r="V4" i="23"/>
  <c r="L49" i="18"/>
  <c r="L52" i="18" s="1"/>
  <c r="L55" i="30" s="1"/>
  <c r="L50" i="18"/>
  <c r="R28" i="20"/>
  <c r="Q86" i="20"/>
  <c r="L103" i="20"/>
  <c r="T4" i="18"/>
  <c r="S35" i="18"/>
  <c r="S23" i="18"/>
  <c r="S45" i="18"/>
  <c r="L54" i="30"/>
  <c r="K46" i="30"/>
  <c r="L14" i="28"/>
  <c r="R68" i="30"/>
  <c r="R65" i="30" s="1"/>
  <c r="I18" i="34" s="1"/>
  <c r="S7" i="25"/>
  <c r="M9" i="28"/>
  <c r="L45" i="30"/>
  <c r="Z37" i="20"/>
  <c r="L39" i="18"/>
  <c r="L41" i="18" s="1"/>
  <c r="L58" i="30" s="1"/>
  <c r="M10" i="1"/>
  <c r="M5" i="30" s="1"/>
  <c r="M4" i="30" s="1"/>
  <c r="B13" i="31" s="1"/>
  <c r="N9" i="1"/>
  <c r="O72" i="30"/>
  <c r="P3" i="24"/>
  <c r="N10" i="28"/>
  <c r="M43" i="30"/>
  <c r="M41" i="30" s="1"/>
  <c r="G13" i="33" s="1"/>
  <c r="K52" i="30"/>
  <c r="H11" i="32" s="1"/>
  <c r="S24" i="20"/>
  <c r="R88" i="20"/>
  <c r="V39" i="20"/>
  <c r="K42" i="30"/>
  <c r="G11" i="32" s="1"/>
  <c r="L27" i="18"/>
  <c r="L29" i="18" s="1"/>
  <c r="L57" i="30" s="1"/>
  <c r="L52" i="30" s="1"/>
  <c r="H12" i="32" s="1"/>
  <c r="W47" i="18"/>
  <c r="W37" i="18"/>
  <c r="W25" i="18"/>
  <c r="X7" i="18"/>
  <c r="V34" i="20"/>
  <c r="W36" i="20"/>
  <c r="O87" i="20"/>
  <c r="P26" i="20"/>
  <c r="R23" i="20"/>
  <c r="Q89" i="20"/>
  <c r="R38" i="18"/>
  <c r="R48" i="18"/>
  <c r="R26" i="18"/>
  <c r="S6" i="18"/>
  <c r="N5" i="18"/>
  <c r="M46" i="18"/>
  <c r="M36" i="18"/>
  <c r="M24" i="18"/>
  <c r="N70" i="30"/>
  <c r="N66" i="30" s="1"/>
  <c r="I14" i="31" s="1"/>
  <c r="O3" i="23"/>
  <c r="X4" i="24"/>
  <c r="W71" i="30"/>
  <c r="N91" i="20"/>
  <c r="O40" i="20"/>
  <c r="M50" i="18" l="1"/>
  <c r="M49" i="18"/>
  <c r="M52" i="18"/>
  <c r="M55" i="30" s="1"/>
  <c r="P87" i="20"/>
  <c r="Q26" i="20"/>
  <c r="X37" i="18"/>
  <c r="X47" i="18"/>
  <c r="Y7" i="18"/>
  <c r="X25" i="18"/>
  <c r="M45" i="30"/>
  <c r="N9" i="28"/>
  <c r="L102" i="20"/>
  <c r="K59" i="30"/>
  <c r="K51" i="30" s="1"/>
  <c r="H11" i="33" s="1"/>
  <c r="K105" i="20"/>
  <c r="N46" i="18"/>
  <c r="O5" i="18"/>
  <c r="N24" i="18"/>
  <c r="N36" i="18"/>
  <c r="O10" i="28"/>
  <c r="N43" i="30"/>
  <c r="N41" i="30" s="1"/>
  <c r="G14" i="33" s="1"/>
  <c r="O9" i="1"/>
  <c r="N10" i="1"/>
  <c r="N5" i="30" s="1"/>
  <c r="N4" i="30" s="1"/>
  <c r="B14" i="31" s="1"/>
  <c r="AA37" i="20"/>
  <c r="S68" i="30"/>
  <c r="S65" i="30" s="1"/>
  <c r="I19" i="34" s="1"/>
  <c r="T7" i="25"/>
  <c r="S28" i="20"/>
  <c r="R86" i="20"/>
  <c r="S48" i="18"/>
  <c r="T6" i="18"/>
  <c r="S26" i="18"/>
  <c r="S38" i="18"/>
  <c r="T24" i="20"/>
  <c r="S88" i="20"/>
  <c r="T23" i="18"/>
  <c r="U4" i="18"/>
  <c r="T35" i="18"/>
  <c r="T45" i="18"/>
  <c r="W4" i="23"/>
  <c r="V69" i="30"/>
  <c r="M54" i="30"/>
  <c r="X71" i="30"/>
  <c r="Y4" i="24"/>
  <c r="M27" i="18"/>
  <c r="M29" i="18" s="1"/>
  <c r="M57" i="30" s="1"/>
  <c r="M52" i="30" s="1"/>
  <c r="H13" i="32" s="1"/>
  <c r="W34" i="20"/>
  <c r="O91" i="20"/>
  <c r="P40" i="20"/>
  <c r="O70" i="30"/>
  <c r="O66" i="30" s="1"/>
  <c r="I15" i="31" s="1"/>
  <c r="P3" i="23"/>
  <c r="M39" i="18"/>
  <c r="M41" i="18" s="1"/>
  <c r="M58" i="30" s="1"/>
  <c r="S23" i="20"/>
  <c r="R89" i="20"/>
  <c r="X36" i="20"/>
  <c r="W39" i="20"/>
  <c r="P72" i="30"/>
  <c r="Q3" i="24"/>
  <c r="M14" i="28"/>
  <c r="L46" i="30"/>
  <c r="L42" i="30" s="1"/>
  <c r="G12" i="32" s="1"/>
  <c r="M103" i="20"/>
  <c r="N103" i="20" s="1"/>
  <c r="O41" i="20"/>
  <c r="N90" i="20"/>
  <c r="N94" i="20" s="1"/>
  <c r="N96" i="20" s="1"/>
  <c r="N101" i="20" s="1"/>
  <c r="U6" i="18" l="1"/>
  <c r="T38" i="18"/>
  <c r="T26" i="18"/>
  <c r="T48" i="18"/>
  <c r="AB37" i="20"/>
  <c r="N27" i="18"/>
  <c r="N29" i="18"/>
  <c r="N57" i="30" s="1"/>
  <c r="Y47" i="18"/>
  <c r="Y37" i="18"/>
  <c r="Z7" i="18"/>
  <c r="Y25" i="18"/>
  <c r="P70" i="30"/>
  <c r="P66" i="30" s="1"/>
  <c r="I16" i="31" s="1"/>
  <c r="Q3" i="23"/>
  <c r="X34" i="20"/>
  <c r="Y71" i="30"/>
  <c r="Z4" i="24"/>
  <c r="U35" i="18"/>
  <c r="U45" i="18"/>
  <c r="V4" i="18"/>
  <c r="U23" i="18"/>
  <c r="U24" i="20"/>
  <c r="T88" i="20"/>
  <c r="P10" i="28"/>
  <c r="O43" i="30"/>
  <c r="O41" i="30" s="1"/>
  <c r="G15" i="33" s="1"/>
  <c r="O46" i="18"/>
  <c r="O24" i="18"/>
  <c r="O36" i="18"/>
  <c r="P5" i="18"/>
  <c r="M102" i="20"/>
  <c r="L59" i="30"/>
  <c r="L51" i="30" s="1"/>
  <c r="H12" i="33" s="1"/>
  <c r="L105" i="20"/>
  <c r="O9" i="28"/>
  <c r="N45" i="30"/>
  <c r="N54" i="30"/>
  <c r="X39" i="20"/>
  <c r="W69" i="30"/>
  <c r="X4" i="23"/>
  <c r="T68" i="30"/>
  <c r="T65" i="30" s="1"/>
  <c r="I20" i="34" s="1"/>
  <c r="U7" i="25"/>
  <c r="N49" i="18"/>
  <c r="N50" i="18"/>
  <c r="N52" i="18"/>
  <c r="N55" i="30" s="1"/>
  <c r="M46" i="30"/>
  <c r="M42" i="30" s="1"/>
  <c r="G13" i="32" s="1"/>
  <c r="N14" i="28"/>
  <c r="T23" i="20"/>
  <c r="S89" i="20"/>
  <c r="O90" i="20"/>
  <c r="O94" i="20" s="1"/>
  <c r="O96" i="20" s="1"/>
  <c r="O101" i="20" s="1"/>
  <c r="P41" i="20"/>
  <c r="Q72" i="30"/>
  <c r="R3" i="24"/>
  <c r="Y36" i="20"/>
  <c r="Q40" i="20"/>
  <c r="P91" i="20"/>
  <c r="T28" i="20"/>
  <c r="S86" i="20"/>
  <c r="O10" i="1"/>
  <c r="O5" i="30" s="1"/>
  <c r="O4" i="30" s="1"/>
  <c r="B15" i="31" s="1"/>
  <c r="P9" i="1"/>
  <c r="N39" i="18"/>
  <c r="N41" i="18"/>
  <c r="N58" i="30" s="1"/>
  <c r="Q87" i="20"/>
  <c r="R26" i="20"/>
  <c r="O54" i="30" l="1"/>
  <c r="Y4" i="23"/>
  <c r="X69" i="30"/>
  <c r="O39" i="18"/>
  <c r="O41" i="18" s="1"/>
  <c r="O58" i="30" s="1"/>
  <c r="Q10" i="28"/>
  <c r="P43" i="30"/>
  <c r="P41" i="30" s="1"/>
  <c r="G16" i="33" s="1"/>
  <c r="V45" i="18"/>
  <c r="W4" i="18"/>
  <c r="V23" i="18"/>
  <c r="V35" i="18"/>
  <c r="N52" i="30"/>
  <c r="H14" i="32" s="1"/>
  <c r="Z36" i="20"/>
  <c r="U28" i="20"/>
  <c r="T86" i="20"/>
  <c r="O27" i="18"/>
  <c r="O29" i="18" s="1"/>
  <c r="O57" i="30" s="1"/>
  <c r="Y34" i="20"/>
  <c r="Z37" i="18"/>
  <c r="Z47" i="18"/>
  <c r="AA7" i="18"/>
  <c r="Z25" i="18"/>
  <c r="S3" i="24"/>
  <c r="R72" i="30"/>
  <c r="R87" i="20"/>
  <c r="S26" i="20"/>
  <c r="P10" i="1"/>
  <c r="P5" i="30" s="1"/>
  <c r="P4" i="30" s="1"/>
  <c r="B16" i="31" s="1"/>
  <c r="Q9" i="1"/>
  <c r="Q91" i="20"/>
  <c r="R40" i="20"/>
  <c r="U23" i="20"/>
  <c r="T89" i="20"/>
  <c r="O103" i="20"/>
  <c r="Y39" i="20"/>
  <c r="N102" i="20"/>
  <c r="M59" i="30"/>
  <c r="M51" i="30" s="1"/>
  <c r="H13" i="33" s="1"/>
  <c r="M105" i="20"/>
  <c r="O49" i="18"/>
  <c r="O52" i="18" s="1"/>
  <c r="O55" i="30" s="1"/>
  <c r="O50" i="18"/>
  <c r="V24" i="20"/>
  <c r="U88" i="20"/>
  <c r="AC37" i="20"/>
  <c r="P90" i="20"/>
  <c r="P94" i="20" s="1"/>
  <c r="P96" i="20" s="1"/>
  <c r="P101" i="20" s="1"/>
  <c r="Q41" i="20"/>
  <c r="N46" i="30"/>
  <c r="N42" i="30" s="1"/>
  <c r="G14" i="32" s="1"/>
  <c r="O14" i="28"/>
  <c r="U68" i="30"/>
  <c r="U65" i="30" s="1"/>
  <c r="I21" i="34" s="1"/>
  <c r="V7" i="25"/>
  <c r="O45" i="30"/>
  <c r="P9" i="28"/>
  <c r="P36" i="18"/>
  <c r="P24" i="18"/>
  <c r="Q5" i="18"/>
  <c r="P46" i="18"/>
  <c r="AA4" i="24"/>
  <c r="Z71" i="30"/>
  <c r="R3" i="23"/>
  <c r="Q70" i="30"/>
  <c r="Q66" i="30" s="1"/>
  <c r="I17" i="31" s="1"/>
  <c r="V6" i="18"/>
  <c r="U48" i="18"/>
  <c r="U26" i="18"/>
  <c r="U38" i="18"/>
  <c r="O52" i="30" l="1"/>
  <c r="H15" i="32" s="1"/>
  <c r="Q24" i="18"/>
  <c r="R5" i="18"/>
  <c r="Q46" i="18"/>
  <c r="Q36" i="18"/>
  <c r="R9" i="1"/>
  <c r="Q10" i="1"/>
  <c r="Q5" i="30" s="1"/>
  <c r="Q4" i="30" s="1"/>
  <c r="B17" i="31" s="1"/>
  <c r="AA25" i="18"/>
  <c r="AB7" i="18"/>
  <c r="AA47" i="18"/>
  <c r="AA37" i="18"/>
  <c r="V28" i="20"/>
  <c r="U86" i="20"/>
  <c r="AA71" i="30"/>
  <c r="AB4" i="24"/>
  <c r="P27" i="18"/>
  <c r="P29" i="18" s="1"/>
  <c r="P57" i="30" s="1"/>
  <c r="P52" i="30" s="1"/>
  <c r="H16" i="32" s="1"/>
  <c r="V68" i="30"/>
  <c r="V65" i="30" s="1"/>
  <c r="I22" i="34" s="1"/>
  <c r="W7" i="25"/>
  <c r="R41" i="20"/>
  <c r="Q90" i="20"/>
  <c r="Q94" i="20" s="1"/>
  <c r="Q96" i="20" s="1"/>
  <c r="Q101" i="20" s="1"/>
  <c r="AD37" i="20"/>
  <c r="W24" i="20"/>
  <c r="V88" i="20"/>
  <c r="V23" i="20"/>
  <c r="U89" i="20"/>
  <c r="T3" i="24"/>
  <c r="S72" i="30"/>
  <c r="Q43" i="30"/>
  <c r="Q41" i="30" s="1"/>
  <c r="G17" i="33" s="1"/>
  <c r="R10" i="28"/>
  <c r="Y69" i="30"/>
  <c r="Z4" i="23"/>
  <c r="V26" i="18"/>
  <c r="V38" i="18"/>
  <c r="W6" i="18"/>
  <c r="V48" i="18"/>
  <c r="S3" i="23"/>
  <c r="R70" i="30"/>
  <c r="R66" i="30" s="1"/>
  <c r="I18" i="31" s="1"/>
  <c r="P54" i="30"/>
  <c r="Z39" i="20"/>
  <c r="S40" i="20"/>
  <c r="R91" i="20"/>
  <c r="S87" i="20"/>
  <c r="T26" i="20"/>
  <c r="AA36" i="20"/>
  <c r="W35" i="18"/>
  <c r="X4" i="18"/>
  <c r="W23" i="18"/>
  <c r="W45" i="18"/>
  <c r="P39" i="18"/>
  <c r="P41" i="18"/>
  <c r="P58" i="30" s="1"/>
  <c r="P50" i="18"/>
  <c r="P49" i="18"/>
  <c r="P52" i="18" s="1"/>
  <c r="P55" i="30" s="1"/>
  <c r="Q9" i="28"/>
  <c r="P45" i="30"/>
  <c r="P14" i="28"/>
  <c r="O46" i="30"/>
  <c r="O42" i="30" s="1"/>
  <c r="G15" i="32" s="1"/>
  <c r="O102" i="20"/>
  <c r="N59" i="30"/>
  <c r="N51" i="30" s="1"/>
  <c r="H14" i="33" s="1"/>
  <c r="N105" i="20"/>
  <c r="P103" i="20"/>
  <c r="Q103" i="20" s="1"/>
  <c r="Z34" i="20"/>
  <c r="R9" i="28" l="1"/>
  <c r="Q45" i="30"/>
  <c r="X45" i="18"/>
  <c r="Y4" i="18"/>
  <c r="X23" i="18"/>
  <c r="X35" i="18"/>
  <c r="T87" i="20"/>
  <c r="U26" i="20"/>
  <c r="AA39" i="20"/>
  <c r="R43" i="30"/>
  <c r="R41" i="30" s="1"/>
  <c r="G18" i="33" s="1"/>
  <c r="S10" i="28"/>
  <c r="Q54" i="30"/>
  <c r="Q49" i="18"/>
  <c r="Q52" i="18" s="1"/>
  <c r="Q55" i="30" s="1"/>
  <c r="Q50" i="18"/>
  <c r="O59" i="30"/>
  <c r="O51" i="30" s="1"/>
  <c r="H15" i="33" s="1"/>
  <c r="P102" i="20"/>
  <c r="O105" i="20"/>
  <c r="T3" i="23"/>
  <c r="S70" i="30"/>
  <c r="S66" i="30" s="1"/>
  <c r="I19" i="31" s="1"/>
  <c r="T72" i="30"/>
  <c r="U3" i="24"/>
  <c r="X24" i="20"/>
  <c r="W88" i="20"/>
  <c r="S41" i="20"/>
  <c r="R90" i="20"/>
  <c r="R94" i="20" s="1"/>
  <c r="R96" i="20" s="1"/>
  <c r="R101" i="20" s="1"/>
  <c r="R10" i="1"/>
  <c r="R5" i="30" s="1"/>
  <c r="R4" i="30" s="1"/>
  <c r="B18" i="31" s="1"/>
  <c r="S9" i="1"/>
  <c r="R46" i="18"/>
  <c r="R36" i="18"/>
  <c r="R24" i="18"/>
  <c r="S5" i="18"/>
  <c r="AA34" i="20"/>
  <c r="Q14" i="28"/>
  <c r="P46" i="30"/>
  <c r="P42" i="30" s="1"/>
  <c r="G16" i="32" s="1"/>
  <c r="Z69" i="30"/>
  <c r="AA4" i="23"/>
  <c r="AE37" i="20"/>
  <c r="X7" i="25"/>
  <c r="W68" i="30"/>
  <c r="W65" i="30" s="1"/>
  <c r="I23" i="34" s="1"/>
  <c r="AC4" i="24"/>
  <c r="AB71" i="30"/>
  <c r="AB25" i="18"/>
  <c r="AC7" i="18"/>
  <c r="AB47" i="18"/>
  <c r="AB37" i="18"/>
  <c r="Q27" i="18"/>
  <c r="Q29" i="18" s="1"/>
  <c r="Q57" i="30" s="1"/>
  <c r="Q52" i="30" s="1"/>
  <c r="H17" i="32" s="1"/>
  <c r="AB36" i="20"/>
  <c r="S91" i="20"/>
  <c r="T40" i="20"/>
  <c r="W26" i="18"/>
  <c r="W48" i="18"/>
  <c r="W38" i="18"/>
  <c r="X6" i="18"/>
  <c r="W23" i="20"/>
  <c r="V89" i="20"/>
  <c r="W28" i="20"/>
  <c r="V86" i="20"/>
  <c r="Q39" i="18"/>
  <c r="Q41" i="18"/>
  <c r="Q58" i="30" s="1"/>
  <c r="X48" i="18" l="1"/>
  <c r="Y6" i="18"/>
  <c r="X38" i="18"/>
  <c r="X26" i="18"/>
  <c r="AC36" i="20"/>
  <c r="AD7" i="18"/>
  <c r="AC25" i="18"/>
  <c r="AC37" i="18"/>
  <c r="AC47" i="18"/>
  <c r="AC71" i="30"/>
  <c r="AD4" i="24"/>
  <c r="R39" i="18"/>
  <c r="R41" i="18"/>
  <c r="R58" i="30" s="1"/>
  <c r="R54" i="30"/>
  <c r="U72" i="30"/>
  <c r="V3" i="24"/>
  <c r="T10" i="28"/>
  <c r="S43" i="30"/>
  <c r="S41" i="30" s="1"/>
  <c r="G19" i="33" s="1"/>
  <c r="V26" i="20"/>
  <c r="U87" i="20"/>
  <c r="Y45" i="18"/>
  <c r="Y35" i="18"/>
  <c r="Z4" i="18"/>
  <c r="Y23" i="18"/>
  <c r="X28" i="20"/>
  <c r="W86" i="20"/>
  <c r="T91" i="20"/>
  <c r="U40" i="20"/>
  <c r="AA69" i="30"/>
  <c r="AB4" i="23"/>
  <c r="AB34" i="20"/>
  <c r="R52" i="18"/>
  <c r="R55" i="30" s="1"/>
  <c r="R50" i="18"/>
  <c r="R49" i="18"/>
  <c r="S90" i="20"/>
  <c r="S94" i="20" s="1"/>
  <c r="S96" i="20" s="1"/>
  <c r="S101" i="20" s="1"/>
  <c r="T41" i="20"/>
  <c r="P59" i="30"/>
  <c r="P51" i="30" s="1"/>
  <c r="H16" i="33" s="1"/>
  <c r="Q102" i="20"/>
  <c r="P105" i="20"/>
  <c r="T5" i="18"/>
  <c r="S24" i="18"/>
  <c r="S36" i="18"/>
  <c r="S46" i="18"/>
  <c r="S10" i="1"/>
  <c r="S5" i="30" s="1"/>
  <c r="S4" i="30" s="1"/>
  <c r="B19" i="31" s="1"/>
  <c r="T9" i="1"/>
  <c r="AB39" i="20"/>
  <c r="X68" i="30"/>
  <c r="X65" i="30" s="1"/>
  <c r="I24" i="34" s="1"/>
  <c r="Y7" i="25"/>
  <c r="X23" i="20"/>
  <c r="W89" i="20"/>
  <c r="AF37" i="20"/>
  <c r="R14" i="28"/>
  <c r="Q46" i="30"/>
  <c r="Q42" i="30" s="1"/>
  <c r="G17" i="32" s="1"/>
  <c r="R27" i="18"/>
  <c r="R29" i="18" s="1"/>
  <c r="R57" i="30" s="1"/>
  <c r="R52" i="30" s="1"/>
  <c r="H18" i="32" s="1"/>
  <c r="Y24" i="20"/>
  <c r="X88" i="20"/>
  <c r="U3" i="23"/>
  <c r="T70" i="30"/>
  <c r="T66" i="30" s="1"/>
  <c r="I20" i="31" s="1"/>
  <c r="R103" i="20"/>
  <c r="S103" i="20" s="1"/>
  <c r="R45" i="30"/>
  <c r="S9" i="28"/>
  <c r="U5" i="18" l="1"/>
  <c r="T46" i="18"/>
  <c r="T36" i="18"/>
  <c r="T24" i="18"/>
  <c r="AD71" i="30"/>
  <c r="AE4" i="24"/>
  <c r="AC39" i="20"/>
  <c r="S52" i="18"/>
  <c r="S55" i="30" s="1"/>
  <c r="S50" i="18"/>
  <c r="S49" i="18"/>
  <c r="S54" i="30"/>
  <c r="AC34" i="20"/>
  <c r="U91" i="20"/>
  <c r="V40" i="20"/>
  <c r="U10" i="28"/>
  <c r="T43" i="30"/>
  <c r="T41" i="30" s="1"/>
  <c r="G20" i="33" s="1"/>
  <c r="AD37" i="18"/>
  <c r="AE7" i="18"/>
  <c r="AD47" i="18"/>
  <c r="AD25" i="18"/>
  <c r="AG37" i="20"/>
  <c r="Y68" i="30"/>
  <c r="Y65" i="30" s="1"/>
  <c r="I25" i="34" s="1"/>
  <c r="Z7" i="25"/>
  <c r="U41" i="20"/>
  <c r="T90" i="20"/>
  <c r="T94" i="20" s="1"/>
  <c r="T96" i="20" s="1"/>
  <c r="T101" i="20" s="1"/>
  <c r="Y28" i="20"/>
  <c r="X86" i="20"/>
  <c r="T9" i="28"/>
  <c r="S45" i="30"/>
  <c r="S41" i="18"/>
  <c r="S58" i="30" s="1"/>
  <c r="S39" i="18"/>
  <c r="Q59" i="30"/>
  <c r="Q51" i="30" s="1"/>
  <c r="H17" i="33" s="1"/>
  <c r="R102" i="20"/>
  <c r="Q105" i="20"/>
  <c r="W3" i="24"/>
  <c r="V72" i="30"/>
  <c r="AD36" i="20"/>
  <c r="Y38" i="18"/>
  <c r="Y48" i="18"/>
  <c r="Y26" i="18"/>
  <c r="Z6" i="18"/>
  <c r="V3" i="23"/>
  <c r="U70" i="30"/>
  <c r="U66" i="30" s="1"/>
  <c r="I21" i="31" s="1"/>
  <c r="T103" i="20"/>
  <c r="Z24" i="20"/>
  <c r="Y88" i="20"/>
  <c r="R46" i="30"/>
  <c r="R42" i="30" s="1"/>
  <c r="G18" i="32" s="1"/>
  <c r="S14" i="28"/>
  <c r="Y23" i="20"/>
  <c r="X89" i="20"/>
  <c r="T10" i="1"/>
  <c r="T5" i="30" s="1"/>
  <c r="T4" i="30" s="1"/>
  <c r="B20" i="31" s="1"/>
  <c r="U9" i="1"/>
  <c r="S29" i="18"/>
  <c r="S57" i="30" s="1"/>
  <c r="S52" i="30" s="1"/>
  <c r="H19" i="32" s="1"/>
  <c r="S27" i="18"/>
  <c r="AC4" i="23"/>
  <c r="AB69" i="30"/>
  <c r="Z45" i="18"/>
  <c r="Z35" i="18"/>
  <c r="AA4" i="18"/>
  <c r="Z23" i="18"/>
  <c r="W26" i="20"/>
  <c r="V87" i="20"/>
  <c r="X3" i="24" l="1"/>
  <c r="W72" i="30"/>
  <c r="Z28" i="20"/>
  <c r="Y86" i="20"/>
  <c r="AE71" i="30"/>
  <c r="AF4" i="24"/>
  <c r="T27" i="18"/>
  <c r="T29" i="18"/>
  <c r="T57" i="30" s="1"/>
  <c r="Z26" i="18"/>
  <c r="AA6" i="18"/>
  <c r="Z48" i="18"/>
  <c r="Z38" i="18"/>
  <c r="T54" i="30"/>
  <c r="V91" i="20"/>
  <c r="W40" i="20"/>
  <c r="Z23" i="20"/>
  <c r="Y89" i="20"/>
  <c r="AA24" i="20"/>
  <c r="Z88" i="20"/>
  <c r="W3" i="23"/>
  <c r="V70" i="30"/>
  <c r="V66" i="30" s="1"/>
  <c r="I22" i="31" s="1"/>
  <c r="AD34" i="20"/>
  <c r="AA35" i="18"/>
  <c r="AB4" i="18"/>
  <c r="AA45" i="18"/>
  <c r="AA23" i="18"/>
  <c r="U10" i="1"/>
  <c r="U5" i="30" s="1"/>
  <c r="U4" i="30" s="1"/>
  <c r="B21" i="31" s="1"/>
  <c r="V9" i="1"/>
  <c r="T14" i="28"/>
  <c r="S46" i="30"/>
  <c r="AE36" i="20"/>
  <c r="R59" i="30"/>
  <c r="R51" i="30" s="1"/>
  <c r="H18" i="33" s="1"/>
  <c r="S102" i="20"/>
  <c r="R105" i="20"/>
  <c r="S42" i="30"/>
  <c r="G19" i="32" s="1"/>
  <c r="AE47" i="18"/>
  <c r="AF7" i="18"/>
  <c r="AE37" i="18"/>
  <c r="AE25" i="18"/>
  <c r="V10" i="28"/>
  <c r="U43" i="30"/>
  <c r="U41" i="30" s="1"/>
  <c r="G21" i="33" s="1"/>
  <c r="AC69" i="30"/>
  <c r="AD4" i="23"/>
  <c r="T45" i="30"/>
  <c r="U9" i="28"/>
  <c r="U90" i="20"/>
  <c r="U94" i="20" s="1"/>
  <c r="U96" i="20" s="1"/>
  <c r="U101" i="20" s="1"/>
  <c r="V41" i="20"/>
  <c r="AH37" i="20"/>
  <c r="T52" i="18"/>
  <c r="T55" i="30" s="1"/>
  <c r="T50" i="18"/>
  <c r="T49" i="18"/>
  <c r="T39" i="18"/>
  <c r="T41" i="18" s="1"/>
  <c r="T58" i="30" s="1"/>
  <c r="X26" i="20"/>
  <c r="W87" i="20"/>
  <c r="Z68" i="30"/>
  <c r="Z65" i="30" s="1"/>
  <c r="I26" i="34" s="1"/>
  <c r="AA7" i="25"/>
  <c r="AD39" i="20"/>
  <c r="V5" i="18"/>
  <c r="U24" i="18"/>
  <c r="U46" i="18"/>
  <c r="U36" i="18"/>
  <c r="AA68" i="30" l="1"/>
  <c r="AA65" i="30" s="1"/>
  <c r="I27" i="34" s="1"/>
  <c r="AB7" i="25"/>
  <c r="AB23" i="18"/>
  <c r="AC4" i="18"/>
  <c r="AB35" i="18"/>
  <c r="AB45" i="18"/>
  <c r="W5" i="18"/>
  <c r="V46" i="18"/>
  <c r="V24" i="18"/>
  <c r="V36" i="18"/>
  <c r="AA28" i="20"/>
  <c r="Z86" i="20"/>
  <c r="W10" i="28"/>
  <c r="V43" i="30"/>
  <c r="V41" i="30" s="1"/>
  <c r="G22" i="33" s="1"/>
  <c r="AA48" i="18"/>
  <c r="AA38" i="18"/>
  <c r="AB6" i="18"/>
  <c r="AA26" i="18"/>
  <c r="AF71" i="30"/>
  <c r="AG4" i="24"/>
  <c r="U29" i="18"/>
  <c r="U57" i="30" s="1"/>
  <c r="U27" i="18"/>
  <c r="U54" i="30"/>
  <c r="V10" i="1"/>
  <c r="V5" i="30" s="1"/>
  <c r="V4" i="30" s="1"/>
  <c r="B22" i="31" s="1"/>
  <c r="W9" i="1"/>
  <c r="W91" i="20"/>
  <c r="X40" i="20"/>
  <c r="T52" i="30"/>
  <c r="H20" i="32" s="1"/>
  <c r="AI37" i="20"/>
  <c r="V9" i="28"/>
  <c r="U45" i="30"/>
  <c r="AF37" i="18"/>
  <c r="AF25" i="18"/>
  <c r="AF47" i="18"/>
  <c r="AG7" i="18"/>
  <c r="T102" i="20"/>
  <c r="S59" i="30"/>
  <c r="S51" i="30" s="1"/>
  <c r="H19" i="33" s="1"/>
  <c r="S105" i="20"/>
  <c r="U103" i="20"/>
  <c r="X3" i="23"/>
  <c r="W70" i="30"/>
  <c r="W66" i="30" s="1"/>
  <c r="I23" i="31" s="1"/>
  <c r="AA23" i="20"/>
  <c r="Z89" i="20"/>
  <c r="U39" i="18"/>
  <c r="U41" i="18"/>
  <c r="U58" i="30" s="1"/>
  <c r="AE39" i="20"/>
  <c r="U49" i="18"/>
  <c r="U52" i="18"/>
  <c r="U55" i="30" s="1"/>
  <c r="U50" i="18"/>
  <c r="Y26" i="20"/>
  <c r="X87" i="20"/>
  <c r="V90" i="20"/>
  <c r="V94" i="20" s="1"/>
  <c r="V96" i="20" s="1"/>
  <c r="V101" i="20" s="1"/>
  <c r="W41" i="20"/>
  <c r="AD69" i="30"/>
  <c r="AE4" i="23"/>
  <c r="AF36" i="20"/>
  <c r="T46" i="30"/>
  <c r="T42" i="30" s="1"/>
  <c r="G20" i="32" s="1"/>
  <c r="U14" i="28"/>
  <c r="AE34" i="20"/>
  <c r="AB24" i="20"/>
  <c r="AA88" i="20"/>
  <c r="X72" i="30"/>
  <c r="Y3" i="24"/>
  <c r="Z26" i="20" l="1"/>
  <c r="Y87" i="20"/>
  <c r="AF39" i="20"/>
  <c r="X5" i="18"/>
  <c r="W46" i="18"/>
  <c r="W36" i="18"/>
  <c r="W24" i="18"/>
  <c r="AC35" i="18"/>
  <c r="AC23" i="18"/>
  <c r="AC45" i="18"/>
  <c r="AD4" i="18"/>
  <c r="Y72" i="30"/>
  <c r="Z3" i="24"/>
  <c r="AC24" i="20"/>
  <c r="AB88" i="20"/>
  <c r="AG36" i="20"/>
  <c r="X41" i="20"/>
  <c r="W90" i="20"/>
  <c r="W94" i="20" s="1"/>
  <c r="W96" i="20" s="1"/>
  <c r="W101" i="20" s="1"/>
  <c r="AB23" i="20"/>
  <c r="AA89" i="20"/>
  <c r="T59" i="30"/>
  <c r="T51" i="30" s="1"/>
  <c r="H20" i="33" s="1"/>
  <c r="U102" i="20"/>
  <c r="T105" i="20"/>
  <c r="X9" i="1"/>
  <c r="W10" i="1"/>
  <c r="W5" i="30" s="1"/>
  <c r="W4" i="30" s="1"/>
  <c r="B23" i="31" s="1"/>
  <c r="V41" i="18"/>
  <c r="V58" i="30" s="1"/>
  <c r="V39" i="18"/>
  <c r="X10" i="28"/>
  <c r="W43" i="30"/>
  <c r="W41" i="30" s="1"/>
  <c r="G23" i="33" s="1"/>
  <c r="V54" i="30"/>
  <c r="V103" i="20"/>
  <c r="AG37" i="18"/>
  <c r="AG47" i="18"/>
  <c r="AG25" i="18"/>
  <c r="AH7" i="18"/>
  <c r="U52" i="30"/>
  <c r="H21" i="32" s="1"/>
  <c r="AB26" i="18"/>
  <c r="AC6" i="18"/>
  <c r="AB48" i="18"/>
  <c r="AB38" i="18"/>
  <c r="V29" i="18"/>
  <c r="V57" i="30" s="1"/>
  <c r="V52" i="30" s="1"/>
  <c r="H22" i="32" s="1"/>
  <c r="V27" i="18"/>
  <c r="AB68" i="30"/>
  <c r="AB65" i="30" s="1"/>
  <c r="I28" i="34" s="1"/>
  <c r="AC7" i="25"/>
  <c r="AJ37" i="20"/>
  <c r="AB28" i="20"/>
  <c r="AA86" i="20"/>
  <c r="AF34" i="20"/>
  <c r="U46" i="30"/>
  <c r="U42" i="30" s="1"/>
  <c r="G21" i="32" s="1"/>
  <c r="V14" i="28"/>
  <c r="AE69" i="30"/>
  <c r="AF4" i="23"/>
  <c r="Y3" i="23"/>
  <c r="X70" i="30"/>
  <c r="X66" i="30" s="1"/>
  <c r="I24" i="31" s="1"/>
  <c r="V45" i="30"/>
  <c r="W9" i="28"/>
  <c r="X91" i="20"/>
  <c r="Y40" i="20"/>
  <c r="AG71" i="30"/>
  <c r="AH4" i="24"/>
  <c r="V50" i="18"/>
  <c r="V49" i="18"/>
  <c r="V52" i="18" s="1"/>
  <c r="V55" i="30" s="1"/>
  <c r="AG4" i="23" l="1"/>
  <c r="AF69" i="30"/>
  <c r="AK37" i="20"/>
  <c r="W54" i="30"/>
  <c r="W27" i="18"/>
  <c r="W29" i="18"/>
  <c r="W57" i="30" s="1"/>
  <c r="W52" i="30" s="1"/>
  <c r="H23" i="32" s="1"/>
  <c r="X90" i="20"/>
  <c r="X94" i="20" s="1"/>
  <c r="X96" i="20" s="1"/>
  <c r="X101" i="20" s="1"/>
  <c r="Y41" i="20"/>
  <c r="AD24" i="20"/>
  <c r="AC88" i="20"/>
  <c r="W41" i="18"/>
  <c r="W58" i="30" s="1"/>
  <c r="W39" i="18"/>
  <c r="U59" i="30"/>
  <c r="U51" i="30" s="1"/>
  <c r="H21" i="33" s="1"/>
  <c r="V102" i="20"/>
  <c r="U105" i="20"/>
  <c r="AD23" i="18"/>
  <c r="AE4" i="18"/>
  <c r="AD45" i="18"/>
  <c r="AD35" i="18"/>
  <c r="AG39" i="20"/>
  <c r="Y91" i="20"/>
  <c r="Z40" i="20"/>
  <c r="Z3" i="23"/>
  <c r="Y70" i="30"/>
  <c r="Y66" i="30" s="1"/>
  <c r="I25" i="31" s="1"/>
  <c r="V46" i="30"/>
  <c r="V42" i="30" s="1"/>
  <c r="G22" i="32" s="1"/>
  <c r="W14" i="28"/>
  <c r="AC68" i="30"/>
  <c r="AC65" i="30" s="1"/>
  <c r="I29" i="34" s="1"/>
  <c r="AD7" i="25"/>
  <c r="Y9" i="1"/>
  <c r="X10" i="1"/>
  <c r="X5" i="30" s="1"/>
  <c r="X4" i="30" s="1"/>
  <c r="B24" i="31" s="1"/>
  <c r="AA3" i="24"/>
  <c r="Z72" i="30"/>
  <c r="W52" i="18"/>
  <c r="W55" i="30" s="1"/>
  <c r="W50" i="18"/>
  <c r="W49" i="18"/>
  <c r="AG34" i="20"/>
  <c r="AH71" i="30"/>
  <c r="AI4" i="24"/>
  <c r="X9" i="28"/>
  <c r="W45" i="30"/>
  <c r="AC28" i="20"/>
  <c r="AB86" i="20"/>
  <c r="AD6" i="18"/>
  <c r="AC26" i="18"/>
  <c r="AC38" i="18"/>
  <c r="AC48" i="18"/>
  <c r="AH47" i="18"/>
  <c r="AH37" i="18"/>
  <c r="AI7" i="18"/>
  <c r="AH25" i="18"/>
  <c r="W103" i="20"/>
  <c r="X103" i="20" s="1"/>
  <c r="X43" i="30"/>
  <c r="X41" i="30" s="1"/>
  <c r="G24" i="33" s="1"/>
  <c r="Y10" i="28"/>
  <c r="AC23" i="20"/>
  <c r="AB89" i="20"/>
  <c r="AH36" i="20"/>
  <c r="X24" i="18"/>
  <c r="X46" i="18"/>
  <c r="X36" i="18"/>
  <c r="Y5" i="18"/>
  <c r="AA26" i="20"/>
  <c r="Z87" i="20"/>
  <c r="AH34" i="20" l="1"/>
  <c r="V59" i="30"/>
  <c r="V51" i="30" s="1"/>
  <c r="H22" i="33" s="1"/>
  <c r="W102" i="20"/>
  <c r="V105" i="20"/>
  <c r="AE24" i="20"/>
  <c r="AD88" i="20"/>
  <c r="AA72" i="30"/>
  <c r="AB3" i="24"/>
  <c r="AH39" i="20"/>
  <c r="AE35" i="18"/>
  <c r="AE45" i="18"/>
  <c r="AF4" i="18"/>
  <c r="AE23" i="18"/>
  <c r="Z41" i="20"/>
  <c r="Y90" i="20"/>
  <c r="Y94" i="20" s="1"/>
  <c r="Y96" i="20" s="1"/>
  <c r="Y101" i="20" s="1"/>
  <c r="Y36" i="18"/>
  <c r="Y46" i="18"/>
  <c r="Y24" i="18"/>
  <c r="Z5" i="18"/>
  <c r="AD38" i="18"/>
  <c r="AD26" i="18"/>
  <c r="AE6" i="18"/>
  <c r="AD48" i="18"/>
  <c r="X41" i="18"/>
  <c r="X58" i="30" s="1"/>
  <c r="X39" i="18"/>
  <c r="AD23" i="20"/>
  <c r="AC89" i="20"/>
  <c r="AI71" i="30"/>
  <c r="AJ4" i="24"/>
  <c r="X50" i="18"/>
  <c r="X52" i="18"/>
  <c r="X55" i="30" s="1"/>
  <c r="X49" i="18"/>
  <c r="AI36" i="20"/>
  <c r="Z10" i="28"/>
  <c r="Y43" i="30"/>
  <c r="Y41" i="30" s="1"/>
  <c r="G25" i="33" s="1"/>
  <c r="AI25" i="18"/>
  <c r="AI37" i="18"/>
  <c r="AI47" i="18"/>
  <c r="AJ7" i="18"/>
  <c r="AD28" i="20"/>
  <c r="AC86" i="20"/>
  <c r="AA3" i="23"/>
  <c r="Z70" i="30"/>
  <c r="Z66" i="30" s="1"/>
  <c r="I26" i="31" s="1"/>
  <c r="X54" i="30"/>
  <c r="Y9" i="28"/>
  <c r="X45" i="30"/>
  <c r="AD68" i="30"/>
  <c r="AD65" i="30" s="1"/>
  <c r="I30" i="34" s="1"/>
  <c r="AE7" i="25"/>
  <c r="AB26" i="20"/>
  <c r="AA87" i="20"/>
  <c r="X29" i="18"/>
  <c r="X57" i="30" s="1"/>
  <c r="X52" i="30" s="1"/>
  <c r="H24" i="32" s="1"/>
  <c r="X27" i="18"/>
  <c r="W42" i="30"/>
  <c r="G23" i="32" s="1"/>
  <c r="Y10" i="1"/>
  <c r="Y5" i="30" s="1"/>
  <c r="Y4" i="30" s="1"/>
  <c r="B25" i="31" s="1"/>
  <c r="Z9" i="1"/>
  <c r="W46" i="30"/>
  <c r="X14" i="28"/>
  <c r="Z91" i="20"/>
  <c r="AA40" i="20"/>
  <c r="AH4" i="23"/>
  <c r="AG69" i="30"/>
  <c r="AA91" i="20" l="1"/>
  <c r="AB40" i="20"/>
  <c r="Y54" i="30"/>
  <c r="AB72" i="30"/>
  <c r="AC3" i="24"/>
  <c r="Z9" i="28"/>
  <c r="Y45" i="30"/>
  <c r="AE28" i="20"/>
  <c r="AD86" i="20"/>
  <c r="AE23" i="20"/>
  <c r="AD89" i="20"/>
  <c r="AE48" i="18"/>
  <c r="AE26" i="18"/>
  <c r="AF6" i="18"/>
  <c r="AE38" i="18"/>
  <c r="Y29" i="18"/>
  <c r="Y57" i="30" s="1"/>
  <c r="Y27" i="18"/>
  <c r="Z90" i="20"/>
  <c r="Z94" i="20" s="1"/>
  <c r="Z96" i="20" s="1"/>
  <c r="Z101" i="20" s="1"/>
  <c r="AA41" i="20"/>
  <c r="AF24" i="20"/>
  <c r="AE88" i="20"/>
  <c r="AI34" i="20"/>
  <c r="AI4" i="23"/>
  <c r="AH69" i="30"/>
  <c r="Z10" i="1"/>
  <c r="Z5" i="30" s="1"/>
  <c r="Z4" i="30" s="1"/>
  <c r="B26" i="31" s="1"/>
  <c r="AA9" i="1"/>
  <c r="X42" i="30"/>
  <c r="G24" i="32" s="1"/>
  <c r="AA5" i="18"/>
  <c r="Z36" i="18"/>
  <c r="Z24" i="18"/>
  <c r="Z46" i="18"/>
  <c r="Y14" i="28"/>
  <c r="X46" i="30"/>
  <c r="AC26" i="20"/>
  <c r="AB87" i="20"/>
  <c r="AF7" i="25"/>
  <c r="AE68" i="30"/>
  <c r="AE65" i="30" s="1"/>
  <c r="I31" i="34" s="1"/>
  <c r="AJ47" i="18"/>
  <c r="AJ37" i="18"/>
  <c r="AJ25" i="18"/>
  <c r="AK7" i="18"/>
  <c r="AJ71" i="30"/>
  <c r="AK4" i="24"/>
  <c r="AK71" i="30" s="1"/>
  <c r="Y52" i="18"/>
  <c r="Y55" i="30" s="1"/>
  <c r="Y50" i="18"/>
  <c r="Y49" i="18"/>
  <c r="AI39" i="20"/>
  <c r="AJ36" i="20"/>
  <c r="AB3" i="23"/>
  <c r="AA70" i="30"/>
  <c r="AA66" i="30" s="1"/>
  <c r="I27" i="31" s="1"/>
  <c r="AA10" i="28"/>
  <c r="Z43" i="30"/>
  <c r="Z41" i="30" s="1"/>
  <c r="G26" i="33" s="1"/>
  <c r="Y39" i="18"/>
  <c r="Y41" i="18"/>
  <c r="Y58" i="30" s="1"/>
  <c r="AF35" i="18"/>
  <c r="AF45" i="18"/>
  <c r="AG4" i="18"/>
  <c r="AF23" i="18"/>
  <c r="W59" i="30"/>
  <c r="W51" i="30" s="1"/>
  <c r="H23" i="33" s="1"/>
  <c r="X102" i="20"/>
  <c r="W105" i="20"/>
  <c r="Y103" i="20"/>
  <c r="Z103" i="20" s="1"/>
  <c r="AA36" i="18" l="1"/>
  <c r="AA46" i="18"/>
  <c r="AB5" i="18"/>
  <c r="AA24" i="18"/>
  <c r="AB41" i="20"/>
  <c r="AA90" i="20"/>
  <c r="AA94" i="20" s="1"/>
  <c r="AA96" i="20" s="1"/>
  <c r="AA101" i="20" s="1"/>
  <c r="AH4" i="18"/>
  <c r="AG23" i="18"/>
  <c r="AG45" i="18"/>
  <c r="AG35" i="18"/>
  <c r="AC3" i="23"/>
  <c r="AB70" i="30"/>
  <c r="AB66" i="30" s="1"/>
  <c r="I28" i="31" s="1"/>
  <c r="AJ39" i="20"/>
  <c r="AD26" i="20"/>
  <c r="AC87" i="20"/>
  <c r="Z50" i="18"/>
  <c r="Z49" i="18"/>
  <c r="Z52" i="18"/>
  <c r="Z55" i="30" s="1"/>
  <c r="AJ4" i="23"/>
  <c r="AI69" i="30"/>
  <c r="AG24" i="20"/>
  <c r="AF88" i="20"/>
  <c r="Z54" i="30"/>
  <c r="AG6" i="18"/>
  <c r="AF38" i="18"/>
  <c r="AF48" i="18"/>
  <c r="AF26" i="18"/>
  <c r="AF23" i="20"/>
  <c r="AE89" i="20"/>
  <c r="AA9" i="28"/>
  <c r="Z45" i="30"/>
  <c r="X59" i="30"/>
  <c r="X51" i="30" s="1"/>
  <c r="H24" i="33" s="1"/>
  <c r="Y102" i="20"/>
  <c r="X105" i="20"/>
  <c r="AK47" i="18"/>
  <c r="AK37" i="18"/>
  <c r="AK25" i="18"/>
  <c r="Z29" i="18"/>
  <c r="Z57" i="30" s="1"/>
  <c r="Z27" i="18"/>
  <c r="AB9" i="1"/>
  <c r="AA10" i="1"/>
  <c r="AA5" i="30" s="1"/>
  <c r="AA4" i="30" s="1"/>
  <c r="B27" i="31" s="1"/>
  <c r="AJ34" i="20"/>
  <c r="AD3" i="24"/>
  <c r="AC72" i="30"/>
  <c r="AB91" i="20"/>
  <c r="AC40" i="20"/>
  <c r="AA103" i="20"/>
  <c r="AK36" i="20"/>
  <c r="AB10" i="28"/>
  <c r="AA43" i="30"/>
  <c r="AA41" i="30" s="1"/>
  <c r="G27" i="33" s="1"/>
  <c r="AF68" i="30"/>
  <c r="AF65" i="30" s="1"/>
  <c r="I32" i="34" s="1"/>
  <c r="AG7" i="25"/>
  <c r="Y46" i="30"/>
  <c r="Y42" i="30" s="1"/>
  <c r="G25" i="32" s="1"/>
  <c r="Z14" i="28"/>
  <c r="Z41" i="18"/>
  <c r="Z58" i="30" s="1"/>
  <c r="Z39" i="18"/>
  <c r="Y52" i="30"/>
  <c r="H25" i="32" s="1"/>
  <c r="AF28" i="20"/>
  <c r="AE86" i="20"/>
  <c r="AG28" i="20" l="1"/>
  <c r="AF86" i="20"/>
  <c r="AE26" i="20"/>
  <c r="AD87" i="20"/>
  <c r="AD3" i="23"/>
  <c r="AC70" i="30"/>
  <c r="AC66" i="30" s="1"/>
  <c r="I29" i="31" s="1"/>
  <c r="AB43" i="30"/>
  <c r="AB41" i="30" s="1"/>
  <c r="G28" i="33" s="1"/>
  <c r="AC10" i="28"/>
  <c r="AC91" i="20"/>
  <c r="AD40" i="20"/>
  <c r="AB10" i="1"/>
  <c r="AB5" i="30" s="1"/>
  <c r="AB4" i="30" s="1"/>
  <c r="B28" i="31" s="1"/>
  <c r="AC9" i="1"/>
  <c r="AG23" i="20"/>
  <c r="AF89" i="20"/>
  <c r="AG38" i="18"/>
  <c r="AH6" i="18"/>
  <c r="AG48" i="18"/>
  <c r="AG26" i="18"/>
  <c r="AH24" i="20"/>
  <c r="AG88" i="20"/>
  <c r="AK39" i="20"/>
  <c r="AB46" i="18"/>
  <c r="AB36" i="18"/>
  <c r="AB24" i="18"/>
  <c r="AC5" i="18"/>
  <c r="AA14" i="28"/>
  <c r="Z46" i="30"/>
  <c r="AD72" i="30"/>
  <c r="AE3" i="24"/>
  <c r="AI4" i="18"/>
  <c r="AH23" i="18"/>
  <c r="AH35" i="18"/>
  <c r="AH45" i="18"/>
  <c r="AA29" i="18"/>
  <c r="AA57" i="30" s="1"/>
  <c r="AA27" i="18"/>
  <c r="AG68" i="30"/>
  <c r="AG65" i="30" s="1"/>
  <c r="I33" i="34" s="1"/>
  <c r="AH7" i="25"/>
  <c r="Z42" i="30"/>
  <c r="G26" i="32" s="1"/>
  <c r="AA54" i="30"/>
  <c r="AA49" i="18"/>
  <c r="AA52" i="18" s="1"/>
  <c r="AA55" i="30" s="1"/>
  <c r="AA50" i="18"/>
  <c r="AK34" i="20"/>
  <c r="Z52" i="30"/>
  <c r="H26" i="32" s="1"/>
  <c r="Y59" i="30"/>
  <c r="Y51" i="30" s="1"/>
  <c r="H25" i="33" s="1"/>
  <c r="Z102" i="20"/>
  <c r="Y105" i="20"/>
  <c r="AA45" i="30"/>
  <c r="AB9" i="28"/>
  <c r="AK4" i="23"/>
  <c r="AK69" i="30" s="1"/>
  <c r="AJ69" i="30"/>
  <c r="AB90" i="20"/>
  <c r="AB94" i="20" s="1"/>
  <c r="AB96" i="20" s="1"/>
  <c r="AB101" i="20" s="1"/>
  <c r="AC41" i="20"/>
  <c r="AA39" i="18"/>
  <c r="AA41" i="18" s="1"/>
  <c r="AA58" i="30" s="1"/>
  <c r="AB27" i="18" l="1"/>
  <c r="AB29" i="18"/>
  <c r="AB57" i="30" s="1"/>
  <c r="AI24" i="20"/>
  <c r="AH88" i="20"/>
  <c r="AD10" i="28"/>
  <c r="AC43" i="30"/>
  <c r="AC41" i="30" s="1"/>
  <c r="G29" i="33" s="1"/>
  <c r="AB54" i="30"/>
  <c r="AB103" i="20"/>
  <c r="AC103" i="20" s="1"/>
  <c r="AB39" i="18"/>
  <c r="AB41" i="18"/>
  <c r="AB58" i="30" s="1"/>
  <c r="AD91" i="20"/>
  <c r="AE40" i="20"/>
  <c r="AF26" i="20"/>
  <c r="AE87" i="20"/>
  <c r="AC90" i="20"/>
  <c r="AC94" i="20" s="1"/>
  <c r="AC96" i="20" s="1"/>
  <c r="AC101" i="20" s="1"/>
  <c r="AD41" i="20"/>
  <c r="AA52" i="30"/>
  <c r="H27" i="32" s="1"/>
  <c r="AI45" i="18"/>
  <c r="AJ4" i="18"/>
  <c r="AI23" i="18"/>
  <c r="AI35" i="18"/>
  <c r="AB14" i="28"/>
  <c r="AA46" i="30"/>
  <c r="AA42" i="30" s="1"/>
  <c r="G27" i="32" s="1"/>
  <c r="AB50" i="18"/>
  <c r="AB49" i="18"/>
  <c r="AB52" i="18" s="1"/>
  <c r="AB55" i="30" s="1"/>
  <c r="AH23" i="20"/>
  <c r="AG89" i="20"/>
  <c r="AB45" i="30"/>
  <c r="AC9" i="28"/>
  <c r="Z59" i="30"/>
  <c r="Z51" i="30" s="1"/>
  <c r="H26" i="33" s="1"/>
  <c r="AA102" i="20"/>
  <c r="Z105" i="20"/>
  <c r="AI7" i="25"/>
  <c r="AH68" i="30"/>
  <c r="AH65" i="30" s="1"/>
  <c r="I34" i="34" s="1"/>
  <c r="AE72" i="30"/>
  <c r="AF3" i="24"/>
  <c r="AD5" i="18"/>
  <c r="AC24" i="18"/>
  <c r="AC36" i="18"/>
  <c r="AC46" i="18"/>
  <c r="AH38" i="18"/>
  <c r="AI6" i="18"/>
  <c r="AH48" i="18"/>
  <c r="AH26" i="18"/>
  <c r="AC10" i="1"/>
  <c r="AC5" i="30" s="1"/>
  <c r="AC4" i="30" s="1"/>
  <c r="B29" i="31" s="1"/>
  <c r="AD9" i="1"/>
  <c r="AD70" i="30"/>
  <c r="AD66" i="30" s="1"/>
  <c r="I30" i="31" s="1"/>
  <c r="AE3" i="23"/>
  <c r="AH28" i="20"/>
  <c r="AG86" i="20"/>
  <c r="AI28" i="20" l="1"/>
  <c r="AH86" i="20"/>
  <c r="AJ45" i="18"/>
  <c r="AJ23" i="18"/>
  <c r="AJ35" i="18"/>
  <c r="AK4" i="18"/>
  <c r="AB52" i="30"/>
  <c r="H28" i="32" s="1"/>
  <c r="AF3" i="23"/>
  <c r="AE70" i="30"/>
  <c r="AE66" i="30" s="1"/>
  <c r="I31" i="31" s="1"/>
  <c r="AC50" i="18"/>
  <c r="AC49" i="18"/>
  <c r="AC52" i="18" s="1"/>
  <c r="AC55" i="30" s="1"/>
  <c r="AG3" i="24"/>
  <c r="AF72" i="30"/>
  <c r="AA59" i="30"/>
  <c r="AA51" i="30" s="1"/>
  <c r="H27" i="33" s="1"/>
  <c r="AB102" i="20"/>
  <c r="AA105" i="20"/>
  <c r="AC14" i="28"/>
  <c r="AB46" i="30"/>
  <c r="AB42" i="30" s="1"/>
  <c r="G28" i="32" s="1"/>
  <c r="AD90" i="20"/>
  <c r="AD94" i="20" s="1"/>
  <c r="AD96" i="20" s="1"/>
  <c r="AD101" i="20" s="1"/>
  <c r="AE41" i="20"/>
  <c r="AE91" i="20"/>
  <c r="AF40" i="20"/>
  <c r="AE10" i="28"/>
  <c r="AD43" i="30"/>
  <c r="AD41" i="30" s="1"/>
  <c r="G30" i="33" s="1"/>
  <c r="AD24" i="18"/>
  <c r="AE5" i="18"/>
  <c r="AD36" i="18"/>
  <c r="AD46" i="18"/>
  <c r="AI23" i="20"/>
  <c r="AH89" i="20"/>
  <c r="AG26" i="20"/>
  <c r="AF87" i="20"/>
  <c r="AC39" i="18"/>
  <c r="AC41" i="18"/>
  <c r="AC58" i="30" s="1"/>
  <c r="AC54" i="30"/>
  <c r="AD9" i="28"/>
  <c r="AC45" i="30"/>
  <c r="AE9" i="1"/>
  <c r="AD10" i="1"/>
  <c r="AD5" i="30" s="1"/>
  <c r="AD4" i="30" s="1"/>
  <c r="B30" i="31" s="1"/>
  <c r="AI38" i="18"/>
  <c r="AI48" i="18"/>
  <c r="AJ6" i="18"/>
  <c r="AI26" i="18"/>
  <c r="AC27" i="18"/>
  <c r="AC29" i="18" s="1"/>
  <c r="AC57" i="30" s="1"/>
  <c r="AC52" i="30" s="1"/>
  <c r="H29" i="32" s="1"/>
  <c r="AI68" i="30"/>
  <c r="AI65" i="30" s="1"/>
  <c r="I35" i="34" s="1"/>
  <c r="AJ7" i="25"/>
  <c r="AJ24" i="20"/>
  <c r="AI88" i="20"/>
  <c r="AJ26" i="18" l="1"/>
  <c r="AK6" i="18"/>
  <c r="AJ48" i="18"/>
  <c r="AJ38" i="18"/>
  <c r="AJ23" i="20"/>
  <c r="AI89" i="20"/>
  <c r="AD27" i="18"/>
  <c r="AD29" i="18" s="1"/>
  <c r="AD57" i="30" s="1"/>
  <c r="AD103" i="20"/>
  <c r="AE103" i="20" s="1"/>
  <c r="AE10" i="1"/>
  <c r="AE5" i="30" s="1"/>
  <c r="AE4" i="30" s="1"/>
  <c r="B31" i="31" s="1"/>
  <c r="AF9" i="1"/>
  <c r="AF91" i="20"/>
  <c r="AG40" i="20"/>
  <c r="AK24" i="20"/>
  <c r="AK88" i="20" s="1"/>
  <c r="AJ88" i="20"/>
  <c r="AD52" i="18"/>
  <c r="AD55" i="30" s="1"/>
  <c r="AD50" i="18"/>
  <c r="AD49" i="18"/>
  <c r="AE90" i="20"/>
  <c r="AE94" i="20" s="1"/>
  <c r="AE96" i="20" s="1"/>
  <c r="AE101" i="20" s="1"/>
  <c r="AF41" i="20"/>
  <c r="AG72" i="30"/>
  <c r="AH3" i="24"/>
  <c r="AK23" i="18"/>
  <c r="AK45" i="18"/>
  <c r="AK35" i="18"/>
  <c r="AE46" i="18"/>
  <c r="AE24" i="18"/>
  <c r="AE36" i="18"/>
  <c r="AF5" i="18"/>
  <c r="AC46" i="30"/>
  <c r="AC42" i="30" s="1"/>
  <c r="G29" i="32" s="1"/>
  <c r="AD14" i="28"/>
  <c r="AJ68" i="30"/>
  <c r="AJ65" i="30" s="1"/>
  <c r="I36" i="34" s="1"/>
  <c r="AK7" i="25"/>
  <c r="AK68" i="30" s="1"/>
  <c r="AK65" i="30" s="1"/>
  <c r="I37" i="34" s="1"/>
  <c r="AE9" i="28"/>
  <c r="AD45" i="30"/>
  <c r="AH26" i="20"/>
  <c r="AG87" i="20"/>
  <c r="AD39" i="18"/>
  <c r="AD41" i="18" s="1"/>
  <c r="AD58" i="30" s="1"/>
  <c r="AE43" i="30"/>
  <c r="AE41" i="30" s="1"/>
  <c r="G31" i="33" s="1"/>
  <c r="AF10" i="28"/>
  <c r="AD54" i="30"/>
  <c r="AB59" i="30"/>
  <c r="AB51" i="30" s="1"/>
  <c r="H28" i="33" s="1"/>
  <c r="AC102" i="20"/>
  <c r="AB105" i="20"/>
  <c r="AF70" i="30"/>
  <c r="AF66" i="30" s="1"/>
  <c r="I32" i="31" s="1"/>
  <c r="AG3" i="23"/>
  <c r="AJ28" i="20"/>
  <c r="AI86" i="20"/>
  <c r="AD52" i="30" l="1"/>
  <c r="H30" i="32" s="1"/>
  <c r="AK28" i="20"/>
  <c r="AK86" i="20" s="1"/>
  <c r="AJ86" i="20"/>
  <c r="AF90" i="20"/>
  <c r="AF94" i="20" s="1"/>
  <c r="AF96" i="20" s="1"/>
  <c r="AF101" i="20" s="1"/>
  <c r="AG41" i="20"/>
  <c r="AK23" i="20"/>
  <c r="AK89" i="20" s="1"/>
  <c r="AJ89" i="20"/>
  <c r="AF9" i="28"/>
  <c r="AE45" i="30"/>
  <c r="AE49" i="18"/>
  <c r="AE52" i="18"/>
  <c r="AE55" i="30" s="1"/>
  <c r="AE50" i="18"/>
  <c r="AE54" i="30"/>
  <c r="AG91" i="20"/>
  <c r="AH40" i="20"/>
  <c r="AE29" i="18"/>
  <c r="AE57" i="30" s="1"/>
  <c r="AE27" i="18"/>
  <c r="AF103" i="20"/>
  <c r="AC59" i="30"/>
  <c r="AC51" i="30" s="1"/>
  <c r="H29" i="33" s="1"/>
  <c r="AD102" i="20"/>
  <c r="AC105" i="20"/>
  <c r="AG10" i="28"/>
  <c r="AF43" i="30"/>
  <c r="AF41" i="30" s="1"/>
  <c r="G32" i="33" s="1"/>
  <c r="AF46" i="18"/>
  <c r="AF24" i="18"/>
  <c r="AF36" i="18"/>
  <c r="AG5" i="18"/>
  <c r="AI3" i="24"/>
  <c r="AH72" i="30"/>
  <c r="AK38" i="18"/>
  <c r="AK26" i="18"/>
  <c r="AK48" i="18"/>
  <c r="AD46" i="30"/>
  <c r="AD42" i="30" s="1"/>
  <c r="G30" i="32" s="1"/>
  <c r="AE14" i="28"/>
  <c r="AG70" i="30"/>
  <c r="AG66" i="30" s="1"/>
  <c r="I33" i="31" s="1"/>
  <c r="AH3" i="23"/>
  <c r="AI26" i="20"/>
  <c r="AH87" i="20"/>
  <c r="AE39" i="18"/>
  <c r="AE41" i="18" s="1"/>
  <c r="AE58" i="30" s="1"/>
  <c r="AG9" i="1"/>
  <c r="AF10" i="1"/>
  <c r="AF5" i="30" s="1"/>
  <c r="AF4" i="30" s="1"/>
  <c r="B32" i="31" s="1"/>
  <c r="AI72" i="30" l="1"/>
  <c r="AJ3" i="24"/>
  <c r="AJ26" i="20"/>
  <c r="AI87" i="20"/>
  <c r="AF14" i="28"/>
  <c r="AE46" i="30"/>
  <c r="AE42" i="30" s="1"/>
  <c r="G31" i="32" s="1"/>
  <c r="AG24" i="18"/>
  <c r="AG46" i="18"/>
  <c r="AG36" i="18"/>
  <c r="AH5" i="18"/>
  <c r="AE102" i="20"/>
  <c r="AD59" i="30"/>
  <c r="AD51" i="30" s="1"/>
  <c r="H30" i="33" s="1"/>
  <c r="AD105" i="20"/>
  <c r="AH91" i="20"/>
  <c r="AI40" i="20"/>
  <c r="AF50" i="18"/>
  <c r="AF49" i="18"/>
  <c r="AF52" i="18" s="1"/>
  <c r="AF55" i="30" s="1"/>
  <c r="AH70" i="30"/>
  <c r="AH66" i="30" s="1"/>
  <c r="I34" i="31" s="1"/>
  <c r="AI3" i="23"/>
  <c r="AF39" i="18"/>
  <c r="AF41" i="18" s="1"/>
  <c r="AF58" i="30" s="1"/>
  <c r="AG90" i="20"/>
  <c r="AG94" i="20" s="1"/>
  <c r="AG96" i="20" s="1"/>
  <c r="AG101" i="20" s="1"/>
  <c r="AH41" i="20"/>
  <c r="AE52" i="30"/>
  <c r="H31" i="32" s="1"/>
  <c r="AG10" i="1"/>
  <c r="AG5" i="30" s="1"/>
  <c r="AG4" i="30" s="1"/>
  <c r="B33" i="31" s="1"/>
  <c r="AH9" i="1"/>
  <c r="AF27" i="18"/>
  <c r="AF29" i="18"/>
  <c r="AF57" i="30" s="1"/>
  <c r="AG43" i="30"/>
  <c r="AG41" i="30" s="1"/>
  <c r="G33" i="33" s="1"/>
  <c r="AH10" i="28"/>
  <c r="AG9" i="28"/>
  <c r="AF45" i="30"/>
  <c r="AF54" i="30"/>
  <c r="AI41" i="20" l="1"/>
  <c r="AH90" i="20"/>
  <c r="AH94" i="20" s="1"/>
  <c r="AH96" i="20" s="1"/>
  <c r="AH101" i="20" s="1"/>
  <c r="AG54" i="30"/>
  <c r="AJ3" i="23"/>
  <c r="AI70" i="30"/>
  <c r="AI66" i="30" s="1"/>
  <c r="I35" i="31" s="1"/>
  <c r="AG39" i="18"/>
  <c r="AG41" i="18"/>
  <c r="AG58" i="30" s="1"/>
  <c r="AF46" i="30"/>
  <c r="AG14" i="28"/>
  <c r="AJ72" i="30"/>
  <c r="AK3" i="24"/>
  <c r="AK72" i="30" s="1"/>
  <c r="AH10" i="1"/>
  <c r="AH5" i="30" s="1"/>
  <c r="AH4" i="30" s="1"/>
  <c r="B34" i="31" s="1"/>
  <c r="AI9" i="1"/>
  <c r="AH9" i="28"/>
  <c r="AG45" i="30"/>
  <c r="AG50" i="18"/>
  <c r="AG49" i="18"/>
  <c r="AG52" i="18" s="1"/>
  <c r="AG55" i="30" s="1"/>
  <c r="AI10" i="28"/>
  <c r="AH43" i="30"/>
  <c r="AH41" i="30" s="1"/>
  <c r="G34" i="33" s="1"/>
  <c r="AI5" i="18"/>
  <c r="AH24" i="18"/>
  <c r="AH36" i="18"/>
  <c r="AH46" i="18"/>
  <c r="AF42" i="30"/>
  <c r="G32" i="32" s="1"/>
  <c r="AF52" i="30"/>
  <c r="H32" i="32" s="1"/>
  <c r="AG103" i="20"/>
  <c r="AH103" i="20" s="1"/>
  <c r="AI91" i="20"/>
  <c r="AJ40" i="20"/>
  <c r="AE59" i="30"/>
  <c r="AE51" i="30" s="1"/>
  <c r="H31" i="33" s="1"/>
  <c r="AF102" i="20"/>
  <c r="AE105" i="20"/>
  <c r="AG29" i="18"/>
  <c r="AG57" i="30" s="1"/>
  <c r="AG52" i="30" s="1"/>
  <c r="H33" i="32" s="1"/>
  <c r="AG27" i="18"/>
  <c r="AK26" i="20"/>
  <c r="AK87" i="20" s="1"/>
  <c r="AJ87" i="20"/>
  <c r="AK40" i="20" l="1"/>
  <c r="AK91" i="20" s="1"/>
  <c r="AJ91" i="20"/>
  <c r="AH49" i="18"/>
  <c r="AH52" i="18" s="1"/>
  <c r="AH55" i="30" s="1"/>
  <c r="AH50" i="18"/>
  <c r="AI9" i="28"/>
  <c r="AH45" i="30"/>
  <c r="AJ5" i="18"/>
  <c r="AI46" i="18"/>
  <c r="AI36" i="18"/>
  <c r="AI24" i="18"/>
  <c r="AF59" i="30"/>
  <c r="AF51" i="30" s="1"/>
  <c r="H32" i="33" s="1"/>
  <c r="AG102" i="20"/>
  <c r="AF105" i="20"/>
  <c r="AH41" i="18"/>
  <c r="AH58" i="30" s="1"/>
  <c r="AH39" i="18"/>
  <c r="AJ10" i="28"/>
  <c r="AI43" i="30"/>
  <c r="AI41" i="30" s="1"/>
  <c r="G35" i="33" s="1"/>
  <c r="AJ9" i="1"/>
  <c r="AI10" i="1"/>
  <c r="AI5" i="30" s="1"/>
  <c r="AI4" i="30" s="1"/>
  <c r="B35" i="31" s="1"/>
  <c r="AG46" i="30"/>
  <c r="AG42" i="30" s="1"/>
  <c r="G33" i="32" s="1"/>
  <c r="AH14" i="28"/>
  <c r="AH54" i="30"/>
  <c r="AH27" i="18"/>
  <c r="AH29" i="18"/>
  <c r="AH57" i="30" s="1"/>
  <c r="AK3" i="23"/>
  <c r="AK70" i="30" s="1"/>
  <c r="AK66" i="30" s="1"/>
  <c r="I37" i="31" s="1"/>
  <c r="AJ70" i="30"/>
  <c r="AJ66" i="30" s="1"/>
  <c r="I36" i="31" s="1"/>
  <c r="AI90" i="20"/>
  <c r="AI94" i="20" s="1"/>
  <c r="AI96" i="20" s="1"/>
  <c r="AI101" i="20" s="1"/>
  <c r="AJ41" i="20"/>
  <c r="AI45" i="30" l="1"/>
  <c r="AJ9" i="28"/>
  <c r="AH52" i="30"/>
  <c r="H34" i="32" s="1"/>
  <c r="AH46" i="30"/>
  <c r="AH42" i="30" s="1"/>
  <c r="G34" i="32" s="1"/>
  <c r="AI14" i="28"/>
  <c r="AI103" i="20"/>
  <c r="AJ46" i="18"/>
  <c r="AJ24" i="18"/>
  <c r="AK5" i="18"/>
  <c r="AJ36" i="18"/>
  <c r="AK9" i="1"/>
  <c r="AK10" i="1" s="1"/>
  <c r="AK5" i="30" s="1"/>
  <c r="AK4" i="30" s="1"/>
  <c r="B37" i="31" s="1"/>
  <c r="AJ10" i="1"/>
  <c r="AJ5" i="30" s="1"/>
  <c r="AJ4" i="30" s="1"/>
  <c r="B36" i="31" s="1"/>
  <c r="AI50" i="18"/>
  <c r="AI49" i="18"/>
  <c r="AI52" i="18" s="1"/>
  <c r="AI55" i="30" s="1"/>
  <c r="AK41" i="20"/>
  <c r="AK90" i="20" s="1"/>
  <c r="AK94" i="20" s="1"/>
  <c r="AK96" i="20" s="1"/>
  <c r="AK101" i="20" s="1"/>
  <c r="AJ90" i="20"/>
  <c r="AJ94" i="20" s="1"/>
  <c r="AJ96" i="20" s="1"/>
  <c r="AJ101" i="20" s="1"/>
  <c r="AI54" i="30"/>
  <c r="AJ43" i="30"/>
  <c r="AJ41" i="30" s="1"/>
  <c r="G36" i="33" s="1"/>
  <c r="AK10" i="28"/>
  <c r="AK43" i="30" s="1"/>
  <c r="AK41" i="30" s="1"/>
  <c r="G37" i="33" s="1"/>
  <c r="AI27" i="18"/>
  <c r="AI29" i="18" s="1"/>
  <c r="AI57" i="30" s="1"/>
  <c r="AI52" i="30" s="1"/>
  <c r="H35" i="32" s="1"/>
  <c r="AG59" i="30"/>
  <c r="AG51" i="30" s="1"/>
  <c r="H33" i="33" s="1"/>
  <c r="AH102" i="20"/>
  <c r="AG105" i="20"/>
  <c r="AI39" i="18"/>
  <c r="AI41" i="18"/>
  <c r="AI58" i="30" s="1"/>
  <c r="AJ50" i="18" l="1"/>
  <c r="AJ49" i="18"/>
  <c r="AJ52" i="18" s="1"/>
  <c r="AJ55" i="30" s="1"/>
  <c r="AJ27" i="18"/>
  <c r="AJ29" i="18"/>
  <c r="AJ57" i="30" s="1"/>
  <c r="AI102" i="20"/>
  <c r="AH59" i="30"/>
  <c r="AH51" i="30" s="1"/>
  <c r="H34" i="33" s="1"/>
  <c r="AH105" i="20"/>
  <c r="AJ54" i="30"/>
  <c r="AJ39" i="18"/>
  <c r="AJ41" i="18" s="1"/>
  <c r="AJ58" i="30" s="1"/>
  <c r="AJ103" i="20"/>
  <c r="AK103" i="20" s="1"/>
  <c r="AK9" i="28"/>
  <c r="AK45" i="30" s="1"/>
  <c r="AJ45" i="30"/>
  <c r="AK54" i="30"/>
  <c r="AK46" i="18"/>
  <c r="AK36" i="18"/>
  <c r="AK24" i="18"/>
  <c r="AJ14" i="28"/>
  <c r="AI46" i="30"/>
  <c r="AI42" i="30"/>
  <c r="G35" i="32" s="1"/>
  <c r="AK50" i="18" l="1"/>
  <c r="AK49" i="18"/>
  <c r="AK52" i="18" s="1"/>
  <c r="AK55" i="30" s="1"/>
  <c r="AI59" i="30"/>
  <c r="AI51" i="30" s="1"/>
  <c r="H35" i="33" s="1"/>
  <c r="AJ102" i="20"/>
  <c r="AI105" i="20"/>
  <c r="AJ42" i="30"/>
  <c r="G36" i="32" s="1"/>
  <c r="AJ52" i="30"/>
  <c r="H36" i="32" s="1"/>
  <c r="AK39" i="18"/>
  <c r="AK41" i="18" s="1"/>
  <c r="AK58" i="30" s="1"/>
  <c r="AK42" i="30"/>
  <c r="G37" i="32" s="1"/>
  <c r="AK14" i="28"/>
  <c r="AK46" i="30" s="1"/>
  <c r="AJ46" i="30"/>
  <c r="AK27" i="18"/>
  <c r="AK29" i="18"/>
  <c r="AK57" i="30" s="1"/>
  <c r="AK52" i="30" l="1"/>
  <c r="H37" i="32" s="1"/>
  <c r="AK102" i="20"/>
  <c r="AJ59" i="30"/>
  <c r="AJ51" i="30" s="1"/>
  <c r="H36" i="33" s="1"/>
  <c r="AJ105" i="20"/>
  <c r="AK59" i="30" l="1"/>
  <c r="AK51" i="30" s="1"/>
  <c r="H37" i="33" s="1"/>
  <c r="AK105" i="20"/>
</calcChain>
</file>

<file path=xl/comments1.xml><?xml version="1.0" encoding="utf-8"?>
<comments xmlns="http://schemas.openxmlformats.org/spreadsheetml/2006/main">
  <authors>
    <author/>
  </authors>
  <commentList>
    <comment ref="G23" authorId="0" shapeId="0">
      <text>
        <r>
          <rPr>
            <sz val="11"/>
            <color theme="1"/>
            <rFont val="Calibri"/>
            <family val="2"/>
            <scheme val="minor"/>
          </rPr>
          <t>NMVOC emissions are estimated in the Air Pollutant Emission Inventory (see NIR Annex 7).</t>
        </r>
      </text>
    </comment>
    <comment ref="G24" authorId="0" shapeId="0">
      <text>
        <r>
          <rPr>
            <sz val="11"/>
            <color theme="1"/>
            <rFont val="Calibri"/>
            <family val="2"/>
            <scheme val="minor"/>
          </rPr>
          <t>NMVOC emissions are estimated in the Air Pollutant Emission Inventory (see NIR Annex 7).</t>
        </r>
      </text>
    </comment>
    <comment ref="G25" authorId="0" shapeId="0">
      <text>
        <r>
          <rPr>
            <sz val="11"/>
            <color theme="1"/>
            <rFont val="Calibri"/>
            <family val="2"/>
            <scheme val="minor"/>
          </rPr>
          <t>NMVOC emissions are estimated in the Air Pollutant Emission Inventory (see NIR Annex 7).</t>
        </r>
      </text>
    </comment>
    <comment ref="G26" authorId="0" shapeId="0">
      <text>
        <r>
          <rPr>
            <sz val="11"/>
            <color theme="1"/>
            <rFont val="Calibri"/>
            <family val="2"/>
            <scheme val="minor"/>
          </rPr>
          <t>NMVOC emissions are estimated in the Air Pollutant Emission Inventory (see NIR Annex 7).</t>
        </r>
      </text>
    </comment>
    <comment ref="G27" authorId="0" shapeId="0">
      <text>
        <r>
          <rPr>
            <sz val="11"/>
            <color theme="1"/>
            <rFont val="Calibri"/>
            <family val="2"/>
            <scheme val="minor"/>
          </rPr>
          <t>NMVOC emissions are estimated in the Air Pollutant Emission Inventory (see NIR Annex 7).</t>
        </r>
      </text>
    </comment>
    <comment ref="G28" authorId="0" shapeId="0">
      <text>
        <r>
          <rPr>
            <sz val="11"/>
            <color theme="1"/>
            <rFont val="Calibri"/>
            <family val="2"/>
            <scheme val="minor"/>
          </rPr>
          <t>NMVOC emissions are estimated in the Air Pollutant Emission Inventory (see NIR Annex 7).</t>
        </r>
      </text>
    </comment>
    <comment ref="G29" authorId="0" shapeId="0">
      <text>
        <r>
          <rPr>
            <sz val="11"/>
            <color theme="1"/>
            <rFont val="Calibri"/>
            <family val="2"/>
            <scheme val="minor"/>
          </rPr>
          <t>NMVOC emissions are estimated in the Air Pollutant Emission Inventory (see NIR Annex 7).</t>
        </r>
      </text>
    </comment>
    <comment ref="G31" authorId="0" shapeId="0">
      <text>
        <r>
          <rPr>
            <sz val="11"/>
            <color theme="1"/>
            <rFont val="Calibri"/>
            <family val="2"/>
            <scheme val="minor"/>
          </rPr>
          <t>NMVOC emissions are estimated in the Air Pollutant Emission Inventory (see NIR Annex 7).</t>
        </r>
      </text>
    </comment>
    <comment ref="G32" authorId="0" shapeId="0">
      <text>
        <r>
          <rPr>
            <sz val="11"/>
            <color theme="1"/>
            <rFont val="Calibri"/>
            <family val="2"/>
            <scheme val="minor"/>
          </rPr>
          <t>NMVOC emissions are estimated in the Air Pollutant Emission Inventory (see NIR Annex 7).</t>
        </r>
      </text>
    </comment>
    <comment ref="G33" authorId="0" shapeId="0">
      <text>
        <r>
          <rPr>
            <sz val="11"/>
            <color theme="1"/>
            <rFont val="Calibri"/>
            <family val="2"/>
            <scheme val="minor"/>
          </rPr>
          <t>NMVOC emissions are estimated in the Air Pollutant Emission Inventory (see NIR Annex 7).</t>
        </r>
      </text>
    </comment>
    <comment ref="G37" authorId="0" shapeId="0">
      <text>
        <r>
          <rPr>
            <sz val="11"/>
            <color theme="1"/>
            <rFont val="Calibri"/>
            <family val="2"/>
            <scheme val="minor"/>
          </rPr>
          <t>NMVOC emissions are estimated in the Air Pollutant Emission Inventory (see NIR Annex 7).</t>
        </r>
      </text>
    </comment>
    <comment ref="G38" authorId="0" shapeId="0">
      <text>
        <r>
          <rPr>
            <sz val="11"/>
            <color theme="1"/>
            <rFont val="Calibri"/>
            <family val="2"/>
            <scheme val="minor"/>
          </rPr>
          <t>NMVOC emissions are estimated in the Air Pollutant Emission Inventory (see NIR Annex 7).</t>
        </r>
      </text>
    </comment>
    <comment ref="G48" authorId="0" shapeId="0">
      <text>
        <r>
          <rPr>
            <sz val="11"/>
            <color theme="1"/>
            <rFont val="Calibri"/>
            <family val="2"/>
            <scheme val="minor"/>
          </rPr>
          <t>NMVOC emissions are estimated in the Air Pollutant Emission Inventory (see NIR Annex 7).</t>
        </r>
      </text>
    </comment>
    <comment ref="G49" authorId="0" shapeId="0">
      <text>
        <r>
          <rPr>
            <sz val="11"/>
            <color theme="1"/>
            <rFont val="Calibri"/>
            <family val="2"/>
            <scheme val="minor"/>
          </rPr>
          <t>NMVOC emissions are estimated in the Air Pollutant Emission Inventory (see NIR Annex 7).</t>
        </r>
      </text>
    </comment>
    <comment ref="G50" authorId="0" shapeId="0">
      <text>
        <r>
          <rPr>
            <sz val="11"/>
            <color theme="1"/>
            <rFont val="Calibri"/>
            <family val="2"/>
            <scheme val="minor"/>
          </rPr>
          <t>NMVOC emissions are estimated in the Air Pollutant Emission Inventory (see NIR Annex 7).</t>
        </r>
      </text>
    </comment>
    <comment ref="G51" authorId="0" shapeId="0">
      <text>
        <r>
          <rPr>
            <sz val="11"/>
            <color theme="1"/>
            <rFont val="Calibri"/>
            <family val="2"/>
            <scheme val="minor"/>
          </rPr>
          <t>NMVOC emissions are estimated in the Air Pollutant Emission Inventory (see NIR Annex 7).</t>
        </r>
      </text>
    </comment>
    <comment ref="G52" authorId="0" shapeId="0">
      <text>
        <r>
          <rPr>
            <sz val="11"/>
            <color theme="1"/>
            <rFont val="Calibri"/>
            <family val="2"/>
            <scheme val="minor"/>
          </rPr>
          <t>NMVOC emissions are estimated in the Air Pollutant Emission Inventory (see NIR Annex 7).</t>
        </r>
      </text>
    </comment>
    <comment ref="G53" authorId="0" shapeId="0">
      <text>
        <r>
          <rPr>
            <sz val="11"/>
            <color theme="1"/>
            <rFont val="Calibri"/>
            <family val="2"/>
            <scheme val="minor"/>
          </rPr>
          <t>NMVOC emissions are estimated in the Air Pollutant Emission Inventory (see NIR Annex 7).</t>
        </r>
      </text>
    </comment>
    <comment ref="G54" authorId="0" shapeId="0">
      <text>
        <r>
          <rPr>
            <sz val="11"/>
            <color theme="1"/>
            <rFont val="Calibri"/>
            <family val="2"/>
            <scheme val="minor"/>
          </rPr>
          <t>NMVOC emissions are estimated in the Air Pollutant Emission Inventory (see NIR Annex 7).</t>
        </r>
      </text>
    </comment>
    <comment ref="G56" authorId="0" shapeId="0">
      <text>
        <r>
          <rPr>
            <sz val="11"/>
            <color theme="1"/>
            <rFont val="Calibri"/>
            <family val="2"/>
            <scheme val="minor"/>
          </rPr>
          <t>NMVOC emissions are estimated in the Air Pollutant Emission Inventory (see NIR Annex 7).</t>
        </r>
      </text>
    </comment>
    <comment ref="G57" authorId="0" shapeId="0">
      <text>
        <r>
          <rPr>
            <sz val="11"/>
            <color theme="1"/>
            <rFont val="Calibri"/>
            <family val="2"/>
            <scheme val="minor"/>
          </rPr>
          <t>NMVOC emissions are estimated in the Air Pollutant Emission Inventory (see NIR Annex 7).</t>
        </r>
      </text>
    </comment>
    <comment ref="G58" authorId="0" shapeId="0">
      <text>
        <r>
          <rPr>
            <sz val="11"/>
            <color theme="1"/>
            <rFont val="Calibri"/>
            <family val="2"/>
            <scheme val="minor"/>
          </rPr>
          <t>NMVOC emissions are estimated in the Air Pollutant Emission Inventory (see NIR Annex 7).</t>
        </r>
      </text>
    </comment>
  </commentList>
</comments>
</file>

<file path=xl/comments2.xml><?xml version="1.0" encoding="utf-8"?>
<comments xmlns="http://schemas.openxmlformats.org/spreadsheetml/2006/main">
  <authors>
    <author/>
  </authors>
  <commentList>
    <comment ref="C33" authorId="0" shapeId="0">
      <text>
        <r>
          <rPr>
            <sz val="11"/>
            <color theme="1"/>
            <rFont val="Calibri"/>
            <family val="2"/>
            <scheme val="minor"/>
          </rPr>
          <t>For Canada, this value represents the fraction of livestock N excretion that volatilizes as NH3 and Nox-N during manure storage, handling and application to agricultural soils.</t>
        </r>
      </text>
    </comment>
  </commentList>
</comments>
</file>

<file path=xl/comments3.xml><?xml version="1.0" encoding="utf-8"?>
<comments xmlns="http://schemas.openxmlformats.org/spreadsheetml/2006/main">
  <authors>
    <author/>
  </authors>
  <commentList>
    <comment ref="E9" authorId="0" shapeId="0">
      <text>
        <r>
          <rPr>
            <sz val="11"/>
            <color theme="1"/>
            <rFont val="Calibri"/>
            <family val="2"/>
            <scheme val="minor"/>
          </rPr>
          <t>NOx emissions are inventoried in Annex 7 of the NIR.</t>
        </r>
      </text>
    </comment>
    <comment ref="F9" authorId="0" shapeId="0">
      <text>
        <r>
          <rPr>
            <sz val="11"/>
            <color theme="1"/>
            <rFont val="Calibri"/>
            <family val="2"/>
            <scheme val="minor"/>
          </rPr>
          <t>CO emissions are inventoried in Annex 7 of the NIR.</t>
        </r>
      </text>
    </comment>
    <comment ref="G9" authorId="0" shapeId="0">
      <text>
        <r>
          <rPr>
            <sz val="11"/>
            <color theme="1"/>
            <rFont val="Calibri"/>
            <family val="2"/>
            <scheme val="minor"/>
          </rPr>
          <t>NMVOC emissions are inventoried in Annex 7 of the NIR.</t>
        </r>
      </text>
    </comment>
    <comment ref="E10" authorId="0" shapeId="0">
      <text>
        <r>
          <rPr>
            <sz val="11"/>
            <color theme="1"/>
            <rFont val="Calibri"/>
            <family val="2"/>
            <scheme val="minor"/>
          </rPr>
          <t>NOx emissions are inventoried in Annex 7 of the NIR.</t>
        </r>
      </text>
    </comment>
    <comment ref="F10" authorId="0" shapeId="0">
      <text>
        <r>
          <rPr>
            <sz val="11"/>
            <color theme="1"/>
            <rFont val="Calibri"/>
            <family val="2"/>
            <scheme val="minor"/>
          </rPr>
          <t>CO emissions are inventoried in Annex 7 of the NIR.</t>
        </r>
      </text>
    </comment>
    <comment ref="G10" authorId="0" shapeId="0">
      <text>
        <r>
          <rPr>
            <sz val="11"/>
            <color theme="1"/>
            <rFont val="Calibri"/>
            <family val="2"/>
            <scheme val="minor"/>
          </rPr>
          <t>NMVOC emissions are inventoried in Annex 7 of the NIR.</t>
        </r>
      </text>
    </comment>
    <comment ref="E13" authorId="0" shapeId="0">
      <text>
        <r>
          <rPr>
            <sz val="11"/>
            <color theme="1"/>
            <rFont val="Calibri"/>
            <family val="2"/>
            <scheme val="minor"/>
          </rPr>
          <t>NOx emissions are inventoried in Annex 7 of the NIR.</t>
        </r>
      </text>
    </comment>
    <comment ref="F13" authorId="0" shapeId="0">
      <text>
        <r>
          <rPr>
            <sz val="11"/>
            <color theme="1"/>
            <rFont val="Calibri"/>
            <family val="2"/>
            <scheme val="minor"/>
          </rPr>
          <t>CO emissions are inventoried in Annex 7 of the NIR.</t>
        </r>
      </text>
    </comment>
    <comment ref="G13" authorId="0" shapeId="0">
      <text>
        <r>
          <rPr>
            <sz val="11"/>
            <color theme="1"/>
            <rFont val="Calibri"/>
            <family val="2"/>
            <scheme val="minor"/>
          </rPr>
          <t>NMVOC emissions are inventoried in Annex 7 of the NIR.</t>
        </r>
      </text>
    </comment>
    <comment ref="E16" authorId="0" shapeId="0">
      <text>
        <r>
          <rPr>
            <sz val="11"/>
            <color theme="1"/>
            <rFont val="Calibri"/>
            <family val="2"/>
            <scheme val="minor"/>
          </rPr>
          <t>NOx emissions are inventoried in Annex 7 of the NIR.</t>
        </r>
      </text>
    </comment>
    <comment ref="F16" authorId="0" shapeId="0">
      <text>
        <r>
          <rPr>
            <sz val="11"/>
            <color theme="1"/>
            <rFont val="Calibri"/>
            <family val="2"/>
            <scheme val="minor"/>
          </rPr>
          <t>CO emissions are inventoried in Annex 7 of the NIR.</t>
        </r>
      </text>
    </comment>
    <comment ref="G16" authorId="0" shapeId="0">
      <text>
        <r>
          <rPr>
            <sz val="11"/>
            <color theme="1"/>
            <rFont val="Calibri"/>
            <family val="2"/>
            <scheme val="minor"/>
          </rPr>
          <t>NMVOC emissions are inventoried in Annex 7 of the NIR.</t>
        </r>
      </text>
    </comment>
    <comment ref="H16" authorId="0" shapeId="0">
      <text>
        <r>
          <rPr>
            <sz val="11"/>
            <color theme="1"/>
            <rFont val="Calibri"/>
            <family val="2"/>
            <scheme val="minor"/>
          </rPr>
          <t>SO2 emissions are inventoried in Annex 7 of the NIR.</t>
        </r>
      </text>
    </comment>
    <comment ref="E17" authorId="0" shapeId="0">
      <text>
        <r>
          <rPr>
            <sz val="11"/>
            <color theme="1"/>
            <rFont val="Calibri"/>
            <family val="2"/>
            <scheme val="minor"/>
          </rPr>
          <t>NOx emissions are inventoried in Annex 7 of the NIR.</t>
        </r>
      </text>
    </comment>
    <comment ref="F17" authorId="0" shapeId="0">
      <text>
        <r>
          <rPr>
            <sz val="11"/>
            <color theme="1"/>
            <rFont val="Calibri"/>
            <family val="2"/>
            <scheme val="minor"/>
          </rPr>
          <t>CO emissions are inventoried in Annex 7 of the NIR.</t>
        </r>
      </text>
    </comment>
    <comment ref="G17" authorId="0" shapeId="0">
      <text>
        <r>
          <rPr>
            <sz val="11"/>
            <color theme="1"/>
            <rFont val="Calibri"/>
            <family val="2"/>
            <scheme val="minor"/>
          </rPr>
          <t>NMVOC emissions are inventoried in Annex 7 of the NIR.</t>
        </r>
      </text>
    </comment>
    <comment ref="H17" authorId="0" shapeId="0">
      <text>
        <r>
          <rPr>
            <sz val="11"/>
            <color theme="1"/>
            <rFont val="Calibri"/>
            <family val="2"/>
            <scheme val="minor"/>
          </rPr>
          <t>SO2 emissions are inventoried in Annex 7 of the NIR.</t>
        </r>
      </text>
    </comment>
    <comment ref="E19" authorId="0" shapeId="0">
      <text>
        <r>
          <rPr>
            <sz val="11"/>
            <color theme="1"/>
            <rFont val="Calibri"/>
            <family val="2"/>
            <scheme val="minor"/>
          </rPr>
          <t>NOx emissions are inventoried in Annex 7 of the NIR.</t>
        </r>
      </text>
    </comment>
    <comment ref="F19" authorId="0" shapeId="0">
      <text>
        <r>
          <rPr>
            <sz val="11"/>
            <color theme="1"/>
            <rFont val="Calibri"/>
            <family val="2"/>
            <scheme val="minor"/>
          </rPr>
          <t>CO emissions are inventoried in Annex 7 of the NIR.</t>
        </r>
      </text>
    </comment>
    <comment ref="G19" authorId="0" shapeId="0">
      <text>
        <r>
          <rPr>
            <sz val="11"/>
            <color theme="1"/>
            <rFont val="Calibri"/>
            <family val="2"/>
            <scheme val="minor"/>
          </rPr>
          <t>NMVOC emissions are inventoried in Annex 7 of the NIR.</t>
        </r>
      </text>
    </comment>
    <comment ref="E20" authorId="0" shapeId="0">
      <text>
        <r>
          <rPr>
            <sz val="11"/>
            <color theme="1"/>
            <rFont val="Calibri"/>
            <family val="2"/>
            <scheme val="minor"/>
          </rPr>
          <t>NOx emissions are inventoried in Annex 7 of the NIR.</t>
        </r>
      </text>
    </comment>
    <comment ref="F20" authorId="0" shapeId="0">
      <text>
        <r>
          <rPr>
            <sz val="11"/>
            <color theme="1"/>
            <rFont val="Calibri"/>
            <family val="2"/>
            <scheme val="minor"/>
          </rPr>
          <t>CO emissions are inventoried in Annex 7 of the NIR.</t>
        </r>
      </text>
    </comment>
    <comment ref="E36" authorId="0" shapeId="0">
      <text>
        <r>
          <rPr>
            <sz val="11"/>
            <color theme="1"/>
            <rFont val="Calibri"/>
            <family val="2"/>
            <scheme val="minor"/>
          </rPr>
          <t>NOx emissions are inventoried in Annex 7 of the NIR.</t>
        </r>
      </text>
    </comment>
    <comment ref="F36" authorId="0" shapeId="0">
      <text>
        <r>
          <rPr>
            <sz val="11"/>
            <color theme="1"/>
            <rFont val="Calibri"/>
            <family val="2"/>
            <scheme val="minor"/>
          </rPr>
          <t>CO emissions are inventoried in Annex 7 of the NIR.</t>
        </r>
      </text>
    </comment>
    <comment ref="G36" authorId="0" shapeId="0">
      <text>
        <r>
          <rPr>
            <sz val="11"/>
            <color theme="1"/>
            <rFont val="Calibri"/>
            <family val="2"/>
            <scheme val="minor"/>
          </rPr>
          <t>NMVOC emissions are inventoried in Annex 7 of the NIR.</t>
        </r>
      </text>
    </comment>
    <comment ref="E37" authorId="0" shapeId="0">
      <text>
        <r>
          <rPr>
            <sz val="11"/>
            <color theme="1"/>
            <rFont val="Calibri"/>
            <family val="2"/>
            <scheme val="minor"/>
          </rPr>
          <t>NOx emissions are inventoried in Annex 7 of the NIR.</t>
        </r>
      </text>
    </comment>
    <comment ref="F37" authorId="0" shapeId="0">
      <text>
        <r>
          <rPr>
            <sz val="11"/>
            <color theme="1"/>
            <rFont val="Calibri"/>
            <family val="2"/>
            <scheme val="minor"/>
          </rPr>
          <t>CO emissions are inventoried in Annex 7 of the NIR.</t>
        </r>
      </text>
    </comment>
    <comment ref="G37" authorId="0" shapeId="0">
      <text>
        <r>
          <rPr>
            <sz val="11"/>
            <color theme="1"/>
            <rFont val="Calibri"/>
            <family val="2"/>
            <scheme val="minor"/>
          </rPr>
          <t>NMVOC emissions are inventoried in Annex 7 of the NIR.</t>
        </r>
      </text>
    </comment>
    <comment ref="E40" authorId="0" shapeId="0">
      <text>
        <r>
          <rPr>
            <sz val="11"/>
            <color theme="1"/>
            <rFont val="Calibri"/>
            <family val="2"/>
            <scheme val="minor"/>
          </rPr>
          <t>NOx emissions are inventoried in Annex 7 of the NIR.</t>
        </r>
      </text>
    </comment>
    <comment ref="F40" authorId="0" shapeId="0">
      <text>
        <r>
          <rPr>
            <sz val="11"/>
            <color theme="1"/>
            <rFont val="Calibri"/>
            <family val="2"/>
            <scheme val="minor"/>
          </rPr>
          <t>CO emissions are inventoried in Annex 7 of the NIR.</t>
        </r>
      </text>
    </comment>
    <comment ref="G40" authorId="0" shapeId="0">
      <text>
        <r>
          <rPr>
            <sz val="11"/>
            <color theme="1"/>
            <rFont val="Calibri"/>
            <family val="2"/>
            <scheme val="minor"/>
          </rPr>
          <t>NMVOC emissions are inventoried in Annex 7 of the NIR.</t>
        </r>
      </text>
    </comment>
    <comment ref="E43" authorId="0" shapeId="0">
      <text>
        <r>
          <rPr>
            <sz val="11"/>
            <color theme="1"/>
            <rFont val="Calibri"/>
            <family val="2"/>
            <scheme val="minor"/>
          </rPr>
          <t>NOx emissions are inventoried in Annex 7 of the NIR.</t>
        </r>
      </text>
    </comment>
    <comment ref="F43" authorId="0" shapeId="0">
      <text>
        <r>
          <rPr>
            <sz val="11"/>
            <color theme="1"/>
            <rFont val="Calibri"/>
            <family val="2"/>
            <scheme val="minor"/>
          </rPr>
          <t>CO emissions are inventoried in Annex 7 of the NIR.</t>
        </r>
      </text>
    </comment>
    <comment ref="G43" authorId="0" shapeId="0">
      <text>
        <r>
          <rPr>
            <sz val="11"/>
            <color theme="1"/>
            <rFont val="Calibri"/>
            <family val="2"/>
            <scheme val="minor"/>
          </rPr>
          <t>NMVOC emissions are inventoried in Annex 7 of the NIR.</t>
        </r>
      </text>
    </comment>
    <comment ref="H43" authorId="0" shapeId="0">
      <text>
        <r>
          <rPr>
            <sz val="11"/>
            <color theme="1"/>
            <rFont val="Calibri"/>
            <family val="2"/>
            <scheme val="minor"/>
          </rPr>
          <t>SO2 emissions are inventoried in Annex 7 of the NIR.</t>
        </r>
      </text>
    </comment>
    <comment ref="E44" authorId="0" shapeId="0">
      <text>
        <r>
          <rPr>
            <sz val="11"/>
            <color theme="1"/>
            <rFont val="Calibri"/>
            <family val="2"/>
            <scheme val="minor"/>
          </rPr>
          <t>NOx emissions are inventoried in Annex 7 of the NIR.</t>
        </r>
      </text>
    </comment>
    <comment ref="F44" authorId="0" shapeId="0">
      <text>
        <r>
          <rPr>
            <sz val="11"/>
            <color theme="1"/>
            <rFont val="Calibri"/>
            <family val="2"/>
            <scheme val="minor"/>
          </rPr>
          <t>CO emissions are inventoried in Annex 7 of the NIR.</t>
        </r>
      </text>
    </comment>
    <comment ref="G44" authorId="0" shapeId="0">
      <text>
        <r>
          <rPr>
            <sz val="11"/>
            <color theme="1"/>
            <rFont val="Calibri"/>
            <family val="2"/>
            <scheme val="minor"/>
          </rPr>
          <t>NMVOC emissions are inventoried in Annex 7 of the NIR.</t>
        </r>
      </text>
    </comment>
    <comment ref="H44" authorId="0" shapeId="0">
      <text>
        <r>
          <rPr>
            <sz val="11"/>
            <color theme="1"/>
            <rFont val="Calibri"/>
            <family val="2"/>
            <scheme val="minor"/>
          </rPr>
          <t>SO2 emissions are inventoried in Annex 7 of the NIR.</t>
        </r>
      </text>
    </comment>
    <comment ref="E46" authorId="0" shapeId="0">
      <text>
        <r>
          <rPr>
            <sz val="11"/>
            <color theme="1"/>
            <rFont val="Calibri"/>
            <family val="2"/>
            <scheme val="minor"/>
          </rPr>
          <t>NOx emissions are inventoried in Annex 7 of the NIR.</t>
        </r>
      </text>
    </comment>
    <comment ref="F46" authorId="0" shapeId="0">
      <text>
        <r>
          <rPr>
            <sz val="11"/>
            <color theme="1"/>
            <rFont val="Calibri"/>
            <family val="2"/>
            <scheme val="minor"/>
          </rPr>
          <t>CO emissions are inventoried in Annex 7 of the NIR.</t>
        </r>
      </text>
    </comment>
    <comment ref="G46" authorId="0" shapeId="0">
      <text>
        <r>
          <rPr>
            <sz val="11"/>
            <color theme="1"/>
            <rFont val="Calibri"/>
            <family val="2"/>
            <scheme val="minor"/>
          </rPr>
          <t>NMVOC emissions are inventoried in Annex 7 of the NIR.</t>
        </r>
      </text>
    </comment>
    <comment ref="E47" authorId="0" shapeId="0">
      <text>
        <r>
          <rPr>
            <sz val="11"/>
            <color theme="1"/>
            <rFont val="Calibri"/>
            <family val="2"/>
            <scheme val="minor"/>
          </rPr>
          <t>NOx emissions are inventoried in Annex 7 of the NIR.</t>
        </r>
      </text>
    </comment>
    <comment ref="F47" authorId="0" shapeId="0">
      <text>
        <r>
          <rPr>
            <sz val="11"/>
            <color theme="1"/>
            <rFont val="Calibri"/>
            <family val="2"/>
            <scheme val="minor"/>
          </rPr>
          <t>CO emissions are inventoried in Annex 7 of the NIR.</t>
        </r>
      </text>
    </comment>
    <comment ref="E63" authorId="0" shapeId="0">
      <text>
        <r>
          <rPr>
            <sz val="11"/>
            <color theme="1"/>
            <rFont val="Calibri"/>
            <family val="2"/>
            <scheme val="minor"/>
          </rPr>
          <t>NOx emissions are inventoried in Annex 7 of the NIR.</t>
        </r>
      </text>
    </comment>
    <comment ref="F63" authorId="0" shapeId="0">
      <text>
        <r>
          <rPr>
            <sz val="11"/>
            <color theme="1"/>
            <rFont val="Calibri"/>
            <family val="2"/>
            <scheme val="minor"/>
          </rPr>
          <t>CO emissions are inventoried in Annex 7 of the NIR.</t>
        </r>
      </text>
    </comment>
    <comment ref="G63" authorId="0" shapeId="0">
      <text>
        <r>
          <rPr>
            <sz val="11"/>
            <color theme="1"/>
            <rFont val="Calibri"/>
            <family val="2"/>
            <scheme val="minor"/>
          </rPr>
          <t>NMVOC emissions are inventoried in Annex 7 of the NIR.</t>
        </r>
      </text>
    </comment>
    <comment ref="E64" authorId="0" shapeId="0">
      <text>
        <r>
          <rPr>
            <sz val="11"/>
            <color theme="1"/>
            <rFont val="Calibri"/>
            <family val="2"/>
            <scheme val="minor"/>
          </rPr>
          <t>NOx emissions are inventoried in Annex 7 of the NIR.</t>
        </r>
      </text>
    </comment>
    <comment ref="F64" authorId="0" shapeId="0">
      <text>
        <r>
          <rPr>
            <sz val="11"/>
            <color theme="1"/>
            <rFont val="Calibri"/>
            <family val="2"/>
            <scheme val="minor"/>
          </rPr>
          <t>CO emissions are inventoried in Annex 7 of the NIR.</t>
        </r>
      </text>
    </comment>
    <comment ref="G64" authorId="0" shapeId="0">
      <text>
        <r>
          <rPr>
            <sz val="11"/>
            <color theme="1"/>
            <rFont val="Calibri"/>
            <family val="2"/>
            <scheme val="minor"/>
          </rPr>
          <t>NMVOC emissions are inventoried in Annex 7 of the NIR.</t>
        </r>
      </text>
    </comment>
    <comment ref="E67" authorId="0" shapeId="0">
      <text>
        <r>
          <rPr>
            <sz val="11"/>
            <color theme="1"/>
            <rFont val="Calibri"/>
            <family val="2"/>
            <scheme val="minor"/>
          </rPr>
          <t>NOx emissions are inventoried in Annex 7 of the NIR.</t>
        </r>
      </text>
    </comment>
    <comment ref="F67" authorId="0" shapeId="0">
      <text>
        <r>
          <rPr>
            <sz val="11"/>
            <color theme="1"/>
            <rFont val="Calibri"/>
            <family val="2"/>
            <scheme val="minor"/>
          </rPr>
          <t>CO emissions are inventoried in Annex 7 of the NIR.</t>
        </r>
      </text>
    </comment>
    <comment ref="G67" authorId="0" shapeId="0">
      <text>
        <r>
          <rPr>
            <sz val="11"/>
            <color theme="1"/>
            <rFont val="Calibri"/>
            <family val="2"/>
            <scheme val="minor"/>
          </rPr>
          <t>NMVOC emissions are inventoried in Annex 7 of the NIR.</t>
        </r>
      </text>
    </comment>
    <comment ref="E70" authorId="0" shapeId="0">
      <text>
        <r>
          <rPr>
            <sz val="11"/>
            <color theme="1"/>
            <rFont val="Calibri"/>
            <family val="2"/>
            <scheme val="minor"/>
          </rPr>
          <t>NOx emissions are inventoried in Annex 7 of the NIR.</t>
        </r>
      </text>
    </comment>
    <comment ref="F70" authorId="0" shapeId="0">
      <text>
        <r>
          <rPr>
            <sz val="11"/>
            <color theme="1"/>
            <rFont val="Calibri"/>
            <family val="2"/>
            <scheme val="minor"/>
          </rPr>
          <t>CO emissions are inventoried in Annex 7 of the NIR.</t>
        </r>
      </text>
    </comment>
    <comment ref="G70" authorId="0" shapeId="0">
      <text>
        <r>
          <rPr>
            <sz val="11"/>
            <color theme="1"/>
            <rFont val="Calibri"/>
            <family val="2"/>
            <scheme val="minor"/>
          </rPr>
          <t>NMVOC emissions are inventoried in Annex 7 of the NIR.</t>
        </r>
      </text>
    </comment>
    <comment ref="H70" authorId="0" shapeId="0">
      <text>
        <r>
          <rPr>
            <sz val="11"/>
            <color theme="1"/>
            <rFont val="Calibri"/>
            <family val="2"/>
            <scheme val="minor"/>
          </rPr>
          <t>SO2 emissions are inventoried in Annex 7 of the NIR.</t>
        </r>
      </text>
    </comment>
    <comment ref="E71" authorId="0" shapeId="0">
      <text>
        <r>
          <rPr>
            <sz val="11"/>
            <color theme="1"/>
            <rFont val="Calibri"/>
            <family val="2"/>
            <scheme val="minor"/>
          </rPr>
          <t>NOx emissions are inventoried in Annex 7 of the NIR.</t>
        </r>
      </text>
    </comment>
    <comment ref="F71" authorId="0" shapeId="0">
      <text>
        <r>
          <rPr>
            <sz val="11"/>
            <color theme="1"/>
            <rFont val="Calibri"/>
            <family val="2"/>
            <scheme val="minor"/>
          </rPr>
          <t>CO emissions are inventoried in Annex 7 of the NIR.</t>
        </r>
      </text>
    </comment>
    <comment ref="G71" authorId="0" shapeId="0">
      <text>
        <r>
          <rPr>
            <sz val="11"/>
            <color theme="1"/>
            <rFont val="Calibri"/>
            <family val="2"/>
            <scheme val="minor"/>
          </rPr>
          <t>NMVOC emissions are inventoried in Annex 7 of the NIR.</t>
        </r>
      </text>
    </comment>
    <comment ref="H71" authorId="0" shapeId="0">
      <text>
        <r>
          <rPr>
            <sz val="11"/>
            <color theme="1"/>
            <rFont val="Calibri"/>
            <family val="2"/>
            <scheme val="minor"/>
          </rPr>
          <t>SO2 emissions are inventoried in Annex 7 of the NIR.</t>
        </r>
      </text>
    </comment>
    <comment ref="E73" authorId="0" shapeId="0">
      <text>
        <r>
          <rPr>
            <sz val="11"/>
            <color theme="1"/>
            <rFont val="Calibri"/>
            <family val="2"/>
            <scheme val="minor"/>
          </rPr>
          <t>NOx emissions are inventoried in Annex 7 of the NIR.</t>
        </r>
      </text>
    </comment>
    <comment ref="F73" authorId="0" shapeId="0">
      <text>
        <r>
          <rPr>
            <sz val="11"/>
            <color theme="1"/>
            <rFont val="Calibri"/>
            <family val="2"/>
            <scheme val="minor"/>
          </rPr>
          <t>CO emissions are inventoried in Annex 7 of the NIR.</t>
        </r>
      </text>
    </comment>
    <comment ref="G73" authorId="0" shapeId="0">
      <text>
        <r>
          <rPr>
            <sz val="11"/>
            <color theme="1"/>
            <rFont val="Calibri"/>
            <family val="2"/>
            <scheme val="minor"/>
          </rPr>
          <t>NMVOC emissions are inventoried in Annex 7 of the NIR.</t>
        </r>
      </text>
    </comment>
    <comment ref="E74" authorId="0" shapeId="0">
      <text>
        <r>
          <rPr>
            <sz val="11"/>
            <color theme="1"/>
            <rFont val="Calibri"/>
            <family val="2"/>
            <scheme val="minor"/>
          </rPr>
          <t>NOx emissions are inventoried in Annex 7 of the NIR.</t>
        </r>
      </text>
    </comment>
    <comment ref="F74" authorId="0" shapeId="0">
      <text>
        <r>
          <rPr>
            <sz val="11"/>
            <color theme="1"/>
            <rFont val="Calibri"/>
            <family val="2"/>
            <scheme val="minor"/>
          </rPr>
          <t>CO emissions are inventoried in Annex 7 of the NIR.</t>
        </r>
      </text>
    </comment>
    <comment ref="E90" authorId="0" shapeId="0">
      <text>
        <r>
          <rPr>
            <sz val="11"/>
            <color theme="1"/>
            <rFont val="Calibri"/>
            <family val="2"/>
            <scheme val="minor"/>
          </rPr>
          <t>NOx emissions are inventoried in Annex 7 of the NIR.</t>
        </r>
      </text>
    </comment>
    <comment ref="F90" authorId="0" shapeId="0">
      <text>
        <r>
          <rPr>
            <sz val="11"/>
            <color theme="1"/>
            <rFont val="Calibri"/>
            <family val="2"/>
            <scheme val="minor"/>
          </rPr>
          <t>CO emissions are inventoried in Annex 7 of the NIR.</t>
        </r>
      </text>
    </comment>
    <comment ref="G90" authorId="0" shapeId="0">
      <text>
        <r>
          <rPr>
            <sz val="11"/>
            <color theme="1"/>
            <rFont val="Calibri"/>
            <family val="2"/>
            <scheme val="minor"/>
          </rPr>
          <t>NMVOC emissions are inventoried in Annex 7 of the NIR.</t>
        </r>
      </text>
    </comment>
    <comment ref="E91" authorId="0" shapeId="0">
      <text>
        <r>
          <rPr>
            <sz val="11"/>
            <color theme="1"/>
            <rFont val="Calibri"/>
            <family val="2"/>
            <scheme val="minor"/>
          </rPr>
          <t>NOx emissions are inventoried in Annex 7 of the NIR.</t>
        </r>
      </text>
    </comment>
    <comment ref="F91" authorId="0" shapeId="0">
      <text>
        <r>
          <rPr>
            <sz val="11"/>
            <color theme="1"/>
            <rFont val="Calibri"/>
            <family val="2"/>
            <scheme val="minor"/>
          </rPr>
          <t>CO emissions are inventoried in Annex 7 of the NIR.</t>
        </r>
      </text>
    </comment>
    <comment ref="G91" authorId="0" shapeId="0">
      <text>
        <r>
          <rPr>
            <sz val="11"/>
            <color theme="1"/>
            <rFont val="Calibri"/>
            <family val="2"/>
            <scheme val="minor"/>
          </rPr>
          <t>NMVOC emissions are inventoried in Annex 7 of the NIR.</t>
        </r>
      </text>
    </comment>
    <comment ref="E94" authorId="0" shapeId="0">
      <text>
        <r>
          <rPr>
            <sz val="11"/>
            <color theme="1"/>
            <rFont val="Calibri"/>
            <family val="2"/>
            <scheme val="minor"/>
          </rPr>
          <t>NOx emissions are inventoried in Annex 7 of the NIR.</t>
        </r>
      </text>
    </comment>
    <comment ref="F94" authorId="0" shapeId="0">
      <text>
        <r>
          <rPr>
            <sz val="11"/>
            <color theme="1"/>
            <rFont val="Calibri"/>
            <family val="2"/>
            <scheme val="minor"/>
          </rPr>
          <t>CO emissions are inventoried in Annex 7 of the NIR.</t>
        </r>
      </text>
    </comment>
    <comment ref="G94" authorId="0" shapeId="0">
      <text>
        <r>
          <rPr>
            <sz val="11"/>
            <color theme="1"/>
            <rFont val="Calibri"/>
            <family val="2"/>
            <scheme val="minor"/>
          </rPr>
          <t>NMVOC emissions are inventoried in Annex 7 of the NIR.</t>
        </r>
      </text>
    </comment>
    <comment ref="E97" authorId="0" shapeId="0">
      <text>
        <r>
          <rPr>
            <sz val="11"/>
            <color theme="1"/>
            <rFont val="Calibri"/>
            <family val="2"/>
            <scheme val="minor"/>
          </rPr>
          <t>NOx emissions are inventoried in Annex 7 of the NIR.</t>
        </r>
      </text>
    </comment>
    <comment ref="F97" authorId="0" shapeId="0">
      <text>
        <r>
          <rPr>
            <sz val="11"/>
            <color theme="1"/>
            <rFont val="Calibri"/>
            <family val="2"/>
            <scheme val="minor"/>
          </rPr>
          <t>CO emissions are inventoried in Annex 7 of the NIR.</t>
        </r>
      </text>
    </comment>
    <comment ref="G97" authorId="0" shapeId="0">
      <text>
        <r>
          <rPr>
            <sz val="11"/>
            <color theme="1"/>
            <rFont val="Calibri"/>
            <family val="2"/>
            <scheme val="minor"/>
          </rPr>
          <t>NMVOC emissions are inventoried in Annex 7 of the NIR.</t>
        </r>
      </text>
    </comment>
    <comment ref="H97" authorId="0" shapeId="0">
      <text>
        <r>
          <rPr>
            <sz val="11"/>
            <color theme="1"/>
            <rFont val="Calibri"/>
            <family val="2"/>
            <scheme val="minor"/>
          </rPr>
          <t>SO2 emissions are inventoried in Annex 7 of the NIR.</t>
        </r>
      </text>
    </comment>
    <comment ref="E98" authorId="0" shapeId="0">
      <text>
        <r>
          <rPr>
            <sz val="11"/>
            <color theme="1"/>
            <rFont val="Calibri"/>
            <family val="2"/>
            <scheme val="minor"/>
          </rPr>
          <t>NOx emissions are inventoried in Annex 7 of the NIR.</t>
        </r>
      </text>
    </comment>
    <comment ref="F98" authorId="0" shapeId="0">
      <text>
        <r>
          <rPr>
            <sz val="11"/>
            <color theme="1"/>
            <rFont val="Calibri"/>
            <family val="2"/>
            <scheme val="minor"/>
          </rPr>
          <t>CO emissions are inventoried in Annex 7 of the NIR.</t>
        </r>
      </text>
    </comment>
    <comment ref="G98" authorId="0" shapeId="0">
      <text>
        <r>
          <rPr>
            <sz val="11"/>
            <color theme="1"/>
            <rFont val="Calibri"/>
            <family val="2"/>
            <scheme val="minor"/>
          </rPr>
          <t>NMVOC emissions are inventoried in Annex 7 of the NIR.</t>
        </r>
      </text>
    </comment>
    <comment ref="H98" authorId="0" shapeId="0">
      <text>
        <r>
          <rPr>
            <sz val="11"/>
            <color theme="1"/>
            <rFont val="Calibri"/>
            <family val="2"/>
            <scheme val="minor"/>
          </rPr>
          <t>SO2 emissions are inventoried in Annex 7 of the NIR.</t>
        </r>
      </text>
    </comment>
    <comment ref="E100" authorId="0" shapeId="0">
      <text>
        <r>
          <rPr>
            <sz val="11"/>
            <color theme="1"/>
            <rFont val="Calibri"/>
            <family val="2"/>
            <scheme val="minor"/>
          </rPr>
          <t>NOx emissions are inventoried in Annex 7 of the NIR.</t>
        </r>
      </text>
    </comment>
    <comment ref="F100" authorId="0" shapeId="0">
      <text>
        <r>
          <rPr>
            <sz val="11"/>
            <color theme="1"/>
            <rFont val="Calibri"/>
            <family val="2"/>
            <scheme val="minor"/>
          </rPr>
          <t>CO emissions are inventoried in Annex 7 of the NIR.</t>
        </r>
      </text>
    </comment>
    <comment ref="G100" authorId="0" shapeId="0">
      <text>
        <r>
          <rPr>
            <sz val="11"/>
            <color theme="1"/>
            <rFont val="Calibri"/>
            <family val="2"/>
            <scheme val="minor"/>
          </rPr>
          <t>NMVOC emissions are inventoried in Annex 7 of the NIR.</t>
        </r>
      </text>
    </comment>
    <comment ref="E101" authorId="0" shapeId="0">
      <text>
        <r>
          <rPr>
            <sz val="11"/>
            <color theme="1"/>
            <rFont val="Calibri"/>
            <family val="2"/>
            <scheme val="minor"/>
          </rPr>
          <t>NOx emissions are inventoried in Annex 7 of the NIR.</t>
        </r>
      </text>
    </comment>
    <comment ref="F101" authorId="0" shapeId="0">
      <text>
        <r>
          <rPr>
            <sz val="11"/>
            <color theme="1"/>
            <rFont val="Calibri"/>
            <family val="2"/>
            <scheme val="minor"/>
          </rPr>
          <t>CO emissions are inventoried in Annex 7 of the NIR.</t>
        </r>
      </text>
    </comment>
    <comment ref="E117" authorId="0" shapeId="0">
      <text>
        <r>
          <rPr>
            <sz val="11"/>
            <color theme="1"/>
            <rFont val="Calibri"/>
            <family val="2"/>
            <scheme val="minor"/>
          </rPr>
          <t>NOx emissions are inventoried in Annex 7 of the NIR.</t>
        </r>
      </text>
    </comment>
    <comment ref="F117" authorId="0" shapeId="0">
      <text>
        <r>
          <rPr>
            <sz val="11"/>
            <color theme="1"/>
            <rFont val="Calibri"/>
            <family val="2"/>
            <scheme val="minor"/>
          </rPr>
          <t>CO emissions are inventoried in Annex 7 of the NIR.</t>
        </r>
      </text>
    </comment>
    <comment ref="G117" authorId="0" shapeId="0">
      <text>
        <r>
          <rPr>
            <sz val="11"/>
            <color theme="1"/>
            <rFont val="Calibri"/>
            <family val="2"/>
            <scheme val="minor"/>
          </rPr>
          <t>NMVOC emissions are inventoried in Annex 7 of the NIR.</t>
        </r>
      </text>
    </comment>
    <comment ref="E118" authorId="0" shapeId="0">
      <text>
        <r>
          <rPr>
            <sz val="11"/>
            <color theme="1"/>
            <rFont val="Calibri"/>
            <family val="2"/>
            <scheme val="minor"/>
          </rPr>
          <t>NOx emissions are inventoried in Annex 7 of the NIR.</t>
        </r>
      </text>
    </comment>
    <comment ref="F118" authorId="0" shapeId="0">
      <text>
        <r>
          <rPr>
            <sz val="11"/>
            <color theme="1"/>
            <rFont val="Calibri"/>
            <family val="2"/>
            <scheme val="minor"/>
          </rPr>
          <t>CO emissions are inventoried in Annex 7 of the NIR.</t>
        </r>
      </text>
    </comment>
    <comment ref="G118" authorId="0" shapeId="0">
      <text>
        <r>
          <rPr>
            <sz val="11"/>
            <color theme="1"/>
            <rFont val="Calibri"/>
            <family val="2"/>
            <scheme val="minor"/>
          </rPr>
          <t>NMVOC emissions are inventoried in Annex 7 of the NIR.</t>
        </r>
      </text>
    </comment>
    <comment ref="E121" authorId="0" shapeId="0">
      <text>
        <r>
          <rPr>
            <sz val="11"/>
            <color theme="1"/>
            <rFont val="Calibri"/>
            <family val="2"/>
            <scheme val="minor"/>
          </rPr>
          <t>NOx emissions are inventoried in Annex 7 of the NIR.</t>
        </r>
      </text>
    </comment>
    <comment ref="F121" authorId="0" shapeId="0">
      <text>
        <r>
          <rPr>
            <sz val="11"/>
            <color theme="1"/>
            <rFont val="Calibri"/>
            <family val="2"/>
            <scheme val="minor"/>
          </rPr>
          <t>CO emissions are inventoried in Annex 7 of the NIR.</t>
        </r>
      </text>
    </comment>
    <comment ref="G121" authorId="0" shapeId="0">
      <text>
        <r>
          <rPr>
            <sz val="11"/>
            <color theme="1"/>
            <rFont val="Calibri"/>
            <family val="2"/>
            <scheme val="minor"/>
          </rPr>
          <t>NMVOC emissions are inventoried in Annex 7 of the NIR.</t>
        </r>
      </text>
    </comment>
    <comment ref="E124" authorId="0" shapeId="0">
      <text>
        <r>
          <rPr>
            <sz val="11"/>
            <color theme="1"/>
            <rFont val="Calibri"/>
            <family val="2"/>
            <scheme val="minor"/>
          </rPr>
          <t>NOx emissions are inventoried in Annex 7 of the NIR.</t>
        </r>
      </text>
    </comment>
    <comment ref="F124" authorId="0" shapeId="0">
      <text>
        <r>
          <rPr>
            <sz val="11"/>
            <color theme="1"/>
            <rFont val="Calibri"/>
            <family val="2"/>
            <scheme val="minor"/>
          </rPr>
          <t>CO emissions are inventoried in Annex 7 of the NIR.</t>
        </r>
      </text>
    </comment>
    <comment ref="G124" authorId="0" shapeId="0">
      <text>
        <r>
          <rPr>
            <sz val="11"/>
            <color theme="1"/>
            <rFont val="Calibri"/>
            <family val="2"/>
            <scheme val="minor"/>
          </rPr>
          <t>NMVOC emissions are inventoried in Annex 7 of the NIR.</t>
        </r>
      </text>
    </comment>
    <comment ref="H124" authorId="0" shapeId="0">
      <text>
        <r>
          <rPr>
            <sz val="11"/>
            <color theme="1"/>
            <rFont val="Calibri"/>
            <family val="2"/>
            <scheme val="minor"/>
          </rPr>
          <t>SO2 emissions are inventoried in Annex 7 of the NIR.</t>
        </r>
      </text>
    </comment>
    <comment ref="E125" authorId="0" shapeId="0">
      <text>
        <r>
          <rPr>
            <sz val="11"/>
            <color theme="1"/>
            <rFont val="Calibri"/>
            <family val="2"/>
            <scheme val="minor"/>
          </rPr>
          <t>NOx emissions are inventoried in Annex 7 of the NIR.</t>
        </r>
      </text>
    </comment>
    <comment ref="F125" authorId="0" shapeId="0">
      <text>
        <r>
          <rPr>
            <sz val="11"/>
            <color theme="1"/>
            <rFont val="Calibri"/>
            <family val="2"/>
            <scheme val="minor"/>
          </rPr>
          <t>CO emissions are inventoried in Annex 7 of the NIR.</t>
        </r>
      </text>
    </comment>
    <comment ref="G125" authorId="0" shapeId="0">
      <text>
        <r>
          <rPr>
            <sz val="11"/>
            <color theme="1"/>
            <rFont val="Calibri"/>
            <family val="2"/>
            <scheme val="minor"/>
          </rPr>
          <t>NMVOC emissions are inventoried in Annex 7 of the NIR.</t>
        </r>
      </text>
    </comment>
    <comment ref="H125" authorId="0" shapeId="0">
      <text>
        <r>
          <rPr>
            <sz val="11"/>
            <color theme="1"/>
            <rFont val="Calibri"/>
            <family val="2"/>
            <scheme val="minor"/>
          </rPr>
          <t>SO2 emissions are inventoried in Annex 7 of the NIR.</t>
        </r>
      </text>
    </comment>
    <comment ref="E127" authorId="0" shapeId="0">
      <text>
        <r>
          <rPr>
            <sz val="11"/>
            <color theme="1"/>
            <rFont val="Calibri"/>
            <family val="2"/>
            <scheme val="minor"/>
          </rPr>
          <t>NOx emissions are inventoried in Annex 7 of the NIR.</t>
        </r>
      </text>
    </comment>
    <comment ref="F127" authorId="0" shapeId="0">
      <text>
        <r>
          <rPr>
            <sz val="11"/>
            <color theme="1"/>
            <rFont val="Calibri"/>
            <family val="2"/>
            <scheme val="minor"/>
          </rPr>
          <t>CO emissions are inventoried in Annex 7 of the NIR.</t>
        </r>
      </text>
    </comment>
    <comment ref="G127" authorId="0" shapeId="0">
      <text>
        <r>
          <rPr>
            <sz val="11"/>
            <color theme="1"/>
            <rFont val="Calibri"/>
            <family val="2"/>
            <scheme val="minor"/>
          </rPr>
          <t>NMVOC emissions are inventoried in Annex 7 of the NIR.</t>
        </r>
      </text>
    </comment>
    <comment ref="E128" authorId="0" shapeId="0">
      <text>
        <r>
          <rPr>
            <sz val="11"/>
            <color theme="1"/>
            <rFont val="Calibri"/>
            <family val="2"/>
            <scheme val="minor"/>
          </rPr>
          <t>NOx emissions are inventoried in Annex 7 of the NIR.</t>
        </r>
      </text>
    </comment>
    <comment ref="F128" authorId="0" shapeId="0">
      <text>
        <r>
          <rPr>
            <sz val="11"/>
            <color theme="1"/>
            <rFont val="Calibri"/>
            <family val="2"/>
            <scheme val="minor"/>
          </rPr>
          <t>CO emissions are inventoried in Annex 7 of the NIR.</t>
        </r>
      </text>
    </comment>
  </commentList>
</comments>
</file>

<file path=xl/sharedStrings.xml><?xml version="1.0" encoding="utf-8"?>
<sst xmlns="http://schemas.openxmlformats.org/spreadsheetml/2006/main" count="8740" uniqueCount="926">
  <si>
    <t>Future CO2 Emissions (MMT CO2)</t>
  </si>
  <si>
    <t/>
  </si>
  <si>
    <t>Iron and Steel</t>
  </si>
  <si>
    <t>Natural Gas and Petroleum Systems</t>
  </si>
  <si>
    <t>Chemicals</t>
  </si>
  <si>
    <t>Year</t>
  </si>
  <si>
    <t>Calculated Emissions Factors (kt CH4 emissions/kt coal production)</t>
  </si>
  <si>
    <t>2011-2015 Average</t>
  </si>
  <si>
    <t>CH4 Recovery from UM</t>
  </si>
  <si>
    <t>Calculated Methane Recovery Use Fraction</t>
  </si>
  <si>
    <t>Forecasted Production</t>
  </si>
  <si>
    <t>Output (Million tons)</t>
  </si>
  <si>
    <t>Forecasted Emissions</t>
  </si>
  <si>
    <t>Emissions (kt CH4)</t>
  </si>
  <si>
    <t>Sources:</t>
  </si>
  <si>
    <t>Source</t>
  </si>
  <si>
    <t>Source Category</t>
  </si>
  <si>
    <t>Energy</t>
  </si>
  <si>
    <t>Stationary Source Combustion</t>
  </si>
  <si>
    <t>Mobile Source Combustion</t>
  </si>
  <si>
    <t>Industrial Processes</t>
  </si>
  <si>
    <t>Magnesium Production and Processing</t>
  </si>
  <si>
    <t>HCFC-22 Production</t>
  </si>
  <si>
    <t>Subsitution of Ozone Depleting Substances</t>
  </si>
  <si>
    <t>Semiconductor Manufacturing</t>
  </si>
  <si>
    <t>Electrical Transmission and Distribution</t>
  </si>
  <si>
    <t>Agriculture</t>
  </si>
  <si>
    <t>Enteric Fermentation</t>
  </si>
  <si>
    <t>Manure Management</t>
  </si>
  <si>
    <t>Agricultural Soil Management</t>
  </si>
  <si>
    <t>Waste</t>
  </si>
  <si>
    <t>Landfills</t>
  </si>
  <si>
    <t>Model Category</t>
  </si>
  <si>
    <t>Mining</t>
  </si>
  <si>
    <t>Production</t>
  </si>
  <si>
    <t>Cement</t>
  </si>
  <si>
    <t>Other</t>
  </si>
  <si>
    <t>Transportation</t>
  </si>
  <si>
    <t>Refining</t>
  </si>
  <si>
    <t>Annual-Thousand Barrels</t>
  </si>
  <si>
    <t>Imports</t>
  </si>
  <si>
    <t>Total</t>
  </si>
  <si>
    <t>Emissions Factors Calculation</t>
  </si>
  <si>
    <t>Total (thousand barrels)</t>
  </si>
  <si>
    <t>Production - CH4</t>
  </si>
  <si>
    <t>Production - CO2</t>
  </si>
  <si>
    <t>Transportation (quantity not EF) - CH4</t>
  </si>
  <si>
    <t>Refining - CH4</t>
  </si>
  <si>
    <t>Refining CO2</t>
  </si>
  <si>
    <t>Emissions Factors (kt/1000 barrels)</t>
  </si>
  <si>
    <t>5 year Average</t>
  </si>
  <si>
    <t>Emissions Projections</t>
  </si>
  <si>
    <t>Base Year Inventory Production</t>
  </si>
  <si>
    <t>Base Year Inventory Refining</t>
  </si>
  <si>
    <t>Future Projections (Thousand Barrels/Year)</t>
  </si>
  <si>
    <t xml:space="preserve">     Crude Oil Production</t>
  </si>
  <si>
    <t xml:space="preserve">     Crude Oil Refining</t>
  </si>
  <si>
    <t>CH4 (kt)</t>
  </si>
  <si>
    <t>CO2 (MMT)</t>
  </si>
  <si>
    <t>CH4 (kt) - Production</t>
  </si>
  <si>
    <t>CH4 (kt) - Transportation</t>
  </si>
  <si>
    <t>CH4 (kt) - Refining</t>
  </si>
  <si>
    <t>CO2 (MMt) - Refining</t>
  </si>
  <si>
    <t>CO2 (MMt) - Production</t>
  </si>
  <si>
    <t>Pollutant &amp; Process</t>
  </si>
  <si>
    <t>Iron and Steel Production - CO2 (kt)</t>
  </si>
  <si>
    <t>Iron and Steel Production - CH4 (kt)</t>
  </si>
  <si>
    <t>Projected Emissions</t>
  </si>
  <si>
    <t>Total (kt)</t>
  </si>
  <si>
    <t>Total (MMT CO2e)</t>
  </si>
  <si>
    <t>Dairy Cattle</t>
  </si>
  <si>
    <t>Swine</t>
  </si>
  <si>
    <t>Sheep</t>
  </si>
  <si>
    <t>Goats</t>
  </si>
  <si>
    <t>Horses</t>
  </si>
  <si>
    <t>Thousand Head</t>
  </si>
  <si>
    <t>Animal Inventory and Projections</t>
  </si>
  <si>
    <t>Dairy Cows*</t>
  </si>
  <si>
    <t>Beef Cows*</t>
  </si>
  <si>
    <t>Poultry</t>
  </si>
  <si>
    <t>Fertilizer Use</t>
  </si>
  <si>
    <t>Crop Production</t>
  </si>
  <si>
    <t>Historic Synthetic Fertilizer Use (kt N)</t>
  </si>
  <si>
    <t>HFC-23</t>
  </si>
  <si>
    <t>Global Warming Potentials</t>
  </si>
  <si>
    <t>Corn</t>
  </si>
  <si>
    <t>Barley</t>
  </si>
  <si>
    <t>Wheat</t>
  </si>
  <si>
    <t>Soybeans</t>
  </si>
  <si>
    <t>Dry Matter Fraction</t>
  </si>
  <si>
    <t>Projected Emissions from Synthetic Fertilizer Use (kt N2O)</t>
  </si>
  <si>
    <t>Nitrogen from Crop Residues</t>
  </si>
  <si>
    <t>N Content of Above Ground Dry Matter Resdiues to Harvested Crop</t>
  </si>
  <si>
    <t>Ratio of Below-Ground Dry Matter Residues to Harvested Yield</t>
  </si>
  <si>
    <t>N Content of Below Ground Residue</t>
  </si>
  <si>
    <t>Estimated Nitrogen Crop Residues</t>
  </si>
  <si>
    <t>Estimated Emissions</t>
  </si>
  <si>
    <t>kt N2O</t>
  </si>
  <si>
    <t>N2O (kt)</t>
  </si>
  <si>
    <t>Total Emissions</t>
  </si>
  <si>
    <t>"None"</t>
  </si>
  <si>
    <t>Indirect Emissions</t>
  </si>
  <si>
    <t>Total (kt N2O)</t>
  </si>
  <si>
    <t>n/a (covered in model)</t>
  </si>
  <si>
    <t>Non-Energy Use of Fossil Fuels (CO2)</t>
  </si>
  <si>
    <t>Coal Mining (CH4)</t>
  </si>
  <si>
    <t>Natural Gas System (CH4 and CO2)</t>
  </si>
  <si>
    <t>Petroleum Systems (CH4 and CO2)</t>
  </si>
  <si>
    <t>Cement Production (CO2)</t>
  </si>
  <si>
    <t>Adipic Acid Production (N2O)</t>
  </si>
  <si>
    <t>Iron and Steel Production and Metallurgical Coke Production (CO2 and CH4)</t>
  </si>
  <si>
    <t>Aluminum Production (CO2 and PFCs)</t>
  </si>
  <si>
    <t>Historical Emissions</t>
  </si>
  <si>
    <t>PFCs (MMT CO2e)</t>
  </si>
  <si>
    <t>CO2 (MMT CO2e)</t>
  </si>
  <si>
    <t>F-Gases (MMT CO2e)</t>
  </si>
  <si>
    <t>Historical and Projected Emissions</t>
  </si>
  <si>
    <t>Total (kt CH4)</t>
  </si>
  <si>
    <t>All values are given in Tg CO2e (equivalent to million metric tons).</t>
  </si>
  <si>
    <t>Cement and other carbonates</t>
  </si>
  <si>
    <t>Cement and other carbonates, process CO2</t>
  </si>
  <si>
    <t>Natural gas and petroleum systems</t>
  </si>
  <si>
    <t>Natural gas and petroleum systems, CH4</t>
  </si>
  <si>
    <t>Natural gas and petroleum systems, process CO2</t>
  </si>
  <si>
    <t>Iron and steel</t>
  </si>
  <si>
    <t>Iron and steel, process CO2</t>
  </si>
  <si>
    <t>Chemicals, N2O</t>
  </si>
  <si>
    <t>Chemicals, F-gases</t>
  </si>
  <si>
    <t>Chemicals, process CO2</t>
  </si>
  <si>
    <t>High GWP emissions from the production of HCFC-22</t>
  </si>
  <si>
    <t>High GWP emissions from ODS substitutes</t>
  </si>
  <si>
    <t>Coal mining</t>
  </si>
  <si>
    <t>Coal mining, CH4</t>
  </si>
  <si>
    <t>Waste management, N2O</t>
  </si>
  <si>
    <t>Waste management, CH4</t>
  </si>
  <si>
    <t>Agriculture, N2O</t>
  </si>
  <si>
    <t>Agriculture, CH4</t>
  </si>
  <si>
    <t>N2O emissions from manure management</t>
  </si>
  <si>
    <t>CH4 emissions from rice cultivation</t>
  </si>
  <si>
    <t>CH4 emissions from enteric fermentation</t>
  </si>
  <si>
    <t>CH4 emissions from manure management</t>
  </si>
  <si>
    <t>Other industries</t>
  </si>
  <si>
    <t>Other industries, F-gases</t>
  </si>
  <si>
    <t>Other industries, process CO2</t>
  </si>
  <si>
    <t>High GWP emissions from the manufacture of semiconductors</t>
  </si>
  <si>
    <t>High GWP emissions from aluminum</t>
  </si>
  <si>
    <t>High GWP emissions from magnesium manufacturing</t>
  </si>
  <si>
    <t>High GWP emissions from electric power systems</t>
  </si>
  <si>
    <t>Cement and other carbonates (g CO2e)</t>
  </si>
  <si>
    <t>Natural gas and petroleum systems (g CO2e)</t>
  </si>
  <si>
    <t>Iron and steel (g CO2e)</t>
  </si>
  <si>
    <t>Chemicals (g CO2e)</t>
  </si>
  <si>
    <t>Mining (g CO2e)</t>
  </si>
  <si>
    <t>Waste management (g CO2e)</t>
  </si>
  <si>
    <t>Agriculture (g CO2e)</t>
  </si>
  <si>
    <t>Other industries (g CO2e)</t>
  </si>
  <si>
    <t>CH4 emissions from petroleum systems</t>
  </si>
  <si>
    <t>CH4 emissions from natural gas systems</t>
  </si>
  <si>
    <t xml:space="preserve">   CO2 from petroleum sysems</t>
  </si>
  <si>
    <t>CO2</t>
  </si>
  <si>
    <t>VOC</t>
  </si>
  <si>
    <t>CO</t>
  </si>
  <si>
    <t>NOx</t>
  </si>
  <si>
    <t>PM10</t>
  </si>
  <si>
    <t>PM25</t>
  </si>
  <si>
    <t>SOx</t>
  </si>
  <si>
    <t>BC</t>
  </si>
  <si>
    <t>OC</t>
  </si>
  <si>
    <t>CH4</t>
  </si>
  <si>
    <t>N2O</t>
  </si>
  <si>
    <t>F gases</t>
  </si>
  <si>
    <t>Pollutant</t>
  </si>
  <si>
    <t>Iron and steel, CH4</t>
  </si>
  <si>
    <t>N2O emissions from fertilizer use</t>
  </si>
  <si>
    <t>N2O emissions from crop residues</t>
  </si>
  <si>
    <t>N2O emissions form other soil management</t>
  </si>
  <si>
    <t>CO2 emissions from aluminum</t>
  </si>
  <si>
    <t>CO2 emissions from magnesium manufacturing</t>
  </si>
  <si>
    <t>Other industries, N2O</t>
  </si>
  <si>
    <t>Methodology</t>
  </si>
  <si>
    <t>Source for Methodology</t>
  </si>
  <si>
    <t>Residential</t>
  </si>
  <si>
    <t xml:space="preserve">   CO2e emissions from non energy use of fossil fuels</t>
  </si>
  <si>
    <t>Source Categories and Methodology</t>
  </si>
  <si>
    <t>NE</t>
  </si>
  <si>
    <t xml:space="preserve">   CO2 emissions from iron, steel, and metallurgical coke production</t>
  </si>
  <si>
    <t>Historical Emissions - CH4 (kt)</t>
  </si>
  <si>
    <t>Historical Emissions - CO2 (kt)</t>
  </si>
  <si>
    <t>kt/1000 barrels</t>
  </si>
  <si>
    <t>Scaling Factors</t>
  </si>
  <si>
    <t>Nitric Acid Production</t>
  </si>
  <si>
    <t>Lime Production</t>
  </si>
  <si>
    <t>Ammonia Production</t>
  </si>
  <si>
    <t>Field Burning of Agricultural Residues</t>
  </si>
  <si>
    <t>Sub-Sector</t>
  </si>
  <si>
    <t>Model Sector</t>
  </si>
  <si>
    <t>HFCs</t>
  </si>
  <si>
    <t>PFCs</t>
  </si>
  <si>
    <t>SF6</t>
  </si>
  <si>
    <t>NF3</t>
  </si>
  <si>
    <t>M</t>
  </si>
  <si>
    <t>Calculated Exponential Log Values</t>
  </si>
  <si>
    <t>Need Exponential Calc?</t>
  </si>
  <si>
    <t>Exp</t>
  </si>
  <si>
    <t>Constant</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</si>
  <si>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</si>
  <si>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</si>
  <si>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</si>
  <si>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</si>
  <si>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</si>
  <si>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</si>
  <si>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</si>
  <si>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</si>
  <si>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</si>
  <si>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</si>
  <si>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</si>
  <si>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</si>
  <si>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</si>
  <si>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</si>
  <si>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</si>
  <si>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</si>
  <si>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</si>
  <si>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</si>
  <si>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</si>
  <si>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</si>
  <si>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</si>
  <si>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</si>
  <si>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</si>
  <si>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</si>
  <si>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</si>
  <si>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</si>
  <si>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</si>
  <si>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</si>
  <si>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</si>
  <si>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</si>
  <si>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</si>
  <si>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</si>
  <si>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</si>
  <si>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</si>
  <si>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</si>
  <si>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</si>
  <si>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 xml:space="preserve">   CO2 emissions from other processes</t>
  </si>
  <si>
    <t xml:space="preserve">   CO2 process emissions</t>
  </si>
  <si>
    <t>CO2 emissions from other processes</t>
  </si>
  <si>
    <t>CH4 emissions from other processes</t>
  </si>
  <si>
    <t>CO2 from other processes</t>
  </si>
  <si>
    <t>N2O from other processes</t>
  </si>
  <si>
    <t>CH4 from other processes</t>
  </si>
  <si>
    <t>Waste management (no industrial wastewater treatment)</t>
  </si>
  <si>
    <t xml:space="preserve">   CH4 emissions from other processes</t>
  </si>
  <si>
    <t>Industrial Wastewater Projections</t>
  </si>
  <si>
    <t>EPA (2013) p. 1</t>
  </si>
  <si>
    <t>Aluminum Production</t>
  </si>
  <si>
    <t>Rice Cultivation</t>
  </si>
  <si>
    <t>Wastewater Treatment</t>
  </si>
  <si>
    <r>
      <t xml:space="preserve">In general the methodology used here follows that of the US Environmental Protection Agency in </t>
    </r>
    <r>
      <rPr>
        <i/>
        <sz val="11"/>
        <color theme="1"/>
        <rFont val="Calibri"/>
        <family val="2"/>
        <scheme val="minor"/>
      </rPr>
      <t>Methodologies for U.S. Greenhouse Gas Emissions Projections: Non-CO2 and Non-Energy CO2 Sources</t>
    </r>
    <r>
      <rPr>
        <sz val="11"/>
        <color theme="1"/>
        <rFont val="Calibri"/>
        <family val="2"/>
        <scheme val="minor"/>
      </rPr>
      <t xml:space="preserve"> with a few exceptions. </t>
    </r>
  </si>
  <si>
    <t>Notes:</t>
  </si>
  <si>
    <t>Tables 10.19,  10A-4, 10A-5, 10A-7, 10A-9, 11.2</t>
  </si>
  <si>
    <t>http://www.ipcc-nggip.iges.or.jp/public/2006gl/</t>
  </si>
  <si>
    <t>2006 IPCC Guidelines for National Greenhouse Gas Inventories</t>
  </si>
  <si>
    <t>Intergovernmental Panel on Climate Change</t>
  </si>
  <si>
    <t>Crop Residue and Livestock Production Parameters</t>
  </si>
  <si>
    <t>Specific methodologies and sources are listed in the table below. Global warming potentials are taken from the IPCC's Fifth Assessment Report.</t>
  </si>
  <si>
    <t>CO2 emissions from natural gas systems</t>
  </si>
  <si>
    <t xml:space="preserve">   N2O emissions from other processes</t>
  </si>
  <si>
    <t>AR5 20-Year GWP</t>
  </si>
  <si>
    <t>AR5 100-Year GWP</t>
  </si>
  <si>
    <t>EPA 100-Year GWP</t>
  </si>
  <si>
    <t xml:space="preserve">   CH4 from other processes</t>
  </si>
  <si>
    <t>Notes for Canada</t>
  </si>
  <si>
    <t>Underground Mines</t>
  </si>
  <si>
    <t>Surface Mines</t>
  </si>
  <si>
    <t>Historical Emissions (kt CH4)</t>
  </si>
  <si>
    <t>Historical Coal Production (Mt)</t>
  </si>
  <si>
    <t>Aggregate</t>
  </si>
  <si>
    <t>Total Production</t>
  </si>
  <si>
    <t>Metallurgical</t>
  </si>
  <si>
    <t>Thermal</t>
  </si>
  <si>
    <t>2040</t>
  </si>
  <si>
    <t>2039</t>
  </si>
  <si>
    <t>2038</t>
  </si>
  <si>
    <t>2037</t>
  </si>
  <si>
    <t>2036</t>
  </si>
  <si>
    <t>2035</t>
  </si>
  <si>
    <t>2034</t>
  </si>
  <si>
    <t>2033</t>
  </si>
  <si>
    <t>2032</t>
  </si>
  <si>
    <t>2031</t>
  </si>
  <si>
    <t>2030</t>
  </si>
  <si>
    <t>2029</t>
  </si>
  <si>
    <t>2028</t>
  </si>
  <si>
    <t>2027</t>
  </si>
  <si>
    <t>2026</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</si>
  <si>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</si>
  <si>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</si>
  <si>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</si>
  <si>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</si>
  <si>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</si>
  <si>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</si>
  <si>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</si>
  <si>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</si>
  <si>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</si>
  <si>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</si>
  <si>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</si>
  <si>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</si>
  <si>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</si>
  <si>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</si>
  <si>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</si>
  <si>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</si>
  <si>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</si>
  <si>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</si>
  <si>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</si>
  <si>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</si>
  <si>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</si>
  <si>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_</t>
  </si>
  <si>
    <t>Exports</t>
  </si>
  <si>
    <t>End-Use</t>
  </si>
  <si>
    <t>Domestic Demand</t>
  </si>
  <si>
    <t>Select Case: Reference</t>
  </si>
  <si>
    <t>Select Appendices: Coal Supply and Demand</t>
  </si>
  <si>
    <t>Select Report Version: Canada’s Energy Future 2016</t>
  </si>
  <si>
    <t>Note: We account for differences in coal production between the IPCC database and the Canada Futures Study database</t>
  </si>
  <si>
    <t>Historical Canadian Crude Oil Production</t>
  </si>
  <si>
    <t>Select Appendices: Crude Oil Production</t>
  </si>
  <si>
    <t>Select Unit: Thousand Barrels per day</t>
  </si>
  <si>
    <t>Canada</t>
  </si>
  <si>
    <t>Conventional Light</t>
  </si>
  <si>
    <t>Conventional Heavy</t>
  </si>
  <si>
    <t>C5+</t>
  </si>
  <si>
    <t>Field Condensate</t>
  </si>
  <si>
    <t xml:space="preserve">Mined Bitumen </t>
  </si>
  <si>
    <t xml:space="preserve">In Situ Bitumen </t>
  </si>
  <si>
    <t xml:space="preserve">(Upgraded Bitumen) </t>
  </si>
  <si>
    <t>Newfoundland and Labrador</t>
  </si>
  <si>
    <t>Nova Scotia</t>
  </si>
  <si>
    <t>Ontario</t>
  </si>
  <si>
    <t>Manitoba</t>
  </si>
  <si>
    <t>Alberta</t>
  </si>
  <si>
    <t>British Columbia</t>
  </si>
  <si>
    <t xml:space="preserve">   Field Condensate </t>
  </si>
  <si>
    <t>Saskatchewan</t>
  </si>
  <si>
    <t>Northwest Territories</t>
  </si>
  <si>
    <t>Historical Canada Crude Oil Supply</t>
  </si>
  <si>
    <t>Select Appendices: Refinery Balances</t>
  </si>
  <si>
    <t>Feedstock Requirements</t>
  </si>
  <si>
    <t>Domestic Product Demand</t>
  </si>
  <si>
    <t>Product Imports</t>
  </si>
  <si>
    <t>Product Exports</t>
  </si>
  <si>
    <t>Product Inventory (+Build/-Draw)</t>
  </si>
  <si>
    <t>Own Consumption</t>
  </si>
  <si>
    <t>Transfer to Refinery Feedstocks</t>
  </si>
  <si>
    <t>Losses and Adjustments</t>
  </si>
  <si>
    <t>Receipts from other reporting companies</t>
  </si>
  <si>
    <t>Deliveries to other reporting companies</t>
  </si>
  <si>
    <t>Receipts from non-reporting companies</t>
  </si>
  <si>
    <t>Total Feedstock Requirements</t>
  </si>
  <si>
    <t>Feedstock Sources</t>
  </si>
  <si>
    <t>Domestic: Heavy Crude</t>
  </si>
  <si>
    <t>Total Feedstock Sources</t>
  </si>
  <si>
    <t>Imports: Light Crude</t>
  </si>
  <si>
    <t>Refinery (+Gain/-Loss)</t>
  </si>
  <si>
    <t>Imports: Heavy Crude</t>
  </si>
  <si>
    <t>Other Material</t>
  </si>
  <si>
    <t>Domestic: Light Crude</t>
  </si>
  <si>
    <t>Gl nat gas prodcution</t>
  </si>
  <si>
    <t>TJ/Gl</t>
  </si>
  <si>
    <t>MJ nat gas production</t>
  </si>
  <si>
    <t>Cubic meter gas production</t>
  </si>
  <si>
    <t>cubic meter per kg</t>
  </si>
  <si>
    <t>kg gas production</t>
  </si>
  <si>
    <t>kt methane production</t>
  </si>
  <si>
    <t>kt methane emissions, aggregate</t>
  </si>
  <si>
    <t>IPCC Table1.B.2</t>
  </si>
  <si>
    <t>http://www.statcan.gc.ca/pub/57-003-x/57-003-x2017002-eng.pdf, p.122</t>
  </si>
  <si>
    <t>http://www.nrcan.gc.ca/energy/natural-gas/5641</t>
  </si>
  <si>
    <t>GJ/ cubic meter</t>
  </si>
  <si>
    <t>https://www.engineeringtoolbox.com/methane-d_1420.html</t>
  </si>
  <si>
    <t>Calculated CH4 Leakage Rate</t>
  </si>
  <si>
    <t>Calculated CO2 Emissions Rate</t>
  </si>
  <si>
    <t>Gas Production (Gl)</t>
  </si>
  <si>
    <t>Venting</t>
  </si>
  <si>
    <t>Flaring</t>
  </si>
  <si>
    <t xml:space="preserve">   Exploration </t>
  </si>
  <si>
    <t xml:space="preserve">   Production</t>
  </si>
  <si>
    <t xml:space="preserve">   Processing</t>
  </si>
  <si>
    <t xml:space="preserve">   Transmission and Storage</t>
  </si>
  <si>
    <t xml:space="preserve">   Distribution</t>
  </si>
  <si>
    <t xml:space="preserve">   Other</t>
  </si>
  <si>
    <t xml:space="preserve">   Venting</t>
  </si>
  <si>
    <t xml:space="preserve">   Flaring</t>
  </si>
  <si>
    <t>CO2 Emissions (kt)</t>
  </si>
  <si>
    <t>2011-2015 Average (kt/Gl)</t>
  </si>
  <si>
    <t>2011-2015 Average (kt/cubic meter)</t>
  </si>
  <si>
    <t>Emissions</t>
  </si>
  <si>
    <t>Select Appendices: Natural Gas Production</t>
  </si>
  <si>
    <t>Select Unit: Million Cubic Metres per day</t>
  </si>
  <si>
    <t>Western Canadian Sedimentary Basin</t>
  </si>
  <si>
    <t>Solution</t>
  </si>
  <si>
    <t>Non Associated</t>
  </si>
  <si>
    <t>Tight</t>
  </si>
  <si>
    <t>Shale</t>
  </si>
  <si>
    <t>Coalbed Methane</t>
  </si>
  <si>
    <t>New Brunswick</t>
  </si>
  <si>
    <t>Base Year Emissions (2015)</t>
  </si>
  <si>
    <t>done</t>
  </si>
  <si>
    <t>done; used projected domestic coal production and calculated emissions factors</t>
  </si>
  <si>
    <t>done; used projected production of natural gas and calculcated emissions factors</t>
  </si>
  <si>
    <t>done; used projected crude oil prodcuction and feedstock processing and calculated emissions factors</t>
  </si>
  <si>
    <t>done; used calculated emissions factors and demand for metallurgical coal</t>
  </si>
  <si>
    <t>done; used 2015 emissions and scaled based 2.5% global growth rate for aluminum consumption from EPA methodology</t>
  </si>
  <si>
    <t>done, 2015 shows no emissions and these were set to scale down to 0 anyway, per EPA methodology</t>
  </si>
  <si>
    <t>Select Appendices: Macro Indicators</t>
  </si>
  <si>
    <t>Select Region: Canada</t>
  </si>
  <si>
    <t xml:space="preserve">Real Gross Domestic Product ($2007 Millions) </t>
  </si>
  <si>
    <t>Population (thousands)</t>
  </si>
  <si>
    <t>Gross Domestic Product Deflator (2007=1)</t>
  </si>
  <si>
    <t>Consumer Price Index (2002=1)</t>
  </si>
  <si>
    <t>Canada-US Exchange Rate (C$/US$)</t>
  </si>
  <si>
    <t>PFCs (kt CO2e)</t>
  </si>
  <si>
    <t>done; assumed 2015 emissions grow at 5 year average CAGR of GDP, per EPA methodology</t>
  </si>
  <si>
    <t>http://ifadata.fertilizer.org/ucSearch.aspx</t>
  </si>
  <si>
    <t>Historical</t>
  </si>
  <si>
    <t>Projected</t>
  </si>
  <si>
    <t>Projected North America Fertizlier Use (Mt N)</t>
  </si>
  <si>
    <t>Direct</t>
  </si>
  <si>
    <t>Indirect</t>
  </si>
  <si>
    <t>Projected Candian Fertizlier Use (kt N)</t>
  </si>
  <si>
    <t>Domain Code</t>
  </si>
  <si>
    <t>Domain</t>
  </si>
  <si>
    <t>Area Code</t>
  </si>
  <si>
    <t>Area</t>
  </si>
  <si>
    <t>Element Code</t>
  </si>
  <si>
    <t>Element</t>
  </si>
  <si>
    <t>Item Code</t>
  </si>
  <si>
    <t>Item</t>
  </si>
  <si>
    <t>Year Code</t>
  </si>
  <si>
    <t>Unit</t>
  </si>
  <si>
    <t>Value</t>
  </si>
  <si>
    <t>Flag</t>
  </si>
  <si>
    <t>Flag Description</t>
  </si>
  <si>
    <t>QC</t>
  </si>
  <si>
    <t>Crops</t>
  </si>
  <si>
    <t>Area harvested</t>
  </si>
  <si>
    <t>ha</t>
  </si>
  <si>
    <t>Official data</t>
  </si>
  <si>
    <t>tonnes</t>
  </si>
  <si>
    <t>Maize</t>
  </si>
  <si>
    <t>Beans, dry</t>
  </si>
  <si>
    <t>Broad beans, horse beans, dry</t>
  </si>
  <si>
    <t>Data not available</t>
  </si>
  <si>
    <t>Chick peas</t>
  </si>
  <si>
    <t>Lentils</t>
  </si>
  <si>
    <t>hectares</t>
  </si>
  <si>
    <t>Crop Area</t>
  </si>
  <si>
    <t>Canadian Wheat Supply and Utilization</t>
  </si>
  <si>
    <t>01/02</t>
  </si>
  <si>
    <t>02/03</t>
  </si>
  <si>
    <t>03/04</t>
  </si>
  <si>
    <t>04/05</t>
  </si>
  <si>
    <t>05/06</t>
  </si>
  <si>
    <t>06/07</t>
  </si>
  <si>
    <t>07/08</t>
  </si>
  <si>
    <t>08/09</t>
  </si>
  <si>
    <t>09/10</t>
  </si>
  <si>
    <t>10/11</t>
  </si>
  <si>
    <t>11/12</t>
  </si>
  <si>
    <t>12/13</t>
  </si>
  <si>
    <t>13/14</t>
  </si>
  <si>
    <t>14/15</t>
  </si>
  <si>
    <t>15/16</t>
  </si>
  <si>
    <t>16/17</t>
  </si>
  <si>
    <t>17/18</t>
  </si>
  <si>
    <t>18/19</t>
  </si>
  <si>
    <t>19/20</t>
  </si>
  <si>
    <t>20/21</t>
  </si>
  <si>
    <t>21/22</t>
  </si>
  <si>
    <t>(Thousand Hectares)</t>
  </si>
  <si>
    <t>Area Harvested</t>
  </si>
  <si>
    <t>(Metric Tons per Hectare)</t>
  </si>
  <si>
    <t>Yield</t>
  </si>
  <si>
    <t>(Thousand Metric Tons)</t>
  </si>
  <si>
    <t>Beginning Stocks</t>
  </si>
  <si>
    <t xml:space="preserve">   Domestic Supply</t>
  </si>
  <si>
    <t>Feed Use</t>
  </si>
  <si>
    <t>Food and Other</t>
  </si>
  <si>
    <t>Ending Stocks</t>
  </si>
  <si>
    <t xml:space="preserve">   Domestic Use</t>
  </si>
  <si>
    <t xml:space="preserve">   Net Trade</t>
  </si>
  <si>
    <t>Canadian Coarse Grain Supply and Utilization</t>
  </si>
  <si>
    <t>Canadian Soybean Sector Supply and Utilization</t>
  </si>
  <si>
    <t>Crush</t>
  </si>
  <si>
    <t>Other Use</t>
  </si>
  <si>
    <t>Soybean Meal</t>
  </si>
  <si>
    <t>Consumption</t>
  </si>
  <si>
    <t>Soybean Oil</t>
  </si>
  <si>
    <t>Canadian Sugar Supply and Utilization</t>
  </si>
  <si>
    <t>Sugar Beet</t>
  </si>
  <si>
    <t>Sugar</t>
  </si>
  <si>
    <t xml:space="preserve">  Domestic Supply</t>
  </si>
  <si>
    <t xml:space="preserve">  Domestic Use</t>
  </si>
  <si>
    <t xml:space="preserve">  Net Trade</t>
  </si>
  <si>
    <t>Slope and Intercept for Above Ground Residue</t>
  </si>
  <si>
    <t>Slope</t>
  </si>
  <si>
    <t>Intercept</t>
  </si>
  <si>
    <t>Crop</t>
  </si>
  <si>
    <t>Pulses</t>
  </si>
  <si>
    <t>Dry Beans</t>
  </si>
  <si>
    <t>QA</t>
  </si>
  <si>
    <t>Live Animals</t>
  </si>
  <si>
    <t>Stocks</t>
  </si>
  <si>
    <t>Beehives</t>
  </si>
  <si>
    <t>No</t>
  </si>
  <si>
    <t>Im</t>
  </si>
  <si>
    <t>FAO data based on imputation methodology</t>
  </si>
  <si>
    <t>Cattle</t>
  </si>
  <si>
    <t>Head</t>
  </si>
  <si>
    <t>*</t>
  </si>
  <si>
    <t>Unofficial figure</t>
  </si>
  <si>
    <t>Chickens</t>
  </si>
  <si>
    <t>1000 Head</t>
  </si>
  <si>
    <t>F</t>
  </si>
  <si>
    <t>FAO estimate</t>
  </si>
  <si>
    <t>Ducks</t>
  </si>
  <si>
    <t>Geese and guinea fowls</t>
  </si>
  <si>
    <t>Mules</t>
  </si>
  <si>
    <t>Pigs</t>
  </si>
  <si>
    <t>Turkeys</t>
  </si>
  <si>
    <t>QL</t>
  </si>
  <si>
    <t>Livestock Primary</t>
  </si>
  <si>
    <t>Producing Animals/Slaughtered</t>
  </si>
  <si>
    <t>Meat, cattle</t>
  </si>
  <si>
    <t>Fc</t>
  </si>
  <si>
    <t>Calculated data</t>
  </si>
  <si>
    <t>Milk Animals</t>
  </si>
  <si>
    <t>Milk, whole fresh cow</t>
  </si>
  <si>
    <t>'-'</t>
  </si>
  <si>
    <t>'2005'</t>
  </si>
  <si>
    <t>'QDXAgg -- Total Demand'</t>
  </si>
  <si>
    <t>'SSP2-IPSL'</t>
  </si>
  <si>
    <t>'AMT-Beef'</t>
  </si>
  <si>
    <t>'CAN'</t>
  </si>
  <si>
    <t>'2010'</t>
  </si>
  <si>
    <t>'2015'</t>
  </si>
  <si>
    <t>'2020'</t>
  </si>
  <si>
    <t>'2025'</t>
  </si>
  <si>
    <t>'2030'</t>
  </si>
  <si>
    <t>'2035'</t>
  </si>
  <si>
    <t>'2040'</t>
  </si>
  <si>
    <t>'2045'</t>
  </si>
  <si>
    <t>'2050'</t>
  </si>
  <si>
    <t>'AMT-Pork'</t>
  </si>
  <si>
    <t>'AMT-Lamb'</t>
  </si>
  <si>
    <t>'AMT-Poultry'</t>
  </si>
  <si>
    <t>'AOT-Dairy'</t>
  </si>
  <si>
    <t xml:space="preserve">Projected Growth Rate for Animal Inventory </t>
  </si>
  <si>
    <t>Meat indigenous, chicken</t>
  </si>
  <si>
    <t>Yield/Carcass Weight</t>
  </si>
  <si>
    <t>0.1g/An</t>
  </si>
  <si>
    <t>Meat indigenous, turkey</t>
  </si>
  <si>
    <t>Canada 2015 CO2 Emissions</t>
  </si>
  <si>
    <t>Cement Production</t>
  </si>
  <si>
    <t>done; scaled using US growth in value of shipments</t>
  </si>
  <si>
    <t>done; per EPA document assumed a value of 0</t>
  </si>
  <si>
    <t>done; per EPA assumed constant; this value was 0 in IPCC database</t>
  </si>
  <si>
    <t>Canada Base Year Emissions</t>
  </si>
  <si>
    <t>Inventory 2015</t>
  </si>
  <si>
    <t>Submission 2017 v4</t>
  </si>
  <si>
    <t>CANADA</t>
  </si>
  <si>
    <t>NO</t>
  </si>
  <si>
    <t>IE</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</si>
  <si>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</si>
  <si>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</si>
  <si>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</si>
  <si>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</si>
  <si>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</si>
  <si>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</si>
  <si>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</si>
  <si>
    <t>(kt)</t>
  </si>
  <si>
    <t>NE,IE,NA</t>
  </si>
  <si>
    <t>NA</t>
  </si>
  <si>
    <t>NE,IE</t>
  </si>
  <si>
    <t>Documentation box:</t>
  </si>
  <si>
    <t>kt CO2e</t>
  </si>
  <si>
    <t>Total (t CO2e)</t>
  </si>
  <si>
    <t>Done; no rice cultivation in Canada</t>
  </si>
  <si>
    <t>Done; used Canada data</t>
  </si>
  <si>
    <r>
      <t xml:space="preserve">   </t>
    </r>
    <r>
      <rPr>
        <i/>
        <sz val="11"/>
        <color theme="1"/>
        <rFont val="Calibri"/>
        <family val="2"/>
        <scheme val="minor"/>
      </rPr>
      <t>CH4 from mining</t>
    </r>
  </si>
  <si>
    <t>TABLE 3 SECTORAL REPORT FOR AGRICULTURE</t>
  </si>
  <si>
    <t>(Sheet 1 of 2)</t>
  </si>
  <si>
    <t xml:space="preserve">GREENHOUSE GAS SOURCE AND </t>
  </si>
  <si>
    <t>SINK CATEGORIES</t>
  </si>
  <si>
    <t>3. Total agriculture</t>
  </si>
  <si>
    <t>NO,NE</t>
  </si>
  <si>
    <t>NO,NE,IE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</si>
  <si>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</si>
  <si>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</si>
  <si>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</si>
  <si>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</si>
  <si>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</si>
  <si>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</si>
  <si>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</si>
  <si>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</si>
  <si>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</si>
  <si>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</si>
  <si>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</si>
  <si>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</si>
  <si>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</si>
  <si>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</si>
  <si>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</si>
  <si>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Buffalo</t>
  </si>
  <si>
    <t>Camels</t>
  </si>
  <si>
    <t>Deer</t>
  </si>
  <si>
    <t>Mules and Asses</t>
  </si>
  <si>
    <t>Other (please specify)</t>
  </si>
  <si>
    <t>Rabbit</t>
  </si>
  <si>
    <t>Fur-bearing Animals</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</si>
  <si>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</si>
  <si>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</si>
  <si>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</si>
  <si>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</si>
  <si>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</si>
  <si>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Non Dairy Cattle</t>
  </si>
  <si>
    <t>Other Livestock</t>
  </si>
  <si>
    <t>CH4 Emissions</t>
  </si>
  <si>
    <t>N2O Emissions</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</si>
  <si>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</si>
  <si>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</si>
  <si>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(Sheet 1 of 1)</t>
  </si>
  <si>
    <t>ACTIVITY  DATA   AND  OTHER  RELATED  INFORMATION</t>
  </si>
  <si>
    <t>IMPLIED EMISSION FACTORS</t>
  </si>
  <si>
    <t>EMISSIONS</t>
  </si>
  <si>
    <t>Description</t>
  </si>
  <si>
    <t>kg N/yr</t>
  </si>
  <si>
    <r>
      <t>kg N</t>
    </r>
    <r>
      <rPr>
        <b/>
        <vertAlign val="subscript"/>
        <sz val="9"/>
        <rFont val="Times New Roman"/>
        <family val="1"/>
      </rPr>
      <t>2</t>
    </r>
    <r>
      <rPr>
        <b/>
        <sz val="9"/>
        <rFont val="Times New Roman"/>
        <family val="1"/>
      </rPr>
      <t>O-N/kg N</t>
    </r>
    <r>
      <rPr>
        <b/>
        <vertAlign val="superscript"/>
        <sz val="9"/>
        <rFont val="Times New Roman"/>
        <family val="1"/>
      </rPr>
      <t>(1)(2)</t>
    </r>
  </si>
  <si>
    <r>
      <t>a. Direct N</t>
    </r>
    <r>
      <rPr>
        <b/>
        <vertAlign val="subscript"/>
        <sz val="9"/>
        <rFont val="Times New Roman"/>
        <family val="1"/>
      </rPr>
      <t>2</t>
    </r>
    <r>
      <rPr>
        <b/>
        <sz val="9"/>
        <rFont val="Times New Roman"/>
        <family val="1"/>
      </rPr>
      <t xml:space="preserve">O emissions from managed soils </t>
    </r>
  </si>
  <si>
    <r>
      <t>1.   Inorganic N fertilizers</t>
    </r>
    <r>
      <rPr>
        <vertAlign val="superscript"/>
        <sz val="9"/>
        <rFont val="Times New Roman"/>
        <family val="1"/>
      </rPr>
      <t>(3)</t>
    </r>
  </si>
  <si>
    <r>
      <t>2.   Organic N fertilizers</t>
    </r>
    <r>
      <rPr>
        <vertAlign val="superscript"/>
        <sz val="9"/>
        <rFont val="Times New Roman"/>
        <family val="1"/>
      </rPr>
      <t>(3)</t>
    </r>
  </si>
  <si>
    <t xml:space="preserve">      a. Animal manure applied to soils</t>
  </si>
  <si>
    <t xml:space="preserve">      b. Sewage sludge applied to soils</t>
  </si>
  <si>
    <t xml:space="preserve">      c. Other organic fertilizers applied to soils</t>
  </si>
  <si>
    <t>3.   Urine and dung deposited by grazing animals</t>
  </si>
  <si>
    <t>4.   Crop residues</t>
  </si>
  <si>
    <r>
      <t xml:space="preserve">5.  Mineralization/immobilization associated with loss/gain of soil organic matter </t>
    </r>
    <r>
      <rPr>
        <vertAlign val="superscript"/>
        <sz val="9"/>
        <rFont val="Times New Roman"/>
        <family val="1"/>
      </rPr>
      <t>(4)(5)</t>
    </r>
  </si>
  <si>
    <r>
      <t>6.   Cultivation of organic soils (i.e. histosols)</t>
    </r>
    <r>
      <rPr>
        <vertAlign val="superscript"/>
        <sz val="9"/>
        <rFont val="Times New Roman"/>
        <family val="1"/>
      </rPr>
      <t>(2)</t>
    </r>
  </si>
  <si>
    <t>7.   Other</t>
  </si>
  <si>
    <r>
      <t>b. Indirect N</t>
    </r>
    <r>
      <rPr>
        <b/>
        <vertAlign val="subscript"/>
        <sz val="9"/>
        <rFont val="Times New Roman"/>
        <family val="1"/>
      </rPr>
      <t>2</t>
    </r>
    <r>
      <rPr>
        <b/>
        <sz val="9"/>
        <rFont val="Times New Roman"/>
        <family val="1"/>
      </rPr>
      <t xml:space="preserve">O Emissions from managed soils </t>
    </r>
  </si>
  <si>
    <r>
      <t>1.   Atmospheric deposition</t>
    </r>
    <r>
      <rPr>
        <vertAlign val="superscript"/>
        <sz val="9"/>
        <rFont val="Times New Roman"/>
        <family val="1"/>
      </rPr>
      <t>(6)</t>
    </r>
  </si>
  <si>
    <t>2.   Nitrogen leaching and run-off</t>
  </si>
  <si>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</si>
  <si>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</si>
  <si>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</si>
  <si>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(4)</t>
    </r>
    <r>
      <rPr>
        <sz val="9"/>
        <rFont val="Times New Roman"/>
        <family val="1"/>
      </rPr>
      <t xml:space="preserve">   Emissions from management changes in cropland remaining cropland would be reported in this table. </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</si>
  <si>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</si>
  <si>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</si>
  <si>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t>Additional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</si>
  <si>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</si>
  <si>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</si>
  <si>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</si>
  <si>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</si>
  <si>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</si>
  <si>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LEACH-(H)</t>
    </r>
  </si>
  <si>
    <t>Fraction of N input to managed soils that is lost through leaching and run-off</t>
  </si>
  <si>
    <r>
      <t xml:space="preserve">Other fractions </t>
    </r>
    <r>
      <rPr>
        <i/>
        <sz val="9"/>
        <rFont val="Times New Roman"/>
        <family val="1"/>
      </rPr>
      <t>(please specify)</t>
    </r>
  </si>
  <si>
    <r>
      <t>(a)</t>
    </r>
    <r>
      <rPr>
        <sz val="9"/>
        <rFont val="Times New Roman"/>
        <family val="1"/>
      </rPr>
      <t xml:space="preserve"> Use the definitions for fractions as specified in the 2006 IPCC Guidelines (pp. 11.13-11.22 of chapter 11 of volume 4) </t>
    </r>
  </si>
  <si>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</si>
  <si>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</si>
  <si>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</si>
  <si>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t xml:space="preserve">    (b) Full list of assumptions and fractions used.</t>
  </si>
  <si>
    <t>Documentation box</t>
  </si>
  <si>
    <t xml:space="preserve">3.D/2015: 3.D.1.2.c: The amount of N from other organic fertilizers applied to soils in Canada is not available at this time. 
3.D/2015: 3.D.1.7 Other: Canada reports three country-specific sources/removals of N2O (conservation tillage, summerfallow and irrigation), but because of limitation of current CRF Reporter Software, the net impact of these country-specific source/sink categories on emissions/removals needs to be reported under 3.D.1.1, 3.D.1.2.a, and 3.D.1.4 of Agricultural Soils. 
3.D/2015: 3.D.1.2.b: Sewage sludge might be applied on Cropland, but this practice does not occur on a large scale in Canada. There is currently no activity data available to estimate emissions from this source. 
</t>
  </si>
  <si>
    <t>Actual 2015 Historical Emissions</t>
  </si>
  <si>
    <t>Adjusted Emissions</t>
  </si>
  <si>
    <t>Crop Residues</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</si>
  <si>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</si>
  <si>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</si>
  <si>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</si>
  <si>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</si>
  <si>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</si>
  <si>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</si>
  <si>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NO,NA</t>
  </si>
  <si>
    <t>NO,IE</t>
  </si>
  <si>
    <t>1.  Managed waste disposal sites</t>
  </si>
  <si>
    <t>2.  Unmanaged waste disposal sites</t>
  </si>
  <si>
    <t>3.  Uncategorized waste disposal sites</t>
  </si>
  <si>
    <t>B.  Biological treatment of solid waste</t>
  </si>
  <si>
    <t>1. Composting</t>
  </si>
  <si>
    <t>2. Anaerobic digestion at biogas facilities</t>
  </si>
  <si>
    <t>NE,NA</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</si>
  <si>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</si>
  <si>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</si>
  <si>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</si>
  <si>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</si>
  <si>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</si>
  <si>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</si>
  <si>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</si>
  <si>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</si>
  <si>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</si>
  <si>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</si>
  <si>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</si>
  <si>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</si>
  <si>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Inventory 2014</t>
  </si>
  <si>
    <t>NE,NA,NO,IE</t>
  </si>
  <si>
    <t>NA,NO</t>
  </si>
  <si>
    <t>Inventory 2013</t>
  </si>
  <si>
    <t>Inventory 2012</t>
  </si>
  <si>
    <t>Inventory 2011</t>
  </si>
  <si>
    <t>Domestic Wastewater (CH4)</t>
  </si>
  <si>
    <t>Industrial Wastewater (CH4)</t>
  </si>
  <si>
    <t>Domestic Wastewater (N2O)</t>
  </si>
  <si>
    <t>Domestic Wastewater Projectoins</t>
  </si>
  <si>
    <t>Table A9-3: 2015 GHG Emission Summary for Canada</t>
  </si>
  <si>
    <t>Greenhouse Gases</t>
  </si>
  <si>
    <r>
      <t>CO</t>
    </r>
    <r>
      <rPr>
        <b/>
        <vertAlign val="subscript"/>
        <sz val="10"/>
        <color indexed="8"/>
        <rFont val="Arial"/>
        <family val="2"/>
      </rPr>
      <t>2</t>
    </r>
  </si>
  <si>
    <r>
      <t>CH</t>
    </r>
    <r>
      <rPr>
        <b/>
        <vertAlign val="subscript"/>
        <sz val="10"/>
        <color indexed="8"/>
        <rFont val="Arial"/>
        <family val="2"/>
      </rPr>
      <t>4</t>
    </r>
  </si>
  <si>
    <r>
      <t>N</t>
    </r>
    <r>
      <rPr>
        <b/>
        <vertAlign val="subscript"/>
        <sz val="10"/>
        <color indexed="8"/>
        <rFont val="Arial"/>
        <family val="2"/>
      </rPr>
      <t>2</t>
    </r>
    <r>
      <rPr>
        <b/>
        <sz val="10"/>
        <color indexed="8"/>
        <rFont val="Arial"/>
        <family val="2"/>
      </rPr>
      <t>O</t>
    </r>
  </si>
  <si>
    <r>
      <t>SF</t>
    </r>
    <r>
      <rPr>
        <b/>
        <vertAlign val="subscript"/>
        <sz val="10"/>
        <color indexed="8"/>
        <rFont val="Arial"/>
        <family val="2"/>
      </rPr>
      <t>6</t>
    </r>
  </si>
  <si>
    <r>
      <t>NF</t>
    </r>
    <r>
      <rPr>
        <b/>
        <vertAlign val="subscript"/>
        <sz val="10"/>
        <rFont val="Arial"/>
        <family val="2"/>
      </rPr>
      <t>3</t>
    </r>
  </si>
  <si>
    <t>TOTAL</t>
  </si>
  <si>
    <t>Greenhouse Gas Categories</t>
  </si>
  <si>
    <t>Global Warming Potential</t>
  </si>
  <si>
    <t>kt</t>
  </si>
  <si>
    <r>
      <t>kt CO</t>
    </r>
    <r>
      <rPr>
        <vertAlign val="subscript"/>
        <sz val="8"/>
        <color indexed="8"/>
        <rFont val="Arial"/>
        <family val="2"/>
      </rPr>
      <t xml:space="preserve">2 </t>
    </r>
    <r>
      <rPr>
        <sz val="8"/>
        <color indexed="8"/>
        <rFont val="Arial"/>
        <family val="2"/>
      </rPr>
      <t xml:space="preserve"> eq</t>
    </r>
  </si>
  <si>
    <r>
      <t>TOTAL</t>
    </r>
    <r>
      <rPr>
        <b/>
        <vertAlign val="superscript"/>
        <sz val="11"/>
        <color rgb="FF000080"/>
        <rFont val="Arial"/>
        <family val="2"/>
      </rPr>
      <t>1</t>
    </r>
  </si>
  <si>
    <t>ENERGY</t>
  </si>
  <si>
    <t>a.</t>
  </si>
  <si>
    <t>Stationary Combustion Sources</t>
  </si>
  <si>
    <t xml:space="preserve">Public Electricity and Heat Production </t>
  </si>
  <si>
    <t>Petroleum Refining Industries</t>
  </si>
  <si>
    <t>Mining and Upstream Oil and Gas Production</t>
  </si>
  <si>
    <t>Manufacturing Industries</t>
  </si>
  <si>
    <t>Non Ferrous Metals</t>
  </si>
  <si>
    <t>Chemical</t>
  </si>
  <si>
    <t>Pulp and Paper</t>
  </si>
  <si>
    <t>Other Manufacturing</t>
  </si>
  <si>
    <t>Construction</t>
  </si>
  <si>
    <t>Commercial and Institutional</t>
  </si>
  <si>
    <t>Agriculture and Forestry</t>
  </si>
  <si>
    <t>b.</t>
  </si>
  <si>
    <r>
      <t>Transport</t>
    </r>
    <r>
      <rPr>
        <b/>
        <vertAlign val="superscript"/>
        <sz val="10"/>
        <rFont val="Arial"/>
        <family val="2"/>
      </rPr>
      <t>2</t>
    </r>
  </si>
  <si>
    <t>Domestic Aviation</t>
  </si>
  <si>
    <t>Road Transportation</t>
  </si>
  <si>
    <t>Light-Duty Gasoline Vehicles</t>
  </si>
  <si>
    <t>Light-Duty Gasoline Trucks</t>
  </si>
  <si>
    <t>Heavy-Duty Gasoline Vehicles</t>
  </si>
  <si>
    <t>Motorcycles</t>
  </si>
  <si>
    <t>Light-Duty Diesel Vehicles</t>
  </si>
  <si>
    <t>Light-Duty Diesel Trucks</t>
  </si>
  <si>
    <t>Heavy-Duty Diesel Vehicles</t>
  </si>
  <si>
    <t>Propane and Natural Gas Vehicles</t>
  </si>
  <si>
    <t>Railways</t>
  </si>
  <si>
    <t xml:space="preserve">Domestic Navigation </t>
  </si>
  <si>
    <t>Other Transportation</t>
  </si>
  <si>
    <t>Off-Road Agriculture &amp; Forestry</t>
  </si>
  <si>
    <t>Off-Road Commercial &amp; Institutional</t>
  </si>
  <si>
    <t>Off-Road Manufacturing, Mining &amp; Construction</t>
  </si>
  <si>
    <t>Off-Road Residential</t>
  </si>
  <si>
    <t>Off-Road Other Transportation</t>
  </si>
  <si>
    <t>Pipeline Transport</t>
  </si>
  <si>
    <t>c.</t>
  </si>
  <si>
    <t>Fugitive Sources</t>
  </si>
  <si>
    <t xml:space="preserve">Coal Mining </t>
  </si>
  <si>
    <t>Oil and Natural Gas</t>
  </si>
  <si>
    <t>Oil</t>
  </si>
  <si>
    <t>Natural Gas</t>
  </si>
  <si>
    <t>d.</t>
  </si>
  <si>
    <r>
      <t>CO</t>
    </r>
    <r>
      <rPr>
        <b/>
        <vertAlign val="subscript"/>
        <sz val="10"/>
        <rFont val="Arial"/>
        <family val="2"/>
      </rPr>
      <t>2</t>
    </r>
    <r>
      <rPr>
        <b/>
        <sz val="10"/>
        <rFont val="Arial"/>
        <family val="2"/>
      </rPr>
      <t xml:space="preserve"> Transport and Storage </t>
    </r>
  </si>
  <si>
    <t>INDUSTRIAL PROCESSES AND PRODUCT USE</t>
  </si>
  <si>
    <t>Mineral Products</t>
  </si>
  <si>
    <t>Mineral Product Use</t>
  </si>
  <si>
    <t>Chemical Industry</t>
  </si>
  <si>
    <t>Adipic Acid Production</t>
  </si>
  <si>
    <t>Petrochemical and Carbon Black Production</t>
  </si>
  <si>
    <t>Metal Production</t>
  </si>
  <si>
    <t>Iron and Steel Production</t>
  </si>
  <si>
    <r>
      <t>SF</t>
    </r>
    <r>
      <rPr>
        <vertAlign val="subscript"/>
        <sz val="9"/>
        <rFont val="Arial"/>
        <family val="2"/>
      </rPr>
      <t>6</t>
    </r>
    <r>
      <rPr>
        <sz val="9"/>
        <rFont val="Arial"/>
        <family val="2"/>
      </rPr>
      <t xml:space="preserve"> Used in Magnesium Smelters and Casters</t>
    </r>
  </si>
  <si>
    <r>
      <t>Production and Consumption of Halocarbons, SF</t>
    </r>
    <r>
      <rPr>
        <b/>
        <vertAlign val="subscript"/>
        <sz val="10"/>
        <rFont val="Arial"/>
        <family val="2"/>
      </rPr>
      <t>6</t>
    </r>
    <r>
      <rPr>
        <b/>
        <sz val="10"/>
        <rFont val="Arial"/>
        <family val="2"/>
      </rPr>
      <t xml:space="preserve"> and NF</t>
    </r>
    <r>
      <rPr>
        <b/>
        <vertAlign val="subscript"/>
        <sz val="10"/>
        <rFont val="Arial"/>
        <family val="2"/>
      </rPr>
      <t>3</t>
    </r>
    <r>
      <rPr>
        <b/>
        <vertAlign val="superscript"/>
        <sz val="10"/>
        <rFont val="Arial"/>
        <family val="2"/>
      </rPr>
      <t>3</t>
    </r>
  </si>
  <si>
    <t>e.</t>
  </si>
  <si>
    <t>Non-Energy Products from Fuels and Solvent Use</t>
  </si>
  <si>
    <t>f.</t>
  </si>
  <si>
    <t>Other Product Manufacture and Use</t>
  </si>
  <si>
    <t>AGRICULTURE</t>
  </si>
  <si>
    <t>Agricultural Soils</t>
  </si>
  <si>
    <t>Direct Sources</t>
  </si>
  <si>
    <t>Indirect Sources</t>
  </si>
  <si>
    <t xml:space="preserve">Liming, Urea Application and Other Carbon-containing Fertilizers </t>
  </si>
  <si>
    <t>WASTE</t>
  </si>
  <si>
    <t xml:space="preserve">Solid Waste Disposal  </t>
  </si>
  <si>
    <t>Biological Treatment of Solid Waste</t>
  </si>
  <si>
    <t xml:space="preserve">c. </t>
  </si>
  <si>
    <t xml:space="preserve">Wastewater Treatment and Discharge  </t>
  </si>
  <si>
    <t xml:space="preserve">Incineration and Open Burning of Waste  </t>
  </si>
  <si>
    <t>LAND USE, LAND-USE CHANGE AND FORESTRY</t>
  </si>
  <si>
    <t>Forest Land</t>
  </si>
  <si>
    <t>Cropland</t>
  </si>
  <si>
    <t>Grassland</t>
  </si>
  <si>
    <t>Wetlands</t>
  </si>
  <si>
    <t>Settlements</t>
  </si>
  <si>
    <t>Harvested Wood Products</t>
  </si>
  <si>
    <t xml:space="preserve">1.  National totals exclude all GHGs from the Land Use, Land-use Change and Forestry Sector. </t>
  </si>
  <si>
    <t xml:space="preserve">2.  Emissions from ethanol and biodiesel are included in the Transport categories using gasoline and diesel respectively. </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</si>
  <si>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4</t>
    </r>
    <r>
      <rPr>
        <sz val="10"/>
        <color theme="1"/>
        <rFont val="Arial"/>
        <family val="2"/>
      </rPr>
      <t xml:space="preserve"> emissions from the use of NF</t>
    </r>
    <r>
      <rPr>
        <vertAlign val="subscript"/>
        <sz val="10"/>
        <color theme="1"/>
        <rFont val="Arial"/>
        <family val="2"/>
      </rPr>
      <t>3</t>
    </r>
    <r>
      <rPr>
        <sz val="10"/>
        <color theme="1"/>
        <rFont val="Arial"/>
        <family val="2"/>
      </rPr>
      <t xml:space="preserve">. </t>
    </r>
  </si>
  <si>
    <t xml:space="preserve">4.  IPCC's Fourth Assessment Report provides global warming potentials (GWPs) for the various species of HFCs and PFCs. Chapter 1, Table 1-1 of this report provides a list of GWPs used.  </t>
  </si>
  <si>
    <t>-</t>
  </si>
  <si>
    <t xml:space="preserve"> Indicates no emissions</t>
  </si>
  <si>
    <t xml:space="preserve"> Indicates emissions truncated due to rounding</t>
  </si>
  <si>
    <t>Estimates for the latest year (2015) are based on preliminary energy data; these data, though the best available information at the time of publication, are subject to revision in the next submission year.</t>
  </si>
  <si>
    <t>National GHG emissions allocated to Canadian economic sectors are provided in Annex 10 of this report.</t>
  </si>
  <si>
    <t xml:space="preserve">The number of significant figures presented in this table does not reflect the precision of the values. For values rounded to an appropriate number of significant figures based on the uncertainty of the category in question, please see Part 3 of the:  </t>
  </si>
  <si>
    <t>National Inventory Report 1990-2015: Greenhouse Gas Sources and Sinks in Canada.</t>
  </si>
  <si>
    <t>Table A9-4: 2014 GHG Emission Summary for Canada</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</si>
  <si>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 xml:space="preserve">4 </t>
    </r>
    <r>
      <rPr>
        <sz val="10"/>
        <color theme="1"/>
        <rFont val="Arial"/>
        <family val="2"/>
      </rPr>
      <t>emissions from the use of NF</t>
    </r>
    <r>
      <rPr>
        <vertAlign val="subscript"/>
        <sz val="10"/>
        <color theme="1"/>
        <rFont val="Arial"/>
        <family val="2"/>
      </rPr>
      <t>3</t>
    </r>
    <r>
      <rPr>
        <sz val="10"/>
        <color theme="1"/>
        <rFont val="Arial"/>
        <family val="2"/>
      </rPr>
      <t xml:space="preserve">. </t>
    </r>
  </si>
  <si>
    <t>Table A9-5: 2013 GHG Emission Summary for Canada</t>
  </si>
  <si>
    <t>Table A9-6: 2012 GHG Emission Summary for Canada</t>
  </si>
  <si>
    <t>Table A9-7: 2011 GHG Emission Summary for Canada</t>
  </si>
  <si>
    <t>Table A9-8: 2010 GHG Emission Summary for Canada</t>
  </si>
  <si>
    <t>Table A9-9: 2009 GHG Emission Summary for Canada</t>
  </si>
  <si>
    <t>Table A9-10: 2008 GHG Emission Summary for Canada</t>
  </si>
  <si>
    <t>Table A9-11: 2007 GHG Emission Summary for Canada</t>
  </si>
  <si>
    <t>Table A9-12: 2006 GHG Emission Summary for Canada</t>
  </si>
  <si>
    <t>Table A9-13: 2005 GHG Emission Summary for Canada</t>
  </si>
  <si>
    <t>Table A9-14: 2004 GHG Emission Summary for Canada</t>
  </si>
  <si>
    <t>Table A9-15: 2003 GHG Emission Summary for Canada</t>
  </si>
  <si>
    <t>Table A9-16: 2002 GHG Emission Summary for Canada</t>
  </si>
  <si>
    <t>Table A9-17: 2001 GHG Emission Summary for Canada</t>
  </si>
  <si>
    <t>Table A9-18: 2000 GHG Emission Summary for Canada</t>
  </si>
  <si>
    <t>Table A9-19: 1999 GHG Emission Summary for Canada</t>
  </si>
  <si>
    <t>Table A9-20: 1998 GHG Emission Summary for Canada</t>
  </si>
  <si>
    <t>Table A9-21: 1997 GHG Emission Summary for Canada</t>
  </si>
  <si>
    <t>Table A9-22: 1996 GHG Emission Summary for Canada</t>
  </si>
  <si>
    <t>Table A9-23: 1995 GHG Emission Summary for Canada</t>
  </si>
  <si>
    <t>Table A9-24: 1994 GHG Emission Summary for Canada</t>
  </si>
  <si>
    <t>Table A9-25: 1993 GHG Emission Summary for Canada</t>
  </si>
  <si>
    <t>Table A9-26: 1992 GHG Emission Summary for Canada</t>
  </si>
  <si>
    <t>Table A9-27: 1991 GHG Emission Summary for Canada</t>
  </si>
  <si>
    <t>Table A9-28: 1990 GHG Emission Summary for Canada</t>
  </si>
  <si>
    <t>Other Industries</t>
  </si>
  <si>
    <r>
      <t>Table A12 Heavy Industry: Emissions by Subsector (Mt CO</t>
    </r>
    <r>
      <rPr>
        <b/>
        <sz val="12.1"/>
        <color rgb="FF333333"/>
        <rFont val="Calibri"/>
        <family val="2"/>
        <scheme val="minor"/>
      </rPr>
      <t> </t>
    </r>
    <r>
      <rPr>
        <b/>
        <sz val="6"/>
        <color rgb="FF333333"/>
        <rFont val="Calibri"/>
        <family val="2"/>
        <scheme val="minor"/>
      </rPr>
      <t>2</t>
    </r>
    <r>
      <rPr>
        <sz val="11"/>
        <color theme="1"/>
        <rFont val="Calibri"/>
        <family val="2"/>
        <scheme val="minor"/>
      </rPr>
      <t> eq)</t>
    </r>
  </si>
  <si>
    <t>Change</t>
  </si>
  <si>
    <t>2005 to 2020</t>
  </si>
  <si>
    <t>2005 to 2030</t>
  </si>
  <si>
    <t>Smelting and Refining (Non-ferrous metals)</t>
  </si>
  <si>
    <t>Lime and Gypsum</t>
  </si>
  <si>
    <t>Chemicals and Fertilizers</t>
  </si>
  <si>
    <t>Future CO2 Emissions (kt CO2)</t>
  </si>
  <si>
    <t>https://www.canada.ca/en/environment-climate-change/services/climate-change/publications/2016-greenhouse-gas-emissions-case/chapter-2.html#tab12</t>
  </si>
  <si>
    <t>N2O emissions domestic wastewater</t>
  </si>
  <si>
    <t>CH4 emisisons from domestic wastewater</t>
  </si>
  <si>
    <t>N2O emissions from landfills</t>
  </si>
  <si>
    <t>CH4 emissions from industrial wastewater</t>
  </si>
  <si>
    <t>CH4 emissions from landfills</t>
  </si>
  <si>
    <t>Agriculture, CO2</t>
  </si>
  <si>
    <t xml:space="preserve">   High GWP emissions from other processes</t>
  </si>
  <si>
    <t>Environment and Climate Change Canada</t>
  </si>
  <si>
    <t>A-Tables-IPCC-Sector-Canada</t>
  </si>
  <si>
    <t>http://donnees.ec.gc.ca/data/substances/monitor/national-and-provincial-territorial-greenhouse-gas-emission-tables/A-Tables-IPCC-Sector-Canada/?lang=en</t>
  </si>
  <si>
    <t>All years</t>
  </si>
  <si>
    <t>Livestock</t>
  </si>
  <si>
    <t>UNFCCC</t>
  </si>
  <si>
    <t>2017 Annex I Party GHG Inventory Submissions</t>
  </si>
  <si>
    <t>http://unfccc.int/files/national_reports/annex_i_ghg_inventories/national_inventories_submissions/application/zip/can-2017-crf-13apr17.zip</t>
  </si>
  <si>
    <t>Future projections of population, GDP, and resource production and demand</t>
  </si>
  <si>
    <t>National Energy Board</t>
  </si>
  <si>
    <t>Canada’s Energy Future 2016: Energy Supply and Demand Projections to 2040</t>
  </si>
  <si>
    <t>https://apps.neb-one.gc.ca/ftrppndc/dflt.aspx?GoCTemplateCulture=en-CA</t>
  </si>
  <si>
    <t>Macro Indicators, End-Use Demand, Crude Oil Production, Refinery Balances, Natural Gas Production, and Coal Supply and Demand</t>
  </si>
  <si>
    <t>Short-term emissions projections for specific sectors</t>
  </si>
  <si>
    <t>Canada's 2016 greenhouse gas emissions reference case</t>
  </si>
  <si>
    <t>Canada Gazette</t>
  </si>
  <si>
    <t>Vol. 151, No. 21 — October 18, 2017: Regulations Amending the Ozone-depleting Substances and Halocarbon Alternatives Regulations</t>
  </si>
  <si>
    <t>http://www.gazette.gc.ca/rp-pr/p2/2017/2017-10-18/html/sor-dors216-eng.html#footnoteRef.59622</t>
  </si>
  <si>
    <t>ODS emissions forecast</t>
  </si>
  <si>
    <t>Food and Agriculture Organization</t>
  </si>
  <si>
    <t>FAOSTAT</t>
  </si>
  <si>
    <t>http://www.fao.org/faostat/en/#data/QL</t>
  </si>
  <si>
    <t>Historical Animal Populations and Crop Production</t>
  </si>
  <si>
    <t>Projected Animal Population Growth</t>
  </si>
  <si>
    <t>Sulser et al</t>
  </si>
  <si>
    <t>Extended Results from the International Model for Policy Analysis of Agricultural Commodities and Trade (IMPACT version 3.2.1) </t>
  </si>
  <si>
    <t>https://dataverse.harvard.edu/dataset.xhtml?persistentId=doi:10.7910/DVN/XEZXT4</t>
  </si>
  <si>
    <t>Historical Synthetic Fertilizer Use</t>
  </si>
  <si>
    <t>International Fertilizer Association</t>
  </si>
  <si>
    <t>IFADATA</t>
  </si>
  <si>
    <t>Projected Fertilizer Use</t>
  </si>
  <si>
    <t>Tenkorang and Lowenberg-DeBoer</t>
  </si>
  <si>
    <t>Forecasting long-term global fertilizer demand</t>
  </si>
  <si>
    <t>Table 3</t>
  </si>
  <si>
    <t>https://link.springer.com/article/10.1007/s10705-008-9214-y</t>
  </si>
  <si>
    <t>Projected Crop Production and Area Harvested</t>
  </si>
  <si>
    <t>Food and Agriculture Policy Research Institute</t>
  </si>
  <si>
    <t>FAPRI-ISU 2012 World Agricultural Outlook</t>
  </si>
  <si>
    <t>http://www.fapri.iastate.edu/outlook/2012/</t>
  </si>
  <si>
    <t>Food Grains, Feed Grains, and Oilseeds</t>
  </si>
  <si>
    <t>Historical emissions are scaled based on past 10 year trend. For declining industries, LOGEST function is used based on EPA methodology</t>
  </si>
  <si>
    <t>Emissions from coal mining are based on the the base year emissions value and forecasted domestic coal production,</t>
  </si>
  <si>
    <t>For years lacking projection data (often 2041-2050), we use extrapolate a linear trend of data from 2031 to 2040.</t>
  </si>
  <si>
    <t>Emissions from natural gas systems are calculated by scaling base year emissions by forecasted domestic production of natural gas.</t>
  </si>
  <si>
    <t>Emissions from petroleum systems are calculated based on base year emissions and forecasted crude oil prodcution and refining.</t>
  </si>
  <si>
    <t>Emissions from cement production are forecast based on base year emissions and the forecasted emissions trend from Canada's GHG emissions forecast.</t>
  </si>
  <si>
    <t>No emissions</t>
  </si>
  <si>
    <t>Emissoins from iron and steel production and calculated based on base year emissions and forecasted demand for metallurgical coal, a primary input generally used in other industries.</t>
  </si>
  <si>
    <t>Emissions are forecasted based on base year emissions and average annual growth rate of 2.5%</t>
  </si>
  <si>
    <t>EPA (2013)</t>
  </si>
  <si>
    <t>Emissions are forecasted using the Canadian government's forecast of ODS emissions to meet requirements under the Kigali Amendment to the Montreal Protocol.</t>
  </si>
  <si>
    <t>Emissions are calculated based on forecast GDP growth.</t>
  </si>
  <si>
    <t>Emissions are calculated based on base year emissions by animal type and forecast growth in animal populations.</t>
  </si>
  <si>
    <t>Emissions are calculated based on base year emissions by animal type and forecast growth in nitrogen availability from growing animal populations.</t>
  </si>
  <si>
    <t>Emissions are calculated sperately for five different soil management categories: fertilizer use, crop production, other direct emissions, and indirect emissions. For fertilizer use, emissions grow based on forecast growth in fertilizer use and base year emissions.
For nitrogen from crop residues, emissions are calculated by scaling base year emissions by forecaste growth in crop residues.
For other emissions and indirect emissions, are scaled based on the average growth rate in emissions from fertilizer use and crop production.</t>
  </si>
  <si>
    <t>Landfill emissions are calculated based on population growth and base year emissions.</t>
  </si>
  <si>
    <t>Emissions from domestic wastewater treatment are calculated based on base year emissions and forecasted population growth. Industrial wastewater emissions are calculated by extrapolating the trend in emissions from the previous 5 years.</t>
  </si>
  <si>
    <t>These industrial processes do not have source specific methodologies. For all processes future emissions were projected based on a linear extrpoloation of historical 2006-2015 trends for increasing emissions and through exponential extrapolation for decreasing trends, in accordance with the methdology from EPA (2013).</t>
  </si>
  <si>
    <t>All historical emissions, except livestock</t>
  </si>
  <si>
    <t>Kigali</t>
  </si>
  <si>
    <t>No kigali</t>
  </si>
  <si>
    <t>leakage rate calculated from data</t>
  </si>
  <si>
    <t>more realistic leakage rate (see rationale and sources below)</t>
  </si>
  <si>
    <t>Rationale and sources justifying a 2% leakage rate</t>
  </si>
  <si>
    <t>Many academic papers have looked into empirical methane emissions from the oil and gas sector, and all agree to say that official data significantly underestimate actual methane emissions.</t>
  </si>
  <si>
    <t>Matthew Johnson’s study showing 90% of methane being unmeasured/unreported in Red Deer area (NG and light oil production). https://pubs.acs.org/doi/pdf/10.1021/acs.est.7b03525</t>
  </si>
  <si>
    <t>90% -  Daniel Zavala-Araizaa et al, “Reconciling divergent estimates of oil and gas methane emissions,” Proceedings of the National Academy of Sciences, 112 (2015). http://www.pnas.org/content/112/51/15597.full.pdf</t>
  </si>
  <si>
    <t>43% (calculated, 111,800 tonnes from extrapolation versus 78,000 tonnes reported in BC) - Emmaline Atherton, et al., “Mobile measurement of methane emissions from natural gas developments in Northeastern British Columbia, Canada,” Atmospheric Chemistry and Physics Discussions, 2017. http://www.atmos-chem-phys-discuss.net/acp-2017-109/acp-2017-109.pdf</t>
  </si>
  <si>
    <t>60% Environmental Defence - http://environmentaldefence.ca/report/canadas-methane-gas-problem/ (Uses results from Greenpath Energy Ltd, “Greenpath 2016 Alberta fugitive and vented emissions inventory study,” 2016. http://www.greenpathenergy.com/wp-content/uploads/2017/03/GreenPath-AER-Field-Survey-Results_March8_Final_JG.pdf   )</t>
  </si>
  <si>
    <t>List of papers:</t>
  </si>
  <si>
    <t>Although the range of underestimating the leakage varies between 43% and 430%, it is arbitrarily decided to establish the leakage rate to 2% in the model.</t>
  </si>
  <si>
    <t>It's must be noted that the leakage rate serves to calculate the maximum potential methane emission reductions in the model.</t>
  </si>
  <si>
    <t>Study that suggests a 3.3% leakage rate in AB (see slide 7). https://carleton.ca/methanesymposium/wp-content/uploads/2-Zavala-MethaneSymposium.pdf</t>
  </si>
  <si>
    <t>The 2% leakage rate can also be considered as conservative as the model does not seem to account for methane emissions occuring with oilsands, heavy oil or tight oil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</si>
</sst>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0.0"/>
    <numFmt numFmtId="165" formatCode="###0;###0"/>
    <numFmt numFmtId="166" formatCode="#,##0.0"/>
    <numFmt numFmtId="167" formatCode="0.0"/>
    <numFmt numFmtId="168" formatCode="0.0000"/>
    <numFmt numFmtId="170" formatCode="0.00000"/>
    <numFmt numFmtId="171" formatCode="0.000E+00"/>
    <numFmt numFmtId="172" formatCode="_-* #,##0_-;\-* #,##0_-;_-* &quot;-&quot;??_-;_-@_-"/>
    <numFmt numFmtId="173" formatCode="#,##0;\-#,##0;\-\ "/>
  </numFmts>
  <fonts count="77" x14ac:knownFonts="1">
    <font>
      <sz val="11"/>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b/>
      <sz val="9"/>
      <name val="Times New Roman"/>
      <family val="1"/>
    </font>
    <font>
      <b/>
      <sz val="9"/>
      <color rgb="FF000000"/>
      <name val="Times New Roman"/>
      <family val="2"/>
    </font>
    <font>
      <sz val="9"/>
      <name val="Times New Roman"/>
      <family val="1"/>
    </font>
    <font>
      <sz val="11"/>
      <color theme="1"/>
      <name val="Calibri"/>
      <family val="2"/>
      <scheme val="minor"/>
    </font>
    <font>
      <i/>
      <sz val="11"/>
      <color theme="1"/>
      <name val="Calibri"/>
      <family val="2"/>
      <scheme val="minor"/>
    </font>
    <font>
      <sz val="10"/>
      <name val="Arial"/>
      <family val="2"/>
    </font>
    <font>
      <sz val="11"/>
      <color rgb="FFFF0000"/>
      <name val="Calibri"/>
      <family val="2"/>
      <scheme val="minor"/>
    </font>
    <font>
      <sz val="11"/>
      <name val="Calibri"/>
      <family val="2"/>
      <scheme val="minor"/>
    </font>
    <font>
      <sz val="12"/>
      <color theme="1"/>
      <name val="Calibri"/>
      <family val="2"/>
      <scheme val="minor"/>
    </font>
    <font>
      <sz val="11"/>
      <color theme="1"/>
      <name val="Calibri"/>
      <family val="2"/>
    </font>
    <font>
      <b/>
      <sz val="11"/>
      <color theme="1"/>
      <name val="Calibri"/>
      <family val="2"/>
    </font>
    <font>
      <sz val="11"/>
      <color rgb="FF000000"/>
      <name val="Calibri"/>
      <family val="2"/>
      <scheme val="minor"/>
    </font>
    <font>
      <u/>
      <sz val="11"/>
      <color theme="1"/>
      <name val="Calibri"/>
      <family val="2"/>
    </font>
    <font>
      <i/>
      <sz val="11"/>
      <color theme="1"/>
      <name val="Calibri"/>
      <family val="2"/>
    </font>
    <font>
      <i/>
      <sz val="11"/>
      <name val="Calibri"/>
      <family val="2"/>
    </font>
    <font>
      <sz val="11"/>
      <name val="Calibri"/>
      <family val="2"/>
    </font>
    <font>
      <u/>
      <sz val="11"/>
      <color theme="1"/>
      <name val="Calibri"/>
      <family val="2"/>
      <scheme val="minor"/>
    </font>
    <font>
      <u/>
      <sz val="10"/>
      <color indexed="12"/>
      <name val="Arial"/>
      <family val="2"/>
    </font>
    <font>
      <b/>
      <sz val="11"/>
      <name val="Calibri"/>
      <family val="2"/>
      <scheme val="minor"/>
    </font>
    <font>
      <i/>
      <sz val="9"/>
      <name val="Times New Roman"/>
      <family val="1"/>
    </font>
    <font>
      <sz val="11"/>
      <color rgb="FF000000"/>
      <name val="Calibri"/>
      <family val="2"/>
    </font>
    <font>
      <b/>
      <sz val="14"/>
      <color rgb="FF000000"/>
      <name val="Calibri"/>
      <family val="2"/>
    </font>
    <font>
      <b/>
      <sz val="16"/>
      <color rgb="FF000000"/>
      <name val="Calibri"/>
      <family val="2"/>
    </font>
    <font>
      <b/>
      <sz val="14"/>
      <name val="Arial"/>
      <family val="2"/>
    </font>
    <font>
      <b/>
      <sz val="8"/>
      <name val="Arial"/>
      <family val="2"/>
    </font>
    <font>
      <sz val="8"/>
      <color indexed="8"/>
      <name val="Arial"/>
      <family val="2"/>
    </font>
    <font>
      <sz val="14"/>
      <name val="Arial"/>
      <family val="2"/>
    </font>
    <font>
      <b/>
      <sz val="12"/>
      <name val="Times New Roman"/>
      <family val="1"/>
    </font>
    <font>
      <sz val="9"/>
      <color indexed="8"/>
      <name val="Times New Roman"/>
      <family val="1"/>
    </font>
    <font>
      <sz val="12"/>
      <name val="Times New Roman"/>
      <family val="1"/>
    </font>
    <font>
      <b/>
      <i/>
      <sz val="9"/>
      <name val="Times New Roman"/>
      <family val="1"/>
    </font>
    <font>
      <b/>
      <vertAlign val="superscript"/>
      <sz val="9"/>
      <name val="Times New Roman"/>
      <family val="1"/>
    </font>
    <font>
      <vertAlign val="superscript"/>
      <sz val="9"/>
      <name val="Times New Roman"/>
      <family val="1"/>
    </font>
    <font>
      <vertAlign val="subscript"/>
      <sz val="9"/>
      <name val="Times New Roman"/>
      <family val="1"/>
    </font>
    <font>
      <b/>
      <vertAlign val="subscript"/>
      <sz val="9"/>
      <name val="Times New Roman"/>
      <family val="1"/>
    </font>
    <font>
      <b/>
      <vertAlign val="subscript"/>
      <sz val="12"/>
      <name val="Times New Roman"/>
      <family val="1"/>
    </font>
    <font>
      <sz val="12"/>
      <color theme="1"/>
      <name val="Arial"/>
      <family val="2"/>
    </font>
    <font>
      <b/>
      <sz val="11"/>
      <name val="Arial"/>
      <family val="2"/>
    </font>
    <font>
      <sz val="11"/>
      <name val="Arial"/>
      <family val="2"/>
    </font>
    <font>
      <b/>
      <sz val="10"/>
      <color indexed="8"/>
      <name val="Arial"/>
      <family val="2"/>
    </font>
    <font>
      <b/>
      <vertAlign val="subscript"/>
      <sz val="10"/>
      <color indexed="8"/>
      <name val="Arial"/>
      <family val="2"/>
    </font>
    <font>
      <b/>
      <sz val="10"/>
      <name val="Arial"/>
      <family val="2"/>
    </font>
    <font>
      <b/>
      <vertAlign val="superscript"/>
      <sz val="10"/>
      <name val="Arial"/>
      <family val="2"/>
    </font>
    <font>
      <b/>
      <vertAlign val="subscript"/>
      <sz val="10"/>
      <name val="Arial"/>
      <family val="2"/>
    </font>
    <font>
      <i/>
      <sz val="10"/>
      <color indexed="8"/>
      <name val="Arial"/>
      <family val="2"/>
    </font>
    <font>
      <i/>
      <sz val="8"/>
      <color indexed="8"/>
      <name val="Arial"/>
      <family val="2"/>
    </font>
    <font>
      <i/>
      <sz val="10"/>
      <name val="Arial"/>
      <family val="2"/>
    </font>
    <font>
      <vertAlign val="subscript"/>
      <sz val="8"/>
      <color indexed="8"/>
      <name val="Arial"/>
      <family val="2"/>
    </font>
    <font>
      <b/>
      <sz val="11"/>
      <color rgb="FF000080"/>
      <name val="Arial"/>
      <family val="2"/>
    </font>
    <font>
      <b/>
      <vertAlign val="superscript"/>
      <sz val="11"/>
      <color rgb="FF000080"/>
      <name val="Arial"/>
      <family val="2"/>
    </font>
    <font>
      <sz val="11"/>
      <color indexed="18"/>
      <name val="Arial"/>
      <family val="2"/>
    </font>
    <font>
      <sz val="11"/>
      <color theme="1"/>
      <name val="Arial"/>
      <family val="2"/>
    </font>
    <font>
      <b/>
      <sz val="10"/>
      <color indexed="18"/>
      <name val="Arial"/>
      <family val="2"/>
    </font>
    <font>
      <sz val="10"/>
      <color indexed="18"/>
      <name val="Arial"/>
      <family val="2"/>
    </font>
    <font>
      <b/>
      <sz val="10"/>
      <color rgb="FF000080"/>
      <name val="Arial"/>
      <family val="2"/>
    </font>
    <font>
      <b/>
      <sz val="10"/>
      <color theme="1"/>
      <name val="Arial"/>
      <family val="2"/>
    </font>
    <font>
      <sz val="9"/>
      <name val="Arial"/>
      <family val="2"/>
    </font>
    <font>
      <sz val="10"/>
      <color theme="1"/>
      <name val="Arial"/>
      <family val="2"/>
    </font>
    <font>
      <sz val="9"/>
      <color theme="1"/>
      <name val="Arial"/>
      <family val="2"/>
    </font>
    <font>
      <sz val="10"/>
      <color indexed="12"/>
      <name val="Arial"/>
      <family val="2"/>
    </font>
    <font>
      <sz val="9"/>
      <color indexed="10"/>
      <name val="Arial"/>
      <family val="2"/>
    </font>
    <font>
      <vertAlign val="subscript"/>
      <sz val="9"/>
      <name val="Arial"/>
      <family val="2"/>
    </font>
    <font>
      <vertAlign val="subscript"/>
      <sz val="10"/>
      <color theme="1"/>
      <name val="Arial"/>
      <family val="2"/>
    </font>
    <font>
      <u/>
      <sz val="10"/>
      <color theme="10"/>
      <name val="MS Sans Serif"/>
      <family val="2"/>
    </font>
    <font>
      <i/>
      <sz val="11"/>
      <name val="Calibri"/>
      <family val="2"/>
      <scheme val="minor"/>
    </font>
    <font>
      <b/>
      <sz val="12.1"/>
      <color rgb="FF333333"/>
      <name val="Calibri"/>
      <family val="2"/>
      <scheme val="minor"/>
    </font>
    <font>
      <b/>
      <sz val="6"/>
      <color rgb="FF333333"/>
      <name val="Calibri"/>
      <family val="2"/>
      <scheme val="minor"/>
    </font>
    <font>
      <b/>
      <sz val="7"/>
      <color rgb="FF333333"/>
      <name val="Arial"/>
      <family val="2"/>
    </font>
    <font>
      <sz val="7"/>
      <color rgb="FF333333"/>
      <name val="Arial"/>
      <family val="2"/>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9"/>
        <bgColor indexed="64"/>
      </patternFill>
    </fill>
    <fill>
      <patternFill patternType="solid">
        <fgColor rgb="FFFFCC99"/>
      </patternFill>
    </fill>
    <fill>
      <patternFill patternType="solid">
        <fgColor rgb="FFFFFFFF"/>
      </patternFill>
    </fill>
    <fill>
      <patternFill patternType="solid">
        <fgColor rgb="FFCCFFCC"/>
      </patternFill>
    </fill>
    <fill>
      <patternFill patternType="solid">
        <fgColor theme="9"/>
        <bgColor indexed="64"/>
      </patternFill>
    </fill>
    <fill>
      <patternFill patternType="solid">
        <fgColor indexed="42"/>
        <bgColor indexed="64"/>
      </patternFill>
    </fill>
    <fill>
      <patternFill patternType="solid">
        <fgColor indexed="47"/>
        <bgColor indexed="64"/>
      </patternFill>
    </fill>
    <fill>
      <patternFill patternType="solid">
        <fgColor rgb="FF969696"/>
      </patternFill>
    </fill>
    <fill>
      <patternFill patternType="solid">
        <fgColor indexed="55"/>
        <bgColor indexed="64"/>
      </patternFill>
    </fill>
    <fill>
      <patternFill patternType="solid">
        <fgColor rgb="FFF9F9F9"/>
        <bgColor indexed="64"/>
      </patternFill>
    </fill>
  </fills>
  <borders count="39">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top/>
      <bottom style="thick">
        <color indexed="22"/>
      </bottom>
      <diagonal/>
    </border>
    <border>
      <left/>
      <right/>
      <top/>
      <bottom style="thin">
        <color indexed="8"/>
      </bottom>
      <diagonal/>
    </border>
    <border>
      <left style="thin">
        <color auto="1"/>
      </left>
      <right style="thin">
        <color auto="1"/>
      </right>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bottom style="medium">
        <color auto="1"/>
      </bottom>
      <diagonal/>
    </border>
    <border>
      <left/>
      <right/>
      <top style="medium">
        <color auto="1"/>
      </top>
      <bottom/>
      <diagonal/>
    </border>
    <border>
      <left style="thin">
        <color auto="1"/>
      </left>
      <right style="thin">
        <color auto="1"/>
      </right>
      <top style="double">
        <color auto="1"/>
      </top>
      <bottom/>
      <diagonal/>
    </border>
    <border>
      <left/>
      <right style="thin">
        <color auto="1"/>
      </right>
      <top/>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bottom/>
      <diagonal/>
    </border>
    <border>
      <left/>
      <right/>
      <top/>
      <bottom style="double">
        <color indexed="18"/>
      </bottom>
      <diagonal/>
    </border>
    <border>
      <left/>
      <right/>
      <top/>
      <bottom style="thin">
        <color rgb="FF000080"/>
      </bottom>
      <diagonal/>
    </border>
    <border>
      <left/>
      <right/>
      <top style="thin">
        <color rgb="FF000080"/>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right/>
      <top/>
      <bottom style="medium">
        <color rgb="FFDDDDDD"/>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7" fillId="0" borderId="0" applyNumberFormat="0" applyProtection="0">
      <alignment horizontal="left"/>
    </xf>
    <xf numFmtId="0" fontId="4" fillId="0" borderId="2" applyNumberFormat="0" applyProtection="0">
      <alignment wrapText="1"/>
    </xf>
    <xf numFmtId="0" fontId="3" fillId="0" borderId="3" applyNumberFormat="0" applyFont="0" applyProtection="0">
      <alignment wrapText="1"/>
    </xf>
    <xf numFmtId="0" fontId="3" fillId="0" borderId="4" applyNumberFormat="0" applyProtection="0">
      <alignment wrapText="1"/>
    </xf>
    <xf numFmtId="9" fontId="11" fillId="0" borderId="0" applyFont="0" applyFill="0" applyBorder="0" applyAlignment="0" applyProtection="0"/>
    <xf numFmtId="0" fontId="13" fillId="0" borderId="0"/>
    <xf numFmtId="0" fontId="13" fillId="0" borderId="0" applyNumberFormat="0" applyFont="0" applyFill="0" applyBorder="0" applyProtection="0">
      <alignment horizontal="left" vertical="center" indent="2"/>
    </xf>
    <xf numFmtId="0" fontId="10" fillId="0" borderId="0"/>
    <xf numFmtId="0" fontId="16" fillId="0" borderId="0"/>
    <xf numFmtId="0" fontId="3" fillId="0" borderId="0"/>
    <xf numFmtId="0" fontId="25" fillId="0" borderId="0" applyNumberFormat="0" applyFill="0" applyBorder="0" applyAlignment="0" applyProtection="0"/>
    <xf numFmtId="43" fontId="11" fillId="0" borderId="0" applyFont="0" applyFill="0" applyBorder="0" applyAlignment="0" applyProtection="0"/>
    <xf numFmtId="0" fontId="28" fillId="0" borderId="0" applyBorder="0"/>
    <xf numFmtId="0" fontId="35" fillId="0" borderId="0" applyNumberFormat="0" applyFill="0" applyBorder="0" applyAlignment="0" applyProtection="0"/>
    <xf numFmtId="0" fontId="36" fillId="0" borderId="0" applyNumberFormat="0">
      <alignment horizontal="right"/>
    </xf>
    <xf numFmtId="0" fontId="13" fillId="0" borderId="25"/>
    <xf numFmtId="0" fontId="13" fillId="14" borderId="0" applyNumberFormat="0" applyFont="0" applyBorder="0" applyAlignment="0" applyProtection="0"/>
    <xf numFmtId="0" fontId="8" fillId="0" borderId="0" applyNumberFormat="0" applyFill="0" applyBorder="0" applyProtection="0">
      <alignment horizontal="left" vertical="center"/>
    </xf>
    <xf numFmtId="0" fontId="13" fillId="0" borderId="26"/>
    <xf numFmtId="0" fontId="13" fillId="0" borderId="0" applyNumberFormat="0" applyFont="0" applyFill="0" applyBorder="0" applyProtection="0">
      <alignment horizontal="left" vertical="center" indent="5"/>
    </xf>
    <xf numFmtId="4" fontId="10" fillId="0" borderId="0"/>
    <xf numFmtId="0" fontId="44" fillId="0" borderId="0"/>
    <xf numFmtId="0" fontId="13" fillId="0" borderId="0"/>
    <xf numFmtId="43" fontId="13" fillId="0" borderId="0" applyFont="0" applyFill="0" applyBorder="0" applyAlignment="0" applyProtection="0"/>
    <xf numFmtId="0" fontId="13" fillId="0" borderId="0"/>
    <xf numFmtId="0" fontId="13" fillId="0" borderId="0"/>
    <xf numFmtId="0" fontId="71" fillId="0" borderId="0" applyNumberFormat="0" applyFill="0" applyBorder="0" applyAlignment="0" applyProtection="0"/>
  </cellStyleXfs>
  <cellXfs count="344">
    <xf numFmtId="0" fontId="0" fillId="0" borderId="0" xfId="0"/>
    <xf numFmtId="1" fontId="0" fillId="0" borderId="0" xfId="0" applyNumberFormat="1"/>
    <xf numFmtId="0" fontId="2" fillId="0" borderId="0" xfId="1"/>
    <xf numFmtId="0" fontId="6" fillId="0" borderId="0" xfId="0" applyFont="1"/>
    <xf numFmtId="165" fontId="9" fillId="0" borderId="5" xfId="0" applyNumberFormat="1" applyFont="1" applyFill="1" applyBorder="1" applyAlignment="1">
      <alignment horizontal="left" vertical="top" wrapText="1"/>
    </xf>
    <xf numFmtId="0" fontId="1" fillId="0" borderId="0" xfId="0" applyFont="1"/>
    <xf numFmtId="0" fontId="1" fillId="3" borderId="0" xfId="0" applyFont="1" applyFill="1"/>
    <xf numFmtId="0" fontId="0" fillId="3" borderId="0" xfId="0" applyFill="1"/>
    <xf numFmtId="0" fontId="0" fillId="0" borderId="0" xfId="0" applyAlignment="1"/>
    <xf numFmtId="0" fontId="0" fillId="0" borderId="0" xfId="0" applyFont="1"/>
    <xf numFmtId="3" fontId="0" fillId="0" borderId="0" xfId="0" applyNumberFormat="1"/>
    <xf numFmtId="11" fontId="0" fillId="0" borderId="0" xfId="0" applyNumberFormat="1"/>
    <xf numFmtId="167" fontId="0" fillId="0" borderId="0" xfId="0" applyNumberFormat="1"/>
    <xf numFmtId="3" fontId="1" fillId="3" borderId="0" xfId="0" applyNumberFormat="1" applyFont="1" applyFill="1"/>
    <xf numFmtId="3" fontId="0" fillId="3" borderId="0" xfId="0" applyNumberFormat="1" applyFill="1"/>
    <xf numFmtId="0" fontId="0" fillId="0" borderId="0" xfId="0" applyNumberFormat="1"/>
    <xf numFmtId="0" fontId="12" fillId="0" borderId="0" xfId="0" applyNumberFormat="1" applyFont="1"/>
    <xf numFmtId="0" fontId="1" fillId="4" borderId="0" xfId="0" applyFont="1" applyFill="1"/>
    <xf numFmtId="0" fontId="1" fillId="3" borderId="0" xfId="0" applyFont="1" applyFill="1" applyAlignment="1"/>
    <xf numFmtId="0" fontId="1" fillId="4" borderId="0" xfId="0" applyFont="1" applyFill="1" applyAlignment="1"/>
    <xf numFmtId="0" fontId="0" fillId="0" borderId="0" xfId="0" applyAlignment="1">
      <alignment horizontal="left"/>
    </xf>
    <xf numFmtId="164" fontId="0" fillId="0" borderId="0" xfId="0" applyNumberFormat="1"/>
    <xf numFmtId="168" fontId="0" fillId="0" borderId="0" xfId="0" applyNumberFormat="1"/>
    <xf numFmtId="2" fontId="0" fillId="0" borderId="0" xfId="0" applyNumberFormat="1"/>
    <xf numFmtId="0" fontId="14" fillId="0" borderId="0" xfId="0" applyFont="1"/>
    <xf numFmtId="0" fontId="15" fillId="0" borderId="0" xfId="0" applyFont="1"/>
    <xf numFmtId="0" fontId="11" fillId="0" borderId="0" xfId="12" applyFont="1"/>
    <xf numFmtId="0" fontId="1" fillId="5" borderId="0" xfId="12" applyFont="1" applyFill="1"/>
    <xf numFmtId="0" fontId="11" fillId="0" borderId="0" xfId="12" applyFont="1" applyAlignment="1">
      <alignment horizontal="left"/>
    </xf>
    <xf numFmtId="0" fontId="17" fillId="3" borderId="0" xfId="12" applyFont="1" applyFill="1"/>
    <xf numFmtId="0" fontId="18" fillId="3" borderId="0" xfId="12" applyFont="1" applyFill="1" applyAlignment="1">
      <alignment horizontal="left"/>
    </xf>
    <xf numFmtId="0" fontId="18" fillId="0" borderId="0" xfId="12" applyFont="1" applyFill="1" applyBorder="1"/>
    <xf numFmtId="0" fontId="19" fillId="0" borderId="0" xfId="12" applyFont="1" applyAlignment="1">
      <alignment horizontal="left"/>
    </xf>
    <xf numFmtId="0" fontId="20" fillId="0" borderId="0" xfId="12" applyFont="1" applyFill="1" applyBorder="1"/>
    <xf numFmtId="0" fontId="17" fillId="0" borderId="0" xfId="12" quotePrefix="1" applyFont="1" applyAlignment="1">
      <alignment horizontal="left"/>
    </xf>
    <xf numFmtId="167" fontId="17" fillId="0" borderId="0" xfId="12" quotePrefix="1" applyNumberFormat="1" applyFont="1" applyAlignment="1">
      <alignment horizontal="left"/>
    </xf>
    <xf numFmtId="0" fontId="17" fillId="0" borderId="0" xfId="12" applyFont="1" applyAlignment="1">
      <alignment horizontal="left"/>
    </xf>
    <xf numFmtId="167" fontId="17" fillId="0" borderId="0" xfId="12" applyNumberFormat="1" applyFont="1" applyAlignment="1">
      <alignment horizontal="left"/>
    </xf>
    <xf numFmtId="0" fontId="12" fillId="0" borderId="0" xfId="12" applyFont="1" applyFill="1" applyBorder="1" applyAlignment="1">
      <alignment horizontal="left" indent="1"/>
    </xf>
    <xf numFmtId="167" fontId="21" fillId="0" borderId="0" xfId="12" applyNumberFormat="1" applyFont="1" applyAlignment="1">
      <alignment horizontal="left"/>
    </xf>
    <xf numFmtId="0" fontId="22" fillId="0" borderId="0" xfId="12" applyFont="1" applyFill="1" applyBorder="1" applyAlignment="1">
      <alignment horizontal="left" vertical="center" indent="1"/>
    </xf>
    <xf numFmtId="0" fontId="23" fillId="0" borderId="0" xfId="12" applyFont="1" applyFill="1" applyBorder="1" applyAlignment="1">
      <alignment horizontal="left" vertical="center" indent="1"/>
    </xf>
    <xf numFmtId="0" fontId="21" fillId="0" borderId="0" xfId="12" applyFont="1" applyFill="1" applyBorder="1" applyAlignment="1">
      <alignment horizontal="left" indent="1"/>
    </xf>
    <xf numFmtId="1" fontId="21" fillId="0" borderId="0" xfId="12" applyNumberFormat="1" applyFont="1" applyAlignment="1">
      <alignment horizontal="left"/>
    </xf>
    <xf numFmtId="167" fontId="17" fillId="0" borderId="0" xfId="12" applyNumberFormat="1" applyFont="1" applyBorder="1"/>
    <xf numFmtId="167" fontId="17" fillId="0" borderId="0" xfId="12" applyNumberFormat="1" applyFont="1" applyBorder="1" applyAlignment="1">
      <alignment horizontal="left"/>
    </xf>
    <xf numFmtId="167" fontId="21" fillId="0" borderId="0" xfId="12" applyNumberFormat="1" applyFont="1" applyBorder="1" applyAlignment="1">
      <alignment horizontal="left"/>
    </xf>
    <xf numFmtId="0" fontId="24" fillId="0" borderId="0" xfId="12" applyFont="1" applyFill="1" applyBorder="1"/>
    <xf numFmtId="0" fontId="24" fillId="0" borderId="0" xfId="12" applyFont="1" applyFill="1" applyBorder="1" applyAlignment="1">
      <alignment horizontal="left"/>
    </xf>
    <xf numFmtId="0" fontId="17" fillId="0" borderId="0" xfId="12" applyFont="1" applyFill="1" applyBorder="1" applyAlignment="1">
      <alignment horizontal="left"/>
    </xf>
    <xf numFmtId="0" fontId="18" fillId="0" borderId="0" xfId="12" applyFont="1" applyFill="1" applyBorder="1" applyAlignment="1">
      <alignment horizontal="left"/>
    </xf>
    <xf numFmtId="0" fontId="20" fillId="0" borderId="0" xfId="12" applyFont="1" applyFill="1" applyBorder="1" applyAlignment="1">
      <alignment horizontal="left"/>
    </xf>
    <xf numFmtId="0" fontId="1" fillId="0" borderId="0" xfId="12" applyFont="1" applyFill="1" applyBorder="1"/>
    <xf numFmtId="167" fontId="11" fillId="0" borderId="0" xfId="12" applyNumberFormat="1" applyFont="1" applyBorder="1" applyAlignment="1">
      <alignment horizontal="left"/>
    </xf>
    <xf numFmtId="0" fontId="12" fillId="0" borderId="0" xfId="12" applyFont="1"/>
    <xf numFmtId="0" fontId="0" fillId="0" borderId="0" xfId="0" applyAlignment="1">
      <alignment horizontal="center"/>
    </xf>
    <xf numFmtId="0" fontId="21" fillId="0" borderId="0" xfId="12" applyFont="1" applyFill="1" applyBorder="1"/>
    <xf numFmtId="167" fontId="11" fillId="0" borderId="0" xfId="12" applyNumberFormat="1" applyFont="1" applyAlignment="1">
      <alignment horizontal="left"/>
    </xf>
    <xf numFmtId="167" fontId="12" fillId="0" borderId="0" xfId="12" applyNumberFormat="1" applyFont="1" applyAlignment="1">
      <alignment horizontal="left"/>
    </xf>
    <xf numFmtId="0" fontId="0" fillId="0" borderId="0" xfId="0" applyAlignment="1">
      <alignment wrapText="1"/>
    </xf>
    <xf numFmtId="0" fontId="0" fillId="4" borderId="0" xfId="0" applyFill="1"/>
    <xf numFmtId="166" fontId="0" fillId="0" borderId="0" xfId="0" applyNumberFormat="1"/>
    <xf numFmtId="0" fontId="0" fillId="0" borderId="0" xfId="0" quotePrefix="1"/>
    <xf numFmtId="0" fontId="26" fillId="3" borderId="0" xfId="0" applyFont="1" applyFill="1"/>
    <xf numFmtId="0" fontId="15" fillId="3" borderId="0" xfId="0" applyFont="1" applyFill="1"/>
    <xf numFmtId="0" fontId="2" fillId="0" borderId="0" xfId="1" applyFont="1"/>
    <xf numFmtId="0" fontId="0" fillId="3" borderId="0" xfId="0" applyFont="1" applyFill="1"/>
    <xf numFmtId="0" fontId="0" fillId="0" borderId="0" xfId="0" pivotButton="1"/>
    <xf numFmtId="167" fontId="21" fillId="0" borderId="0" xfId="12" quotePrefix="1" applyNumberFormat="1" applyFont="1" applyAlignment="1">
      <alignment horizontal="left"/>
    </xf>
    <xf numFmtId="0" fontId="21" fillId="0" borderId="0" xfId="12" applyFont="1" applyFill="1" applyBorder="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Fill="1"/>
    <xf numFmtId="170" fontId="0" fillId="0" borderId="0" xfId="0" applyNumberFormat="1"/>
    <xf numFmtId="0" fontId="10" fillId="0" borderId="0" xfId="0" applyFont="1" applyFill="1" applyBorder="1" applyAlignment="1">
      <alignment vertical="top"/>
    </xf>
    <xf numFmtId="0" fontId="10" fillId="0" borderId="0" xfId="0" applyFont="1" applyFill="1" applyBorder="1" applyAlignment="1">
      <alignment vertical="top" wrapText="1"/>
    </xf>
    <xf numFmtId="0" fontId="0" fillId="0" borderId="0" xfId="0" applyBorder="1"/>
    <xf numFmtId="2" fontId="0" fillId="0" borderId="0" xfId="0" applyNumberFormat="1" applyBorder="1"/>
    <xf numFmtId="0" fontId="28" fillId="0" borderId="0" xfId="16" applyNumberFormat="1" applyFill="1" applyAlignment="1" applyProtection="1"/>
    <xf numFmtId="0" fontId="29" fillId="0" borderId="0" xfId="16" applyNumberFormat="1" applyFont="1" applyFill="1" applyAlignment="1" applyProtection="1"/>
    <xf numFmtId="0" fontId="30" fillId="0" borderId="0" xfId="16" applyNumberFormat="1" applyFont="1" applyFill="1" applyAlignment="1" applyProtection="1"/>
    <xf numFmtId="171" fontId="0" fillId="0" borderId="0" xfId="0" applyNumberFormat="1"/>
    <xf numFmtId="4" fontId="0" fillId="0" borderId="0" xfId="0" applyNumberFormat="1"/>
    <xf numFmtId="10" fontId="1" fillId="2" borderId="18" xfId="8" applyNumberFormat="1" applyFont="1" applyFill="1" applyBorder="1"/>
    <xf numFmtId="2" fontId="10" fillId="7" borderId="7" xfId="0" applyNumberFormat="1" applyFont="1" applyFill="1" applyBorder="1" applyAlignment="1">
      <alignment horizontal="right"/>
    </xf>
    <xf numFmtId="2" fontId="10" fillId="8" borderId="7" xfId="0" applyNumberFormat="1" applyFont="1" applyFill="1" applyBorder="1" applyAlignment="1">
      <alignment horizontal="right"/>
    </xf>
    <xf numFmtId="2" fontId="10" fillId="9" borderId="7" xfId="0" applyNumberFormat="1" applyFont="1" applyFill="1" applyBorder="1" applyAlignment="1">
      <alignment horizontal="right"/>
    </xf>
    <xf numFmtId="0" fontId="0" fillId="10" borderId="0" xfId="0" applyFill="1"/>
    <xf numFmtId="0" fontId="14" fillId="0" borderId="0" xfId="0" applyFont="1" applyAlignment="1"/>
    <xf numFmtId="0" fontId="31" fillId="0" borderId="19" xfId="0" applyFont="1" applyFill="1" applyBorder="1" applyAlignment="1" applyProtection="1"/>
    <xf numFmtId="0" fontId="6" fillId="0" borderId="0" xfId="0" applyFont="1" applyFill="1"/>
    <xf numFmtId="0" fontId="6" fillId="0" borderId="0" xfId="0" applyFont="1" applyFill="1" applyBorder="1"/>
    <xf numFmtId="0" fontId="32" fillId="0" borderId="0" xfId="0" applyFont="1" applyFill="1" applyAlignment="1" applyProtection="1">
      <alignment horizontal="right"/>
    </xf>
    <xf numFmtId="0" fontId="6" fillId="0" borderId="20" xfId="0" applyFont="1" applyFill="1" applyBorder="1"/>
    <xf numFmtId="0" fontId="33" fillId="0" borderId="20" xfId="0" applyFont="1" applyFill="1" applyBorder="1" applyProtection="1"/>
    <xf numFmtId="0" fontId="6" fillId="0" borderId="0" xfId="0" applyFont="1" applyFill="1" applyBorder="1" applyAlignment="1" applyProtection="1">
      <alignment horizontal="center"/>
    </xf>
    <xf numFmtId="0" fontId="6" fillId="0" borderId="0" xfId="0" applyFont="1" applyAlignment="1"/>
    <xf numFmtId="3" fontId="6" fillId="0" borderId="0" xfId="0" applyNumberFormat="1" applyFont="1" applyFill="1" applyProtection="1"/>
    <xf numFmtId="4" fontId="6" fillId="0" borderId="0" xfId="0" applyNumberFormat="1" applyFont="1" applyFill="1" applyBorder="1" applyProtection="1"/>
    <xf numFmtId="3" fontId="6" fillId="0" borderId="0" xfId="0" applyNumberFormat="1" applyFont="1" applyFill="1" applyBorder="1" applyAlignment="1" applyProtection="1">
      <alignment horizontal="center"/>
    </xf>
    <xf numFmtId="4" fontId="6" fillId="0" borderId="0" xfId="0" applyNumberFormat="1" applyFont="1" applyFill="1" applyProtection="1"/>
    <xf numFmtId="39" fontId="6" fillId="0" borderId="0" xfId="0" applyNumberFormat="1" applyFont="1" applyFill="1" applyBorder="1" applyProtection="1"/>
    <xf numFmtId="0" fontId="6" fillId="0" borderId="0" xfId="0" applyFont="1" applyFill="1" applyAlignment="1" applyProtection="1">
      <alignment horizontal="center"/>
    </xf>
    <xf numFmtId="0" fontId="32" fillId="0" borderId="19" xfId="0" applyFont="1" applyFill="1" applyBorder="1" applyProtection="1"/>
    <xf numFmtId="0" fontId="33" fillId="0" borderId="20" xfId="0" applyFont="1" applyFill="1" applyBorder="1" applyAlignment="1" applyProtection="1">
      <alignment horizontal="right"/>
    </xf>
    <xf numFmtId="0" fontId="32" fillId="0" borderId="0" xfId="0" applyFont="1" applyFill="1"/>
    <xf numFmtId="4" fontId="6" fillId="0" borderId="0" xfId="0" applyNumberFormat="1" applyFont="1" applyFill="1" applyAlignment="1" applyProtection="1">
      <alignment horizontal="center"/>
    </xf>
    <xf numFmtId="0" fontId="6" fillId="0" borderId="0" xfId="0" applyFont="1" applyFill="1" applyAlignment="1" applyProtection="1">
      <alignment horizontal="centerContinuous"/>
    </xf>
    <xf numFmtId="37" fontId="6" fillId="0" borderId="0" xfId="0" applyNumberFormat="1" applyFont="1" applyFill="1" applyProtection="1"/>
    <xf numFmtId="0" fontId="31" fillId="0" borderId="19" xfId="0" applyFont="1" applyFill="1" applyBorder="1" applyAlignment="1" applyProtection="1">
      <alignment horizontal="left"/>
    </xf>
    <xf numFmtId="3" fontId="6" fillId="0" borderId="0" xfId="0" applyNumberFormat="1" applyFont="1" applyFill="1" applyAlignment="1" applyProtection="1">
      <alignment horizontal="center"/>
    </xf>
    <xf numFmtId="0" fontId="34" fillId="0" borderId="19" xfId="0" applyFont="1" applyFill="1" applyBorder="1" applyAlignment="1">
      <alignment horizontal="center"/>
    </xf>
    <xf numFmtId="0" fontId="31" fillId="0" borderId="19" xfId="0" applyFont="1" applyFill="1" applyBorder="1" applyProtection="1"/>
    <xf numFmtId="3" fontId="6" fillId="0" borderId="0" xfId="15" applyNumberFormat="1" applyFont="1" applyFill="1"/>
    <xf numFmtId="4" fontId="6" fillId="0" borderId="0" xfId="15" applyNumberFormat="1" applyFont="1" applyFill="1"/>
    <xf numFmtId="0" fontId="10" fillId="11" borderId="7" xfId="10" applyFont="1" applyFill="1" applyBorder="1" applyAlignment="1">
      <alignment horizontal="left" vertical="center" indent="2"/>
    </xf>
    <xf numFmtId="0" fontId="10" fillId="6" borderId="0" xfId="18" applyFont="1" applyFill="1" applyBorder="1" applyAlignment="1" applyProtection="1">
      <alignment horizontal="right"/>
    </xf>
    <xf numFmtId="0" fontId="10" fillId="6" borderId="0" xfId="9" applyFont="1" applyFill="1" applyAlignment="1"/>
    <xf numFmtId="0" fontId="35" fillId="6" borderId="0" xfId="17" applyFont="1" applyFill="1" applyAlignment="1">
      <alignment vertical="center"/>
    </xf>
    <xf numFmtId="0" fontId="37" fillId="6" borderId="0" xfId="9" applyFont="1" applyFill="1" applyAlignment="1"/>
    <xf numFmtId="0" fontId="8" fillId="12" borderId="8" xfId="11" applyFont="1" applyFill="1" applyBorder="1" applyAlignment="1" applyProtection="1">
      <alignment horizontal="center" vertical="center" wrapText="1"/>
    </xf>
    <xf numFmtId="0" fontId="8" fillId="12" borderId="14" xfId="11" applyFont="1" applyFill="1" applyBorder="1" applyAlignment="1" applyProtection="1">
      <alignment horizontal="center" vertical="center" wrapText="1"/>
    </xf>
    <xf numFmtId="2" fontId="10" fillId="13" borderId="7" xfId="0" applyNumberFormat="1" applyFont="1" applyFill="1" applyBorder="1" applyAlignment="1">
      <alignment horizontal="right"/>
    </xf>
    <xf numFmtId="0" fontId="10" fillId="6" borderId="0" xfId="19" applyNumberFormat="1" applyFont="1" applyFill="1" applyBorder="1" applyAlignment="1" applyProtection="1"/>
    <xf numFmtId="0" fontId="8" fillId="11" borderId="7" xfId="11" quotePrefix="1" applyFont="1" applyFill="1" applyBorder="1" applyAlignment="1" applyProtection="1">
      <alignment horizontal="center" vertical="center"/>
    </xf>
    <xf numFmtId="0" fontId="10" fillId="11" borderId="7" xfId="10" applyFont="1" applyFill="1" applyBorder="1" applyAlignment="1">
      <alignment horizontal="left" vertical="center"/>
    </xf>
    <xf numFmtId="0" fontId="8" fillId="11" borderId="7" xfId="21" applyFont="1" applyFill="1" applyBorder="1" applyAlignment="1" applyProtection="1">
      <alignment horizontal="left" vertical="center"/>
    </xf>
    <xf numFmtId="0" fontId="10" fillId="6" borderId="0" xfId="22" applyNumberFormat="1" applyFont="1" applyFill="1" applyBorder="1" applyAlignment="1" applyProtection="1"/>
    <xf numFmtId="0" fontId="8" fillId="12" borderId="8" xfId="11" applyFont="1" applyFill="1" applyBorder="1" applyAlignment="1">
      <alignment horizontal="center" vertical="center" wrapText="1"/>
    </xf>
    <xf numFmtId="0" fontId="10" fillId="0" borderId="0" xfId="9" applyFont="1"/>
    <xf numFmtId="0" fontId="10" fillId="6" borderId="0" xfId="11" applyFont="1" applyFill="1" applyBorder="1" applyAlignment="1">
      <alignment horizontal="right" vertical="center"/>
    </xf>
    <xf numFmtId="0" fontId="8" fillId="11" borderId="8" xfId="21" applyFont="1" applyFill="1" applyBorder="1" applyAlignment="1" applyProtection="1">
      <alignment horizontal="left" vertical="center"/>
    </xf>
    <xf numFmtId="0" fontId="8" fillId="11" borderId="10" xfId="21" applyFont="1" applyFill="1" applyBorder="1" applyAlignment="1" applyProtection="1">
      <alignment horizontal="center" vertical="center"/>
    </xf>
    <xf numFmtId="0" fontId="8" fillId="11" borderId="7" xfId="11" applyFont="1" applyFill="1" applyBorder="1" applyAlignment="1" applyProtection="1">
      <alignment horizontal="center" vertical="center"/>
    </xf>
    <xf numFmtId="0" fontId="8" fillId="11" borderId="21" xfId="21" applyFont="1" applyFill="1" applyBorder="1" applyAlignment="1" applyProtection="1">
      <alignment horizontal="left" vertical="center"/>
    </xf>
    <xf numFmtId="0" fontId="8" fillId="11" borderId="27" xfId="21" applyFont="1" applyFill="1" applyBorder="1" applyAlignment="1" applyProtection="1">
      <alignment horizontal="left" vertical="center"/>
    </xf>
    <xf numFmtId="0" fontId="38" fillId="11" borderId="7" xfId="10" applyFont="1" applyFill="1" applyBorder="1" applyAlignment="1">
      <alignment horizontal="left" vertical="center" indent="4"/>
    </xf>
    <xf numFmtId="0" fontId="10" fillId="11" borderId="7" xfId="23" applyFont="1" applyFill="1" applyBorder="1" applyAlignment="1">
      <alignment horizontal="left" vertical="center" indent="5"/>
    </xf>
    <xf numFmtId="0" fontId="10" fillId="9" borderId="7" xfId="0" applyFont="1" applyFill="1" applyBorder="1" applyAlignment="1">
      <alignment horizontal="left" indent="4"/>
    </xf>
    <xf numFmtId="0" fontId="10" fillId="11" borderId="7" xfId="10" applyFont="1" applyFill="1" applyBorder="1" applyAlignment="1">
      <alignment horizontal="left" vertical="center" indent="4"/>
    </xf>
    <xf numFmtId="0" fontId="10" fillId="9" borderId="7" xfId="0" applyFont="1" applyFill="1" applyBorder="1" applyAlignment="1">
      <alignment horizontal="left" indent="6"/>
    </xf>
    <xf numFmtId="0" fontId="10" fillId="11" borderId="6" xfId="10" applyFont="1" applyFill="1" applyBorder="1" applyAlignment="1">
      <alignment horizontal="left" vertical="center" indent="2"/>
    </xf>
    <xf numFmtId="0" fontId="8" fillId="6" borderId="0" xfId="11" applyFont="1" applyFill="1" applyBorder="1" applyAlignment="1"/>
    <xf numFmtId="0" fontId="10" fillId="6" borderId="0" xfId="11" applyFont="1" applyFill="1" applyAlignment="1" applyProtection="1">
      <alignment vertical="center"/>
      <protection locked="0"/>
    </xf>
    <xf numFmtId="0" fontId="8" fillId="12" borderId="8" xfId="11" applyFont="1" applyFill="1" applyBorder="1" applyAlignment="1">
      <alignment horizontal="left" vertical="center" wrapText="1"/>
    </xf>
    <xf numFmtId="0" fontId="8" fillId="12" borderId="13" xfId="11" applyFont="1" applyFill="1" applyBorder="1" applyAlignment="1">
      <alignment horizontal="center" vertical="center"/>
    </xf>
    <xf numFmtId="0" fontId="8" fillId="12" borderId="14" xfId="11" applyFont="1" applyFill="1" applyBorder="1" applyAlignment="1" applyProtection="1">
      <alignment horizontal="left" vertical="center"/>
    </xf>
    <xf numFmtId="0" fontId="8" fillId="12" borderId="28" xfId="11" applyFont="1" applyFill="1" applyBorder="1" applyAlignment="1">
      <alignment horizontal="center" vertical="center"/>
    </xf>
    <xf numFmtId="0" fontId="8" fillId="12" borderId="21" xfId="11" applyFont="1" applyFill="1" applyBorder="1" applyAlignment="1" applyProtection="1">
      <alignment horizontal="left" vertical="center"/>
    </xf>
    <xf numFmtId="0" fontId="8" fillId="12" borderId="29" xfId="11" applyFont="1" applyFill="1" applyBorder="1" applyAlignment="1">
      <alignment horizontal="center" vertical="center" wrapText="1"/>
    </xf>
    <xf numFmtId="0" fontId="8" fillId="12" borderId="21" xfId="11" applyFont="1" applyFill="1" applyBorder="1" applyAlignment="1">
      <alignment horizontal="center" vertical="center" wrapText="1"/>
    </xf>
    <xf numFmtId="0" fontId="8" fillId="12" borderId="21" xfId="11" applyFont="1" applyFill="1" applyBorder="1" applyAlignment="1" applyProtection="1">
      <alignment horizontal="center" vertical="center" wrapText="1"/>
    </xf>
    <xf numFmtId="0" fontId="8" fillId="12" borderId="30" xfId="11" applyFont="1" applyFill="1" applyBorder="1" applyAlignment="1">
      <alignment horizontal="center" vertical="center"/>
    </xf>
    <xf numFmtId="0" fontId="8" fillId="12" borderId="27" xfId="11" applyFont="1" applyFill="1" applyBorder="1" applyAlignment="1" applyProtection="1">
      <alignment horizontal="left" vertical="center" wrapText="1"/>
    </xf>
    <xf numFmtId="0" fontId="10" fillId="12" borderId="7" xfId="11" applyFont="1" applyFill="1" applyBorder="1" applyAlignment="1">
      <alignment horizontal="left" vertical="center" wrapText="1"/>
    </xf>
    <xf numFmtId="0" fontId="10" fillId="12" borderId="6" xfId="11" applyFont="1" applyFill="1" applyBorder="1" applyAlignment="1">
      <alignment horizontal="left" vertical="center" wrapText="1"/>
    </xf>
    <xf numFmtId="0" fontId="8" fillId="12" borderId="14" xfId="11" applyFont="1" applyFill="1" applyBorder="1" applyAlignment="1" applyProtection="1">
      <alignment horizontal="left" vertical="center" wrapText="1"/>
    </xf>
    <xf numFmtId="0" fontId="10" fillId="12" borderId="7" xfId="11" applyFont="1" applyFill="1" applyBorder="1" applyAlignment="1">
      <alignment horizontal="left" vertical="center"/>
    </xf>
    <xf numFmtId="0" fontId="40" fillId="6" borderId="0" xfId="9" applyFont="1" applyFill="1" applyBorder="1" applyAlignment="1">
      <alignment horizontal="left" wrapText="1"/>
    </xf>
    <xf numFmtId="4" fontId="8" fillId="6" borderId="0" xfId="24" applyFont="1" applyFill="1" applyBorder="1" applyAlignment="1">
      <alignment vertical="center"/>
    </xf>
    <xf numFmtId="4" fontId="8" fillId="12" borderId="7" xfId="24" applyFont="1" applyFill="1" applyBorder="1" applyAlignment="1">
      <alignment horizontal="center" vertical="center" wrapText="1"/>
    </xf>
    <xf numFmtId="4" fontId="8" fillId="12" borderId="7" xfId="24" applyFont="1" applyFill="1" applyBorder="1" applyAlignment="1" applyProtection="1">
      <alignment horizontal="center" vertical="center" wrapText="1"/>
    </xf>
    <xf numFmtId="4" fontId="8" fillId="12" borderId="7" xfId="24" applyFont="1" applyFill="1" applyBorder="1" applyAlignment="1" applyProtection="1">
      <alignment horizontal="center" vertical="center"/>
    </xf>
    <xf numFmtId="4" fontId="10" fillId="12" borderId="7" xfId="24" applyFont="1" applyFill="1" applyBorder="1" applyAlignment="1">
      <alignment horizontal="left" vertical="center" wrapText="1"/>
    </xf>
    <xf numFmtId="4" fontId="10" fillId="12" borderId="7" xfId="24" applyFont="1" applyFill="1" applyBorder="1" applyAlignment="1">
      <alignment vertical="center" wrapText="1"/>
    </xf>
    <xf numFmtId="4" fontId="10" fillId="6" borderId="10" xfId="24" applyFont="1" applyFill="1" applyBorder="1" applyAlignment="1">
      <alignment horizontal="left" vertical="center" wrapText="1"/>
    </xf>
    <xf numFmtId="0" fontId="40" fillId="6" borderId="0" xfId="9" applyFont="1" applyFill="1" applyBorder="1" applyAlignment="1">
      <alignment horizontal="left" vertical="center"/>
    </xf>
    <xf numFmtId="0" fontId="40" fillId="6" borderId="0" xfId="9" applyFont="1" applyFill="1" applyBorder="1" applyAlignment="1">
      <alignment horizontal="left" vertical="center" wrapText="1"/>
    </xf>
    <xf numFmtId="0" fontId="10" fillId="12" borderId="31" xfId="9" applyFont="1" applyFill="1" applyBorder="1" applyAlignment="1"/>
    <xf numFmtId="0" fontId="10" fillId="12" borderId="0" xfId="9" applyFont="1" applyFill="1" applyBorder="1" applyAlignment="1"/>
    <xf numFmtId="0" fontId="10" fillId="12" borderId="28" xfId="9" applyFont="1" applyFill="1" applyBorder="1" applyAlignment="1"/>
    <xf numFmtId="0" fontId="10" fillId="12" borderId="15" xfId="9" applyFont="1" applyFill="1" applyBorder="1" applyAlignment="1"/>
    <xf numFmtId="0" fontId="10" fillId="12" borderId="16" xfId="9" applyFont="1" applyFill="1" applyBorder="1" applyAlignment="1"/>
    <xf numFmtId="0" fontId="10" fillId="12" borderId="17" xfId="9" applyFont="1" applyFill="1" applyBorder="1" applyAlignment="1"/>
    <xf numFmtId="0" fontId="10" fillId="6" borderId="7" xfId="9" applyFont="1" applyFill="1" applyBorder="1" applyAlignment="1">
      <alignment horizontal="left" vertical="center"/>
    </xf>
    <xf numFmtId="4" fontId="8" fillId="11" borderId="10" xfId="11" quotePrefix="1" applyNumberFormat="1" applyFont="1" applyFill="1" applyBorder="1" applyAlignment="1" applyProtection="1">
      <alignment horizontal="center" vertical="center"/>
    </xf>
    <xf numFmtId="4" fontId="8" fillId="11" borderId="7" xfId="11" quotePrefix="1" applyNumberFormat="1" applyFont="1" applyFill="1" applyBorder="1" applyAlignment="1" applyProtection="1">
      <alignment horizontal="center" vertical="center"/>
    </xf>
    <xf numFmtId="4" fontId="8" fillId="11" borderId="7" xfId="11" applyNumberFormat="1" applyFont="1" applyFill="1" applyBorder="1" applyAlignment="1" applyProtection="1">
      <alignment horizontal="center" vertical="center"/>
    </xf>
    <xf numFmtId="4" fontId="8" fillId="11" borderId="9" xfId="11" applyNumberFormat="1" applyFont="1" applyFill="1" applyBorder="1" applyAlignment="1" applyProtection="1">
      <alignment horizontal="center" vertical="center"/>
    </xf>
    <xf numFmtId="4" fontId="8" fillId="11" borderId="14" xfId="11" applyNumberFormat="1" applyFont="1" applyFill="1" applyBorder="1" applyAlignment="1" applyProtection="1">
      <alignment vertical="center"/>
    </xf>
    <xf numFmtId="4" fontId="8" fillId="11" borderId="7" xfId="11" applyNumberFormat="1" applyFont="1" applyFill="1" applyBorder="1" applyAlignment="1" applyProtection="1">
      <alignment vertical="center"/>
    </xf>
    <xf numFmtId="0" fontId="10" fillId="11" borderId="7" xfId="10" applyFont="1" applyFill="1" applyBorder="1" applyAlignment="1">
      <alignment horizontal="left" vertical="center" wrapText="1"/>
    </xf>
    <xf numFmtId="4" fontId="10" fillId="11" borderId="7" xfId="11" applyNumberFormat="1" applyFont="1" applyFill="1" applyBorder="1" applyAlignment="1">
      <alignment horizontal="left" vertical="center"/>
    </xf>
    <xf numFmtId="4" fontId="10" fillId="11" borderId="7" xfId="11" applyNumberFormat="1" applyFont="1" applyFill="1" applyBorder="1" applyAlignment="1">
      <alignment horizontal="left" vertical="center" wrapText="1"/>
    </xf>
    <xf numFmtId="0" fontId="45" fillId="0" borderId="0" xfId="25" applyFont="1" applyAlignment="1"/>
    <xf numFmtId="0" fontId="45" fillId="0" borderId="0" xfId="25" applyFont="1" applyFill="1" applyAlignment="1"/>
    <xf numFmtId="0" fontId="46" fillId="0" borderId="0" xfId="26" applyFont="1" applyFill="1" applyBorder="1" applyAlignment="1">
      <alignment vertical="center"/>
    </xf>
    <xf numFmtId="0" fontId="46" fillId="0" borderId="0" xfId="25" applyFont="1" applyAlignment="1"/>
    <xf numFmtId="0" fontId="46" fillId="0" borderId="0" xfId="25" applyFont="1" applyFill="1" applyAlignment="1"/>
    <xf numFmtId="0" fontId="45" fillId="0" borderId="0" xfId="25" applyFont="1" applyAlignment="1">
      <alignment horizontal="centerContinuous"/>
    </xf>
    <xf numFmtId="0" fontId="46" fillId="0" borderId="0" xfId="25" applyFont="1" applyAlignment="1">
      <alignment horizontal="centerContinuous"/>
    </xf>
    <xf numFmtId="0" fontId="46" fillId="0" borderId="0" xfId="25" applyFont="1" applyFill="1" applyAlignment="1">
      <alignment horizontal="centerContinuous"/>
    </xf>
    <xf numFmtId="1" fontId="47" fillId="0" borderId="0" xfId="26" applyNumberFormat="1" applyFont="1" applyFill="1" applyBorder="1" applyAlignment="1" applyProtection="1">
      <alignment horizontal="center" vertical="center"/>
    </xf>
    <xf numFmtId="0" fontId="47" fillId="0" borderId="0" xfId="26" quotePrefix="1" applyFont="1" applyFill="1" applyBorder="1" applyAlignment="1" applyProtection="1">
      <alignment horizontal="center" vertical="center"/>
    </xf>
    <xf numFmtId="0" fontId="49" fillId="0" borderId="0" xfId="27" applyNumberFormat="1" applyFont="1" applyFill="1" applyBorder="1" applyAlignment="1">
      <alignment horizontal="center" vertical="center"/>
    </xf>
    <xf numFmtId="0" fontId="49" fillId="0" borderId="0" xfId="26" quotePrefix="1" applyFont="1" applyFill="1" applyBorder="1" applyAlignment="1" applyProtection="1">
      <alignment horizontal="center" vertical="center"/>
    </xf>
    <xf numFmtId="3" fontId="49" fillId="0" borderId="0" xfId="27" applyNumberFormat="1" applyFont="1" applyFill="1" applyBorder="1" applyAlignment="1">
      <alignment horizontal="center" vertical="center"/>
    </xf>
    <xf numFmtId="0" fontId="45" fillId="0" borderId="0" xfId="26" applyFont="1" applyFill="1" applyBorder="1" applyAlignment="1">
      <alignment horizontal="left" vertical="center"/>
    </xf>
    <xf numFmtId="0" fontId="46" fillId="0" borderId="0" xfId="26" applyFont="1" applyAlignment="1"/>
    <xf numFmtId="0" fontId="6" fillId="0" borderId="0" xfId="26" applyFont="1" applyFill="1" applyBorder="1" applyAlignment="1">
      <alignment horizontal="right" vertical="center"/>
    </xf>
    <xf numFmtId="1" fontId="52" fillId="0" borderId="0" xfId="27" applyNumberFormat="1" applyFont="1" applyFill="1" applyBorder="1" applyAlignment="1">
      <alignment horizontal="center" vertical="center"/>
    </xf>
    <xf numFmtId="43" fontId="52" fillId="0" borderId="0" xfId="27" applyFont="1" applyFill="1" applyBorder="1" applyAlignment="1">
      <alignment horizontal="center" vertical="center"/>
    </xf>
    <xf numFmtId="3" fontId="6" fillId="0" borderId="0" xfId="26" applyNumberFormat="1" applyFont="1" applyFill="1" applyBorder="1" applyAlignment="1">
      <alignment horizontal="center" vertical="center"/>
    </xf>
    <xf numFmtId="172" fontId="53" fillId="0" borderId="0" xfId="27" applyNumberFormat="1" applyFont="1" applyFill="1" applyAlignment="1">
      <alignment horizontal="center"/>
    </xf>
    <xf numFmtId="43" fontId="5" fillId="0" borderId="0" xfId="27" applyFont="1" applyFill="1"/>
    <xf numFmtId="3" fontId="6" fillId="0" borderId="0" xfId="27" applyNumberFormat="1" applyFont="1" applyFill="1" applyAlignment="1">
      <alignment horizontal="center" vertical="center"/>
    </xf>
    <xf numFmtId="3" fontId="5" fillId="0" borderId="0" xfId="27" applyNumberFormat="1" applyFont="1" applyFill="1"/>
    <xf numFmtId="0" fontId="54" fillId="0" borderId="0" xfId="26" applyFont="1" applyAlignment="1"/>
    <xf numFmtId="0" fontId="52" fillId="0" borderId="0" xfId="26" applyFont="1" applyFill="1" applyBorder="1" applyAlignment="1">
      <alignment horizontal="right" vertical="center"/>
    </xf>
    <xf numFmtId="0" fontId="33" fillId="0" borderId="0" xfId="26" applyFont="1" applyFill="1" applyBorder="1" applyAlignment="1">
      <alignment horizontal="right" vertical="center"/>
    </xf>
    <xf numFmtId="1" fontId="33" fillId="0" borderId="0" xfId="27" applyNumberFormat="1" applyFont="1" applyFill="1" applyBorder="1" applyAlignment="1">
      <alignment horizontal="center" vertical="center"/>
    </xf>
    <xf numFmtId="1" fontId="33" fillId="0" borderId="0" xfId="26" applyNumberFormat="1" applyFont="1" applyFill="1" applyBorder="1" applyAlignment="1" applyProtection="1">
      <alignment horizontal="center" vertical="center"/>
    </xf>
    <xf numFmtId="43" fontId="33" fillId="0" borderId="0" xfId="27" applyFont="1" applyFill="1" applyBorder="1" applyAlignment="1">
      <alignment horizontal="center" vertical="center"/>
    </xf>
    <xf numFmtId="0" fontId="56" fillId="0" borderId="32" xfId="28" applyFont="1" applyFill="1" applyBorder="1" applyAlignment="1">
      <alignment horizontal="left" vertical="center"/>
    </xf>
    <xf numFmtId="0" fontId="58" fillId="0" borderId="32" xfId="28" applyFont="1" applyFill="1" applyBorder="1"/>
    <xf numFmtId="0" fontId="58" fillId="0" borderId="32" xfId="28" applyFont="1" applyFill="1" applyBorder="1" applyAlignment="1">
      <alignment horizontal="right" vertical="center" wrapText="1"/>
    </xf>
    <xf numFmtId="0" fontId="59" fillId="0" borderId="32" xfId="25" applyFont="1" applyBorder="1"/>
    <xf numFmtId="173" fontId="56" fillId="0" borderId="32" xfId="25" applyNumberFormat="1" applyFont="1" applyFill="1" applyBorder="1" applyAlignment="1">
      <alignment horizontal="right"/>
    </xf>
    <xf numFmtId="0" fontId="59" fillId="0" borderId="0" xfId="25" applyFont="1"/>
    <xf numFmtId="0" fontId="60" fillId="0" borderId="0" xfId="28" applyFont="1" applyFill="1" applyBorder="1" applyAlignment="1">
      <alignment horizontal="left" vertical="center"/>
    </xf>
    <xf numFmtId="0" fontId="61" fillId="0" borderId="0" xfId="28" applyFont="1" applyFill="1"/>
    <xf numFmtId="0" fontId="44" fillId="0" borderId="0" xfId="25"/>
    <xf numFmtId="173" fontId="62" fillId="0" borderId="0" xfId="25" applyNumberFormat="1" applyFont="1" applyFill="1" applyAlignment="1">
      <alignment horizontal="right"/>
    </xf>
    <xf numFmtId="0" fontId="49" fillId="0" borderId="0" xfId="28" applyFont="1" applyFill="1" applyAlignment="1"/>
    <xf numFmtId="0" fontId="49" fillId="0" borderId="0" xfId="28" applyFont="1" applyFill="1"/>
    <xf numFmtId="173" fontId="63" fillId="0" borderId="0" xfId="25" applyNumberFormat="1" applyFont="1" applyFill="1" applyAlignment="1">
      <alignment horizontal="right"/>
    </xf>
    <xf numFmtId="173" fontId="44" fillId="0" borderId="0" xfId="25" applyNumberFormat="1"/>
    <xf numFmtId="0" fontId="13" fillId="0" borderId="0" xfId="28" applyFont="1" applyFill="1" applyAlignment="1"/>
    <xf numFmtId="0" fontId="13" fillId="0" borderId="0" xfId="28" applyFont="1" applyFill="1"/>
    <xf numFmtId="0" fontId="64" fillId="0" borderId="0" xfId="28" applyFont="1" applyFill="1"/>
    <xf numFmtId="173" fontId="65" fillId="0" borderId="0" xfId="25" applyNumberFormat="1" applyFont="1" applyFill="1" applyAlignment="1">
      <alignment horizontal="right"/>
    </xf>
    <xf numFmtId="0" fontId="13" fillId="0" borderId="0" xfId="29" applyFont="1" applyFill="1"/>
    <xf numFmtId="0" fontId="13" fillId="0" borderId="0" xfId="28" applyFont="1" applyFill="1" applyAlignment="1">
      <alignment horizontal="right"/>
    </xf>
    <xf numFmtId="0" fontId="65" fillId="0" borderId="0" xfId="25" applyFont="1"/>
    <xf numFmtId="0" fontId="64" fillId="0" borderId="0" xfId="28" applyFont="1" applyFill="1" applyAlignment="1"/>
    <xf numFmtId="0" fontId="64" fillId="0" borderId="0" xfId="28" applyFont="1" applyFill="1" applyAlignment="1">
      <alignment horizontal="left"/>
    </xf>
    <xf numFmtId="0" fontId="66" fillId="0" borderId="0" xfId="25" applyFont="1"/>
    <xf numFmtId="173" fontId="66" fillId="0" borderId="0" xfId="25" applyNumberFormat="1" applyFont="1" applyFill="1" applyAlignment="1">
      <alignment horizontal="right"/>
    </xf>
    <xf numFmtId="0" fontId="67" fillId="0" borderId="0" xfId="28" applyFont="1" applyFill="1" applyAlignment="1">
      <alignment horizontal="right"/>
    </xf>
    <xf numFmtId="0" fontId="63" fillId="0" borderId="0" xfId="25" applyFont="1"/>
    <xf numFmtId="173" fontId="63" fillId="0" borderId="0" xfId="25" applyNumberFormat="1" applyFont="1"/>
    <xf numFmtId="173" fontId="66" fillId="0" borderId="0" xfId="25" applyNumberFormat="1" applyFont="1"/>
    <xf numFmtId="0" fontId="66" fillId="0" borderId="0" xfId="25" applyFont="1" applyBorder="1"/>
    <xf numFmtId="173" fontId="66" fillId="0" borderId="0" xfId="25" applyNumberFormat="1" applyFont="1" applyFill="1" applyBorder="1" applyAlignment="1">
      <alignment horizontal="right"/>
    </xf>
    <xf numFmtId="0" fontId="64" fillId="0" borderId="0" xfId="28" applyFont="1" applyFill="1" applyBorder="1" applyAlignment="1">
      <alignment horizontal="left"/>
    </xf>
    <xf numFmtId="0" fontId="13" fillId="0" borderId="0" xfId="28" applyFont="1" applyFill="1" applyBorder="1"/>
    <xf numFmtId="0" fontId="13" fillId="0" borderId="0" xfId="25" applyFont="1" applyBorder="1"/>
    <xf numFmtId="173" fontId="13" fillId="0" borderId="0" xfId="25" applyNumberFormat="1" applyFont="1" applyFill="1" applyBorder="1" applyAlignment="1">
      <alignment horizontal="right"/>
    </xf>
    <xf numFmtId="0" fontId="13" fillId="0" borderId="0" xfId="25" applyFont="1"/>
    <xf numFmtId="0" fontId="13" fillId="0" borderId="0" xfId="28" applyFont="1" applyFill="1" applyBorder="1" applyAlignment="1">
      <alignment horizontal="left"/>
    </xf>
    <xf numFmtId="0" fontId="65" fillId="0" borderId="0" xfId="25" applyFont="1" applyBorder="1"/>
    <xf numFmtId="173" fontId="65" fillId="0" borderId="0" xfId="25" applyNumberFormat="1" applyFont="1" applyFill="1" applyBorder="1" applyAlignment="1">
      <alignment horizontal="right"/>
    </xf>
    <xf numFmtId="0" fontId="64" fillId="0" borderId="0" xfId="29" applyFont="1" applyFill="1" applyAlignment="1">
      <alignment horizontal="left"/>
    </xf>
    <xf numFmtId="0" fontId="68" fillId="0" borderId="0" xfId="28" applyFont="1" applyFill="1" applyAlignment="1"/>
    <xf numFmtId="0" fontId="68" fillId="0" borderId="0" xfId="28" applyFont="1" applyFill="1"/>
    <xf numFmtId="0" fontId="68" fillId="0" borderId="0" xfId="28" applyFont="1" applyFill="1" applyBorder="1" applyAlignment="1"/>
    <xf numFmtId="0" fontId="68" fillId="0" borderId="0" xfId="28" applyFont="1" applyFill="1" applyBorder="1"/>
    <xf numFmtId="0" fontId="64" fillId="0" borderId="0" xfId="28" applyFont="1" applyFill="1" applyBorder="1"/>
    <xf numFmtId="0" fontId="49" fillId="0" borderId="33" xfId="28" applyFont="1" applyFill="1" applyBorder="1" applyAlignment="1"/>
    <xf numFmtId="0" fontId="49" fillId="0" borderId="33" xfId="28" applyFont="1" applyFill="1" applyBorder="1"/>
    <xf numFmtId="0" fontId="63" fillId="0" borderId="33" xfId="25" applyFont="1" applyBorder="1"/>
    <xf numFmtId="173" fontId="63" fillId="0" borderId="33" xfId="25" applyNumberFormat="1" applyFont="1" applyFill="1" applyBorder="1" applyAlignment="1">
      <alignment horizontal="right"/>
    </xf>
    <xf numFmtId="0" fontId="62" fillId="0" borderId="0" xfId="28" applyFont="1" applyFill="1" applyBorder="1" applyAlignment="1">
      <alignment horizontal="left" vertical="center"/>
    </xf>
    <xf numFmtId="0" fontId="62" fillId="0" borderId="0" xfId="28" applyFont="1" applyFill="1"/>
    <xf numFmtId="0" fontId="62" fillId="0" borderId="0" xfId="25" applyFont="1" applyBorder="1"/>
    <xf numFmtId="173" fontId="62" fillId="0" borderId="0" xfId="25" applyNumberFormat="1" applyFont="1" applyFill="1" applyBorder="1" applyAlignment="1">
      <alignment horizontal="right"/>
    </xf>
    <xf numFmtId="0" fontId="62" fillId="0" borderId="0" xfId="25" applyFont="1"/>
    <xf numFmtId="0" fontId="63" fillId="0" borderId="0" xfId="25" applyFont="1" applyBorder="1"/>
    <xf numFmtId="173" fontId="63" fillId="0" borderId="0" xfId="25" applyNumberFormat="1" applyFont="1" applyFill="1" applyBorder="1" applyAlignment="1">
      <alignment horizontal="right"/>
    </xf>
    <xf numFmtId="0" fontId="64" fillId="0" borderId="0" xfId="28" applyFont="1" applyFill="1" applyAlignment="1">
      <alignment horizontal="right"/>
    </xf>
    <xf numFmtId="0" fontId="64" fillId="0" borderId="0" xfId="25" applyFont="1" applyBorder="1"/>
    <xf numFmtId="173" fontId="64" fillId="0" borderId="0" xfId="25" applyNumberFormat="1" applyFont="1" applyFill="1" applyBorder="1" applyAlignment="1">
      <alignment horizontal="right"/>
    </xf>
    <xf numFmtId="0" fontId="64" fillId="0" borderId="0" xfId="25" applyFont="1"/>
    <xf numFmtId="0" fontId="63" fillId="0" borderId="0" xfId="25" applyFont="1" applyFill="1" applyBorder="1"/>
    <xf numFmtId="0" fontId="63" fillId="0" borderId="0" xfId="25" applyFont="1" applyFill="1"/>
    <xf numFmtId="0" fontId="64" fillId="0" borderId="0" xfId="25" applyFont="1" applyFill="1" applyBorder="1"/>
    <xf numFmtId="0" fontId="64" fillId="0" borderId="0" xfId="25" applyFont="1" applyFill="1"/>
    <xf numFmtId="0" fontId="49" fillId="0" borderId="0" xfId="28" applyFont="1" applyFill="1" applyBorder="1" applyAlignment="1"/>
    <xf numFmtId="0" fontId="49" fillId="0" borderId="0" xfId="28" applyFont="1" applyFill="1" applyBorder="1"/>
    <xf numFmtId="0" fontId="65" fillId="0" borderId="33" xfId="25" applyFont="1" applyBorder="1"/>
    <xf numFmtId="173" fontId="65" fillId="0" borderId="33" xfId="25" applyNumberFormat="1" applyFont="1" applyFill="1" applyBorder="1" applyAlignment="1">
      <alignment horizontal="right"/>
    </xf>
    <xf numFmtId="0" fontId="62" fillId="0" borderId="34" xfId="28" applyFont="1" applyFill="1" applyBorder="1" applyAlignment="1">
      <alignment horizontal="left" vertical="center"/>
    </xf>
    <xf numFmtId="0" fontId="62" fillId="0" borderId="34" xfId="28" applyFont="1" applyFill="1" applyBorder="1"/>
    <xf numFmtId="0" fontId="62" fillId="0" borderId="34" xfId="25" applyFont="1" applyBorder="1"/>
    <xf numFmtId="173" fontId="62" fillId="0" borderId="34" xfId="25" applyNumberFormat="1" applyFont="1" applyFill="1" applyBorder="1" applyAlignment="1">
      <alignment horizontal="right"/>
    </xf>
    <xf numFmtId="0" fontId="64" fillId="0" borderId="0" xfId="28" applyFont="1" applyFill="1" applyBorder="1" applyAlignment="1"/>
    <xf numFmtId="0" fontId="60" fillId="0" borderId="0" xfId="28" applyFont="1" applyFill="1" applyBorder="1"/>
    <xf numFmtId="0" fontId="60" fillId="0" borderId="33" xfId="28" applyFont="1" applyFill="1" applyBorder="1"/>
    <xf numFmtId="0" fontId="60" fillId="0" borderId="0" xfId="28" applyFont="1" applyFill="1"/>
    <xf numFmtId="0" fontId="59" fillId="0" borderId="0" xfId="25" applyFont="1" applyFill="1"/>
    <xf numFmtId="0" fontId="59" fillId="0" borderId="0" xfId="25" applyFont="1" applyBorder="1"/>
    <xf numFmtId="0" fontId="44" fillId="0" borderId="0" xfId="25" applyFont="1"/>
    <xf numFmtId="0" fontId="65" fillId="0" borderId="0" xfId="25" applyFont="1" applyFill="1"/>
    <xf numFmtId="0" fontId="65" fillId="0" borderId="0" xfId="25" applyFont="1" applyAlignment="1">
      <alignment horizontal="left" vertical="top"/>
    </xf>
    <xf numFmtId="0" fontId="65" fillId="0" borderId="0" xfId="0" applyFont="1"/>
    <xf numFmtId="0" fontId="71" fillId="0" borderId="0" xfId="30"/>
    <xf numFmtId="0" fontId="44" fillId="0" borderId="0" xfId="25" applyFill="1"/>
    <xf numFmtId="0" fontId="44" fillId="0" borderId="0" xfId="25" applyBorder="1"/>
    <xf numFmtId="0" fontId="26" fillId="0" borderId="0" xfId="0" applyFont="1"/>
    <xf numFmtId="0" fontId="72" fillId="0" borderId="0" xfId="0" applyFont="1"/>
    <xf numFmtId="1" fontId="15" fillId="0" borderId="0" xfId="0" applyNumberFormat="1" applyFont="1"/>
    <xf numFmtId="0" fontId="75" fillId="15" borderId="35" xfId="0" applyFont="1" applyFill="1" applyBorder="1" applyAlignment="1">
      <alignment horizontal="left" wrapText="1"/>
    </xf>
    <xf numFmtId="0" fontId="76" fillId="15" borderId="36" xfId="0" applyFont="1" applyFill="1" applyBorder="1" applyAlignment="1">
      <alignment vertical="top" wrapText="1"/>
    </xf>
    <xf numFmtId="0" fontId="76" fillId="15" borderId="36" xfId="0" applyFont="1" applyFill="1" applyBorder="1" applyAlignment="1">
      <alignment horizontal="center" vertical="top" wrapText="1"/>
    </xf>
    <xf numFmtId="0" fontId="75" fillId="15" borderId="36" xfId="0" applyFont="1" applyFill="1" applyBorder="1" applyAlignment="1">
      <alignment vertical="top" wrapText="1"/>
    </xf>
    <xf numFmtId="0" fontId="75" fillId="15" borderId="36" xfId="0" applyFont="1" applyFill="1" applyBorder="1" applyAlignment="1">
      <alignment horizontal="center" vertical="top" wrapText="1"/>
    </xf>
    <xf numFmtId="0" fontId="75" fillId="15" borderId="37" xfId="0" applyFont="1" applyFill="1" applyBorder="1" applyAlignment="1">
      <alignment horizontal="left" wrapText="1"/>
    </xf>
    <xf numFmtId="0" fontId="0" fillId="0" borderId="0" xfId="0"/>
    <xf numFmtId="10" fontId="0" fillId="0" borderId="0" xfId="8" applyNumberFormat="1" applyFont="1"/>
    <xf numFmtId="0" fontId="0" fillId="0" borderId="0" xfId="0" applyAlignment="1">
      <alignment horizontal="left" vertical="center" wrapText="1"/>
    </xf>
    <xf numFmtId="0" fontId="0" fillId="0" borderId="0" xfId="0" applyAlignment="1">
      <alignment horizontal="left" vertical="center"/>
    </xf>
    <xf numFmtId="0" fontId="0" fillId="0" borderId="0" xfId="0"/>
    <xf numFmtId="0" fontId="0" fillId="15" borderId="38" xfId="0" applyFill="1" applyBorder="1" applyAlignment="1">
      <alignment horizontal="left" vertical="center"/>
    </xf>
    <xf numFmtId="0" fontId="0" fillId="0" borderId="38" xfId="0" applyBorder="1"/>
    <xf numFmtId="0" fontId="75" fillId="15" borderId="37" xfId="0" applyFont="1" applyFill="1" applyBorder="1" applyAlignment="1">
      <alignment horizontal="left" wrapText="1"/>
    </xf>
    <xf numFmtId="0" fontId="75" fillId="15" borderId="35" xfId="0" applyFont="1" applyFill="1" applyBorder="1" applyAlignment="1">
      <alignment horizontal="left" wrapText="1"/>
    </xf>
    <xf numFmtId="0" fontId="8" fillId="11" borderId="23" xfId="11" applyFont="1" applyFill="1" applyBorder="1" applyAlignment="1" applyProtection="1">
      <alignment horizontal="center" vertical="center"/>
    </xf>
    <xf numFmtId="0" fontId="8" fillId="11" borderId="24" xfId="11" applyFont="1" applyFill="1" applyBorder="1" applyAlignment="1" applyProtection="1">
      <alignment horizontal="center" vertical="center"/>
    </xf>
    <xf numFmtId="2" fontId="10" fillId="8" borderId="7" xfId="0" applyNumberFormat="1" applyFont="1" applyFill="1" applyBorder="1" applyAlignment="1">
      <alignment horizontal="right"/>
    </xf>
    <xf numFmtId="0" fontId="10" fillId="6" borderId="7" xfId="9" applyFont="1" applyFill="1" applyBorder="1" applyAlignment="1">
      <alignment horizontal="left" vertical="center"/>
    </xf>
    <xf numFmtId="0" fontId="40" fillId="6" borderId="0" xfId="9" applyFont="1" applyFill="1" applyAlignment="1">
      <alignment horizontal="left" wrapText="1"/>
    </xf>
    <xf numFmtId="0" fontId="40" fillId="6" borderId="0" xfId="9" applyFont="1" applyFill="1" applyBorder="1" applyAlignment="1">
      <alignment horizontal="left" wrapText="1"/>
    </xf>
    <xf numFmtId="0" fontId="8" fillId="12" borderId="11" xfId="9" applyFont="1" applyFill="1" applyBorder="1" applyAlignment="1"/>
    <xf numFmtId="0" fontId="10" fillId="6" borderId="12" xfId="9" applyFont="1" applyFill="1" applyBorder="1" applyAlignment="1"/>
    <xf numFmtId="0" fontId="10" fillId="6" borderId="13" xfId="9" applyFont="1" applyFill="1" applyBorder="1" applyAlignment="1"/>
    <xf numFmtId="0" fontId="10" fillId="12" borderId="31" xfId="9" applyFont="1" applyFill="1" applyBorder="1" applyAlignment="1">
      <alignment horizontal="left" wrapText="1"/>
    </xf>
    <xf numFmtId="0" fontId="10" fillId="6" borderId="0" xfId="9" applyFont="1" applyFill="1" applyBorder="1" applyAlignment="1">
      <alignment horizontal="left" wrapText="1"/>
    </xf>
    <xf numFmtId="0" fontId="10" fillId="6" borderId="28" xfId="9" applyFont="1" applyFill="1" applyBorder="1" applyAlignment="1">
      <alignment horizontal="left" wrapText="1"/>
    </xf>
    <xf numFmtId="0" fontId="10" fillId="12" borderId="31" xfId="9" applyFont="1" applyFill="1" applyBorder="1" applyAlignment="1">
      <alignment horizontal="left"/>
    </xf>
    <xf numFmtId="0" fontId="10" fillId="6" borderId="0" xfId="9" applyFont="1" applyFill="1" applyBorder="1" applyAlignment="1">
      <alignment horizontal="left"/>
    </xf>
    <xf numFmtId="0" fontId="10" fillId="6" borderId="28" xfId="9" applyFont="1" applyFill="1" applyBorder="1" applyAlignment="1">
      <alignment horizontal="left"/>
    </xf>
    <xf numFmtId="0" fontId="40" fillId="6" borderId="0" xfId="9" applyFont="1" applyFill="1" applyAlignment="1">
      <alignment vertical="top" wrapText="1"/>
    </xf>
    <xf numFmtId="0" fontId="10" fillId="6" borderId="0" xfId="9" applyFont="1" applyFill="1" applyAlignment="1">
      <alignment vertical="top" wrapText="1"/>
    </xf>
    <xf numFmtId="0" fontId="35" fillId="6" borderId="0" xfId="17" applyFont="1" applyFill="1" applyAlignment="1">
      <alignment horizontal="left" vertical="center"/>
    </xf>
    <xf numFmtId="0" fontId="8" fillId="12" borderId="9" xfId="11" applyFont="1" applyFill="1" applyBorder="1" applyAlignment="1" applyProtection="1">
      <alignment horizontal="center" vertical="center" wrapText="1"/>
    </xf>
    <xf numFmtId="0" fontId="8" fillId="12" borderId="10" xfId="11" applyFont="1" applyFill="1" applyBorder="1" applyAlignment="1" applyProtection="1">
      <alignment horizontal="center" vertical="center" wrapText="1"/>
    </xf>
    <xf numFmtId="0" fontId="40" fillId="6" borderId="0" xfId="11" applyFont="1" applyFill="1" applyAlignment="1">
      <alignment vertical="center" wrapText="1"/>
    </xf>
    <xf numFmtId="0" fontId="40" fillId="6" borderId="0" xfId="9" applyFont="1" applyFill="1" applyAlignment="1">
      <alignment horizontal="left" vertical="top" wrapText="1"/>
    </xf>
    <xf numFmtId="4" fontId="8" fillId="11" borderId="8" xfId="11" applyNumberFormat="1" applyFont="1" applyFill="1" applyBorder="1" applyAlignment="1" applyProtection="1">
      <alignment horizontal="left" vertical="center" wrapText="1"/>
    </xf>
    <xf numFmtId="4" fontId="8" fillId="11" borderId="21" xfId="11" applyNumberFormat="1" applyFont="1" applyFill="1" applyBorder="1" applyAlignment="1" applyProtection="1">
      <alignment horizontal="left" vertical="center" wrapText="1"/>
    </xf>
    <xf numFmtId="4" fontId="8" fillId="11" borderId="22" xfId="11" applyNumberFormat="1" applyFont="1" applyFill="1" applyBorder="1" applyAlignment="1" applyProtection="1">
      <alignment horizontal="center" vertical="center"/>
    </xf>
    <xf numFmtId="4" fontId="8" fillId="11" borderId="23" xfId="11" applyNumberFormat="1" applyFont="1" applyFill="1" applyBorder="1" applyAlignment="1" applyProtection="1">
      <alignment horizontal="center" vertical="center"/>
    </xf>
    <xf numFmtId="4" fontId="8" fillId="11" borderId="24" xfId="11" applyNumberFormat="1" applyFont="1" applyFill="1" applyBorder="1" applyAlignment="1" applyProtection="1">
      <alignment horizontal="center" vertical="center"/>
    </xf>
  </cellXfs>
  <cellStyles count="31">
    <cellStyle name="2x indented GHG Textfiels" xfId="10"/>
    <cellStyle name="5x indented GHG Textfiels" xfId="23"/>
    <cellStyle name="Body: normal cell" xfId="6"/>
    <cellStyle name="Comma" xfId="15" builtinId="3"/>
    <cellStyle name="Comma 3" xfId="27"/>
    <cellStyle name="Constants" xfId="18"/>
    <cellStyle name="Empty_B_border" xfId="19"/>
    <cellStyle name="Empty_TBorder" xfId="22"/>
    <cellStyle name="Font: Calibri, 9pt regular" xfId="2"/>
    <cellStyle name="Footnotes: top row" xfId="7"/>
    <cellStyle name="Header: bottom row" xfId="3"/>
    <cellStyle name="Headline" xfId="17"/>
    <cellStyle name="Hyperlink" xfId="1" builtinId="8"/>
    <cellStyle name="Hyperlink 2" xfId="14"/>
    <cellStyle name="Hyperlink 3" xfId="30"/>
    <cellStyle name="Normal" xfId="0" builtinId="0"/>
    <cellStyle name="Normal 2" xfId="9"/>
    <cellStyle name="Normal 2 2" xfId="25"/>
    <cellStyle name="Normal 2_A4-1" xfId="28"/>
    <cellStyle name="Normal 2_A8-22" xfId="26"/>
    <cellStyle name="Normal 3" xfId="12"/>
    <cellStyle name="Normal 3 2" xfId="29"/>
    <cellStyle name="Normal 4" xfId="13"/>
    <cellStyle name="Normal 5" xfId="16"/>
    <cellStyle name="Normal GHG Textfiels Bold" xfId="21"/>
    <cellStyle name="Normal GHG-Shade" xfId="20"/>
    <cellStyle name="Parent row" xfId="5"/>
    <cellStyle name="Percent" xfId="8" builtinId="5"/>
    <cellStyle name="Table title" xfId="4"/>
    <cellStyle name="Обычный_CRF2002 (1)" xfId="11"/>
    <cellStyle name="Обычный_CRF2002 (1) 2" xfId="24"/>
  </cellStyles>
  <dxfs count="8">
    <dxf>
      <numFmt numFmtId="1" formatCode="0"/>
    </dxf>
    <dxf>
      <numFmt numFmtId="167" formatCode="0.0"/>
    </dxf>
    <dxf>
      <numFmt numFmtId="2" formatCode="0.00"/>
    </dxf>
    <dxf>
      <numFmt numFmtId="174" formatCode="0.000"/>
    </dxf>
    <dxf>
      <numFmt numFmtId="168" formatCode="0.0000"/>
    </dxf>
    <dxf>
      <numFmt numFmtId="170" formatCode="0.00000"/>
    </dxf>
    <dxf>
      <numFmt numFmtId="175" formatCode="0.000000"/>
    </dxf>
    <dxf>
      <numFmt numFmtId="176" formatCode="0.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externalLink" Target="externalLinks/externalLink2.xml"/><Relationship Id="rId68" Type="http://schemas.openxmlformats.org/officeDocument/2006/relationships/externalLink" Target="externalLinks/externalLink7.xml"/><Relationship Id="rId76" Type="http://schemas.openxmlformats.org/officeDocument/2006/relationships/externalLink" Target="externalLinks/externalLink15.xml"/><Relationship Id="rId84" Type="http://schemas.openxmlformats.org/officeDocument/2006/relationships/externalLink" Target="externalLinks/externalLink23.xml"/><Relationship Id="rId89"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externalLink" Target="externalLinks/externalLink5.xml"/><Relationship Id="rId74" Type="http://schemas.openxmlformats.org/officeDocument/2006/relationships/externalLink" Target="externalLinks/externalLink13.xml"/><Relationship Id="rId79" Type="http://schemas.openxmlformats.org/officeDocument/2006/relationships/externalLink" Target="externalLinks/externalLink18.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externalLink" Target="externalLinks/externalLink21.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3.xml"/><Relationship Id="rId69" Type="http://schemas.openxmlformats.org/officeDocument/2006/relationships/externalLink" Target="externalLinks/externalLink8.xml"/><Relationship Id="rId77" Type="http://schemas.openxmlformats.org/officeDocument/2006/relationships/externalLink" Target="externalLinks/externalLink1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1.xml"/><Relationship Id="rId80" Type="http://schemas.openxmlformats.org/officeDocument/2006/relationships/externalLink" Target="externalLinks/externalLink19.xml"/><Relationship Id="rId85"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 Id="rId70" Type="http://schemas.openxmlformats.org/officeDocument/2006/relationships/externalLink" Target="externalLinks/externalLink9.xml"/><Relationship Id="rId75" Type="http://schemas.openxmlformats.org/officeDocument/2006/relationships/externalLink" Target="externalLinks/externalLink14.xml"/><Relationship Id="rId83" Type="http://schemas.openxmlformats.org/officeDocument/2006/relationships/externalLink" Target="externalLinks/externalLink22.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4.xml"/><Relationship Id="rId73" Type="http://schemas.openxmlformats.org/officeDocument/2006/relationships/externalLink" Target="externalLinks/externalLink12.xml"/><Relationship Id="rId78" Type="http://schemas.openxmlformats.org/officeDocument/2006/relationships/externalLink" Target="externalLinks/externalLink17.xml"/><Relationship Id="rId81" Type="http://schemas.openxmlformats.org/officeDocument/2006/relationships/externalLink" Target="externalLinks/externalLink20.xml"/><Relationship Id="rId86"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'Chem - ODS'!$G$14:$G$36</c:f>
              <c:numCache>
                <c:formatCode>General</c:formatCode>
                <c:ptCount val="2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numCache>
            </c:numRef>
          </c:cat>
          <c:val>
            <c:numRef>
              <c:f>'Chem - ODS'!$H$14:$H$36</c:f>
              <c:numCache>
                <c:formatCode>General</c:formatCode>
                <c:ptCount val="23"/>
                <c:pt idx="0">
                  <c:v>15</c:v>
                </c:pt>
                <c:pt idx="1">
                  <c:v>14.8</c:v>
                </c:pt>
                <c:pt idx="2">
                  <c:v>15.1</c:v>
                </c:pt>
                <c:pt idx="3">
                  <c:v>15.1</c:v>
                </c:pt>
                <c:pt idx="4">
                  <c:v>15.7</c:v>
                </c:pt>
                <c:pt idx="5">
                  <c:v>16</c:v>
                </c:pt>
                <c:pt idx="6">
                  <c:v>16.2</c:v>
                </c:pt>
                <c:pt idx="7">
                  <c:v>16.5</c:v>
                </c:pt>
                <c:pt idx="8">
                  <c:v>16.399999999999999</c:v>
                </c:pt>
                <c:pt idx="9">
                  <c:v>17.3</c:v>
                </c:pt>
                <c:pt idx="10">
                  <c:v>16.7</c:v>
                </c:pt>
                <c:pt idx="11">
                  <c:v>15.9</c:v>
                </c:pt>
                <c:pt idx="12">
                  <c:v>14.8</c:v>
                </c:pt>
                <c:pt idx="13">
                  <c:v>15.3</c:v>
                </c:pt>
                <c:pt idx="14">
                  <c:v>15.8</c:v>
                </c:pt>
                <c:pt idx="15">
                  <c:v>15.2</c:v>
                </c:pt>
                <c:pt idx="16">
                  <c:v>14.3</c:v>
                </c:pt>
                <c:pt idx="17">
                  <c:v>13.4</c:v>
                </c:pt>
                <c:pt idx="18">
                  <c:v>12.9</c:v>
                </c:pt>
                <c:pt idx="19">
                  <c:v>12.7</c:v>
                </c:pt>
                <c:pt idx="20">
                  <c:v>9.8000000000000007</c:v>
                </c:pt>
                <c:pt idx="21">
                  <c:v>9.5</c:v>
                </c:pt>
                <c:pt idx="22">
                  <c:v>9.1</c:v>
                </c:pt>
              </c:numCache>
            </c:numRef>
          </c:val>
          <c:smooth val="0"/>
          <c:extLst>
            <c:ext xmlns:c16="http://schemas.microsoft.com/office/drawing/2014/chart" uri="{C3380CC4-5D6E-409C-BE32-E72D297353CC}">
              <c16:uniqueId val="{00000000-41A5-4306-95B0-3AB2F1963D73}"/>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'Chem - ODS'!$I$14:$I$36</c:f>
              <c:numCache>
                <c:formatCode>General</c:formatCode>
                <c:ptCount val="23"/>
                <c:pt idx="0">
                  <c:v>15</c:v>
                </c:pt>
                <c:pt idx="1">
                  <c:v>15.6</c:v>
                </c:pt>
                <c:pt idx="2">
                  <c:v>16.3</c:v>
                </c:pt>
                <c:pt idx="3">
                  <c:v>16.8</c:v>
                </c:pt>
                <c:pt idx="4">
                  <c:v>17.399999999999999</c:v>
                </c:pt>
                <c:pt idx="5">
                  <c:v>18</c:v>
                </c:pt>
                <c:pt idx="6">
                  <c:v>18.600000000000001</c:v>
                </c:pt>
                <c:pt idx="7">
                  <c:v>19.399999999999999</c:v>
                </c:pt>
                <c:pt idx="8">
                  <c:v>19.8</c:v>
                </c:pt>
                <c:pt idx="9">
                  <c:v>21</c:v>
                </c:pt>
                <c:pt idx="10">
                  <c:v>21.1</c:v>
                </c:pt>
                <c:pt idx="11">
                  <c:v>21.7</c:v>
                </c:pt>
                <c:pt idx="12">
                  <c:v>22.2</c:v>
                </c:pt>
                <c:pt idx="13">
                  <c:v>23.6</c:v>
                </c:pt>
                <c:pt idx="14">
                  <c:v>25.2</c:v>
                </c:pt>
                <c:pt idx="15">
                  <c:v>25.5</c:v>
                </c:pt>
                <c:pt idx="16">
                  <c:v>25.9</c:v>
                </c:pt>
                <c:pt idx="17">
                  <c:v>26.4</c:v>
                </c:pt>
                <c:pt idx="18">
                  <c:v>27</c:v>
                </c:pt>
                <c:pt idx="19">
                  <c:v>27.7</c:v>
                </c:pt>
                <c:pt idx="20">
                  <c:v>25.7</c:v>
                </c:pt>
                <c:pt idx="21">
                  <c:v>26.3</c:v>
                </c:pt>
                <c:pt idx="22">
                  <c:v>26.8</c:v>
                </c:pt>
              </c:numCache>
            </c:numRef>
          </c:val>
          <c:smooth val="0"/>
          <c:extLst>
            <c:ext xmlns:c16="http://schemas.microsoft.com/office/drawing/2014/chart" uri="{C3380CC4-5D6E-409C-BE32-E72D297353CC}">
              <c16:uniqueId val="{00000003-41A5-4306-95B0-3AB2F1963D73}"/>
            </c:ext>
          </c:extLst>
        </c:ser>
        <c:dLbls>
          <c:showLegendKey val="0"/>
          <c:showVal val="0"/>
          <c:showCatName val="0"/>
          <c:showSerName val="0"/>
          <c:showPercent val="0"/>
          <c:showBubbleSize val="0"/>
        </c:dLbls>
        <c:marker val="1"/>
        <c:smooth val="0"/>
        <c:axId val="2099496856"/>
        <c:axId val="2099854472"/>
      </c:lineChart>
      <c:catAx>
        <c:axId val="2099496856"/>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54472"/>
        <c:crosses val="autoZero"/>
        <c:auto val="1"/>
        <c:lblAlgn val="ctr"/>
        <c:lblOffset val="100"/>
        <c:noMultiLvlLbl val="0"/>
      </c:catAx>
      <c:valAx>
        <c:axId val="2099854472"/>
        <c:scaling>
          <c:orientation val="minMax"/>
          <c:max val="30"/>
          <c:min val="0"/>
        </c:scaling>
        <c:delete val="0"/>
        <c:axPos val="l"/>
        <c:numFmt formatCode="General" sourceLinked="1"/>
        <c:majorTickMark val="none"/>
        <c:minorTickMark val="none"/>
        <c:tickLblPos val="nextTo"/>
        <c:spPr>
          <a:noFill/>
          <a:ln w="1905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9685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4</xdr:col>
      <xdr:colOff>1384300</xdr:colOff>
      <xdr:row>38</xdr:row>
      <xdr:rowOff>168638</xdr:rowOff>
    </xdr:to>
    <xdr:grpSp>
      <xdr:nvGrpSpPr>
        <xdr:cNvPr id="5" name="Group 4">
          <a:extLst>
            <a:ext uri="{FF2B5EF4-FFF2-40B4-BE49-F238E27FC236}">
              <a16:creationId xmlns:a16="http://schemas.microsoft.com/office/drawing/2014/main" id="{00000000-0008-0000-0800-000005000000}"/>
            </a:ext>
          </a:extLst>
        </xdr:cNvPr>
        <xdr:cNvGrpSpPr/>
      </xdr:nvGrpSpPr>
      <xdr:grpSpPr>
        <a:xfrm>
          <a:off x="0" y="1524000"/>
          <a:ext cx="8880475" cy="5883638"/>
          <a:chOff x="0" y="1477818"/>
          <a:chExt cx="9235209" cy="5710456"/>
        </a:xfrm>
      </xdr:grpSpPr>
      <xdr:pic>
        <xdr:nvPicPr>
          <xdr:cNvPr id="2" name="Picture 1" descr="http://www.gazette.gc.ca/rp-pr/p2/2017/2017-10-18/html/HFCemissions-emissionsHFC-eng.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818"/>
            <a:ext cx="9235209" cy="5710456"/>
          </a:xfrm>
          <a:prstGeom prst="rect">
            <a:avLst/>
          </a:prstGeom>
          <a:noFill/>
          <a:extLst>
            <a:ext uri="{909E8E84-426E-40dd-AFC4-6F175D3DCCD1}">
              <a14:hiddenFill xmlns:a14="http://schemas.microsoft.com/office/drawing/2010/main" xmlns="">
                <a:solidFill>
                  <a:srgbClr val="FFFFFF"/>
                </a:solidFill>
              </a14:hiddenFill>
            </a:ext>
          </a:extLst>
        </xdr:spPr>
      </xdr:pic>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527050" y="2124074"/>
          <a:ext cx="8067089" cy="483148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A.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A.1.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A.2"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A.2.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1"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1.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1.2"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1.3"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2"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3"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4"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B.5"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I)1"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I)2"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I)3"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II)4"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Brianne/Library/Caches/TemporaryItems/Outlook%20Temp/4(KP)Recalculation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Brianne/Library/Caches/TemporaryItems/Outlook%20Temp/accounting"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Brianne/Library/Caches/TemporaryItems/Outlook%20Temp/NIR-1"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Brianne/Library/Caches/TemporaryItems/Outlook%20Temp/NIR-2"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Brianne/Library/Caches/TemporaryItems/Outlook%20Temp/NIR-2.1"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Brianne/Library/Caches/TemporaryItems/Outlook%20Temp/NI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1"/>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2"/>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2"/>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3"/>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4"/>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Recalculations"/>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ing"/>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1"/>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3"/>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refreshedDate="43125.438588541663" createdVersion="6" refreshedVersion="6" minRefreshableVersion="3" recordCount="56">
  <cacheSource type="worksheet">
    <worksheetSource ref="A1:AV57" sheet="Other Industrial Processes"/>
  </cacheSource>
  <cacheFields count="48">
    <cacheField name="Sub-Sector" numFmtId="0">
      <sharedItems/>
    </cacheField>
    <cacheField name="Model Sector" numFmtId="0">
      <sharedItems count="10">
        <s v="Chemicals"/>
        <s v="Iron and Steel"/>
        <s v="Other Industries"/>
        <s v="Agriculture"/>
        <s v="Waste" u="1"/>
        <s v="Exclude" u="1"/>
        <s v="Other" u="1"/>
        <s v="Cement and Other Carbonates" u="1"/>
        <s v="Coal Mining" u="1"/>
        <s v="Natural Gas and Petroleum Systems" u="1"/>
      </sharedItems>
    </cacheField>
    <cacheField name="Pollutant" numFmtId="0">
      <sharedItems containsBlank="1" count="8">
        <s v="CO2"/>
        <s v="CH4"/>
        <s v="N2O"/>
        <s v="HFCs"/>
        <s v="PFCs"/>
        <s v="SF6"/>
        <s v="NF3"/>
        <m u="1"/>
      </sharedItems>
    </cacheField>
    <cacheField name="2006" numFmtId="0">
      <sharedItems containsSemiMixedTypes="0" containsString="0" containsNumber="1" minValue="0" maxValue="9901.5583015854208"/>
    </cacheField>
    <cacheField name="2007" numFmtId="0">
      <sharedItems containsSemiMixedTypes="0" containsString="0" containsNumber="1" minValue="0" maxValue="9985.3530042505899"/>
    </cacheField>
    <cacheField name="2008" numFmtId="0">
      <sharedItems containsSemiMixedTypes="0" containsString="0" containsNumber="1" minValue="0" maxValue="9394.5148099248199"/>
    </cacheField>
    <cacheField name="2009" numFmtId="0">
      <sharedItems containsSemiMixedTypes="0" containsString="0" containsNumber="1" minValue="0" maxValue="9645.5195049308804"/>
    </cacheField>
    <cacheField name="2010" numFmtId="0">
      <sharedItems containsSemiMixedTypes="0" containsString="0" containsNumber="1" minValue="0" maxValue="10764.7105639969"/>
    </cacheField>
    <cacheField name="2011" numFmtId="0">
      <sharedItems containsSemiMixedTypes="0" containsString="0" containsNumber="1" minValue="0" maxValue="12012.5704480963"/>
    </cacheField>
    <cacheField name="2012" numFmtId="0">
      <sharedItems containsSemiMixedTypes="0" containsString="0" containsNumber="1" minValue="0" maxValue="15166.498790269499"/>
    </cacheField>
    <cacheField name="2013" numFmtId="0">
      <sharedItems containsSemiMixedTypes="0" containsString="0" containsNumber="1" minValue="0" maxValue="14651.4209538672"/>
    </cacheField>
    <cacheField name="2014" numFmtId="0">
      <sharedItems containsSemiMixedTypes="0" containsString="0" containsNumber="1" minValue="0" maxValue="11654.132507672601"/>
    </cacheField>
    <cacheField name="2015" numFmtId="0">
      <sharedItems containsSemiMixedTypes="0" containsString="0" containsNumber="1" minValue="0" maxValue="10797.8200666047"/>
    </cacheField>
    <cacheField name="2016" numFmtId="0">
      <sharedItems containsSemiMixedTypes="0" containsString="0" containsNumber="1" minValue="0" maxValue="10897.404707162397"/>
    </cacheField>
    <cacheField name="2017" numFmtId="0">
      <sharedItems containsSemiMixedTypes="0" containsString="0" containsNumber="1" minValue="0" maxValue="10996.989347720095"/>
    </cacheField>
    <cacheField name="2018" numFmtId="0">
      <sharedItems containsSemiMixedTypes="0" containsString="0" containsNumber="1" minValue="0" maxValue="11096.573988277793"/>
    </cacheField>
    <cacheField name="2019" numFmtId="0">
      <sharedItems containsSemiMixedTypes="0" containsString="0" containsNumber="1" minValue="0" maxValue="11196.15862883549"/>
    </cacheField>
    <cacheField name="2020" numFmtId="0">
      <sharedItems containsSemiMixedTypes="0" containsString="0" containsNumber="1" minValue="0" maxValue="11295.743269393188"/>
    </cacheField>
    <cacheField name="2021" numFmtId="0">
      <sharedItems containsSemiMixedTypes="0" containsString="0" containsNumber="1" minValue="0" maxValue="11395.327909950885"/>
    </cacheField>
    <cacheField name="2022" numFmtId="0">
      <sharedItems containsSemiMixedTypes="0" containsString="0" containsNumber="1" minValue="0" maxValue="11494.912550508583"/>
    </cacheField>
    <cacheField name="2023" numFmtId="0">
      <sharedItems containsSemiMixedTypes="0" containsString="0" containsNumber="1" minValue="0" maxValue="11594.497191066281"/>
    </cacheField>
    <cacheField name="2024" numFmtId="0">
      <sharedItems containsSemiMixedTypes="0" containsString="0" containsNumber="1" minValue="0" maxValue="11694.081831623978"/>
    </cacheField>
    <cacheField name="2025" numFmtId="0">
      <sharedItems containsSemiMixedTypes="0" containsString="0" containsNumber="1" minValue="0" maxValue="11793.666472181676"/>
    </cacheField>
    <cacheField name="2026" numFmtId="0">
      <sharedItems containsSemiMixedTypes="0" containsString="0" containsNumber="1" minValue="0" maxValue="11893.251112739374"/>
    </cacheField>
    <cacheField name="2027" numFmtId="0">
      <sharedItems containsSemiMixedTypes="0" containsString="0" containsNumber="1" minValue="0" maxValue="11992.835753297071"/>
    </cacheField>
    <cacheField name="2028" numFmtId="0">
      <sharedItems containsSemiMixedTypes="0" containsString="0" containsNumber="1" minValue="0" maxValue="12092.420393854769"/>
    </cacheField>
    <cacheField name="2029" numFmtId="0">
      <sharedItems containsSemiMixedTypes="0" containsString="0" containsNumber="1" minValue="0" maxValue="12192.005034412467"/>
    </cacheField>
    <cacheField name="2030" numFmtId="0">
      <sharedItems containsSemiMixedTypes="0" containsString="0" containsNumber="1" minValue="0" maxValue="12291.589674970164"/>
    </cacheField>
    <cacheField name="2031" numFmtId="0">
      <sharedItems containsSemiMixedTypes="0" containsString="0" containsNumber="1" minValue="0" maxValue="12391.174315527862"/>
    </cacheField>
    <cacheField name="2032" numFmtId="0">
      <sharedItems containsSemiMixedTypes="0" containsString="0" containsNumber="1" minValue="0" maxValue="12490.758956085559"/>
    </cacheField>
    <cacheField name="2033" numFmtId="0">
      <sharedItems containsSemiMixedTypes="0" containsString="0" containsNumber="1" minValue="0" maxValue="12590.343596643257"/>
    </cacheField>
    <cacheField name="2034" numFmtId="0">
      <sharedItems containsSemiMixedTypes="0" containsString="0" containsNumber="1" minValue="0" maxValue="12689.928237200955"/>
    </cacheField>
    <cacheField name="2035" numFmtId="0">
      <sharedItems containsSemiMixedTypes="0" containsString="0" containsNumber="1" minValue="0" maxValue="12789.512877758652"/>
    </cacheField>
    <cacheField name="2036" numFmtId="0">
      <sharedItems containsSemiMixedTypes="0" containsString="0" containsNumber="1" minValue="0" maxValue="12889.09751831635"/>
    </cacheField>
    <cacheField name="2037" numFmtId="0">
      <sharedItems containsSemiMixedTypes="0" containsString="0" containsNumber="1" minValue="0" maxValue="12988.682158874048"/>
    </cacheField>
    <cacheField name="2038" numFmtId="0">
      <sharedItems containsSemiMixedTypes="0" containsString="0" containsNumber="1" minValue="0" maxValue="13088.266799431745"/>
    </cacheField>
    <cacheField name="2039" numFmtId="0">
      <sharedItems containsSemiMixedTypes="0" containsString="0" containsNumber="1" minValue="0" maxValue="13187.851439989443"/>
    </cacheField>
    <cacheField name="2040" numFmtId="0">
      <sharedItems containsSemiMixedTypes="0" containsString="0" containsNumber="1" minValue="0" maxValue="13287.436080547141"/>
    </cacheField>
    <cacheField name="2041" numFmtId="0">
      <sharedItems containsSemiMixedTypes="0" containsString="0" containsNumber="1" minValue="0" maxValue="13387.020721104838"/>
    </cacheField>
    <cacheField name="2042" numFmtId="0">
      <sharedItems containsSemiMixedTypes="0" containsString="0" containsNumber="1" minValue="0" maxValue="13486.605361662536"/>
    </cacheField>
    <cacheField name="2043" numFmtId="0">
      <sharedItems containsSemiMixedTypes="0" containsString="0" containsNumber="1" minValue="0" maxValue="13586.190002220234"/>
    </cacheField>
    <cacheField name="2044" numFmtId="0">
      <sharedItems containsSemiMixedTypes="0" containsString="0" containsNumber="1" minValue="0" maxValue="13685.774642777931"/>
    </cacheField>
    <cacheField name="2045" numFmtId="0">
      <sharedItems containsSemiMixedTypes="0" containsString="0" containsNumber="1" minValue="0" maxValue="13785.359283335629"/>
    </cacheField>
    <cacheField name="2046" numFmtId="0">
      <sharedItems containsSemiMixedTypes="0" containsString="0" containsNumber="1" minValue="0" maxValue="13884.943923893326"/>
    </cacheField>
    <cacheField name="2047" numFmtId="0">
      <sharedItems containsSemiMixedTypes="0" containsString="0" containsNumber="1" minValue="0" maxValue="13984.528564451024"/>
    </cacheField>
    <cacheField name="2048" numFmtId="0">
      <sharedItems containsSemiMixedTypes="0" containsString="0" containsNumber="1" minValue="0" maxValue="14084.113205008722"/>
    </cacheField>
    <cacheField name="2049" numFmtId="0">
      <sharedItems containsSemiMixedTypes="0" containsString="0" containsNumber="1" minValue="0" maxValue="14183.697845566419"/>
    </cacheField>
    <cacheField name="2050" numFmtId="0">
      <sharedItems containsSemiMixedTypes="0" containsString="0" containsNumber="1" minValue="0" maxValue="14283.2824861241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6">
  <r>
    <s v="Ammonia Production"/>
    <x v="0"/>
    <x v="0"/>
    <n v="2782.9837384538"/>
    <n v="2574.83286387421"/>
    <n v="2805.04440098547"/>
    <n v="2400.66202738946"/>
    <n v="2491.2036086005501"/>
    <n v="2881.1580168077799"/>
    <n v="3002.3836115117401"/>
    <n v="2949.9646226688501"/>
    <n v="2535.5448819287499"/>
    <n v="2850.8286025819598"/>
    <n v="2858.3669208184219"/>
    <n v="2865.9052390548841"/>
    <n v="2873.4435572913462"/>
    <n v="2880.9818755278084"/>
    <n v="2888.5201937642705"/>
    <n v="2896.0585120007327"/>
    <n v="2903.5968302371948"/>
    <n v="2911.135148473657"/>
    <n v="2918.6734667101191"/>
    <n v="2926.2117849465812"/>
    <n v="2933.7501031830434"/>
    <n v="2941.2884214195055"/>
    <n v="2948.8267396559677"/>
    <n v="2956.3650578924298"/>
    <n v="2963.903376128892"/>
    <n v="2971.4416943653541"/>
    <n v="2978.9800126018163"/>
    <n v="2986.5183308382784"/>
    <n v="2994.0566490747406"/>
    <n v="3001.5949673112027"/>
    <n v="3009.1332855476649"/>
    <n v="3016.671603784127"/>
    <n v="3024.2099220205891"/>
    <n v="3031.7482402570513"/>
    <n v="3039.2865584935134"/>
    <n v="3046.8248767299756"/>
    <n v="3054.3631949664377"/>
    <n v="3061.9015132028999"/>
    <n v="3069.439831439362"/>
    <n v="3076.9781496758242"/>
    <n v="3084.5164679122863"/>
    <n v="3092.0547861487485"/>
    <n v="3099.5931043852106"/>
    <n v="3107.1314226216728"/>
    <n v="3114.6697408581349"/>
  </r>
  <r>
    <s v="Nitric Acid Production"/>
    <x v="0"/>
    <x v="0"/>
    <n v="0"/>
    <n v="0"/>
    <n v="0"/>
    <n v="0"/>
    <n v="0"/>
    <n v="0"/>
    <n v="0"/>
    <n v="0"/>
    <n v="0"/>
    <n v="0"/>
    <n v="0"/>
    <n v="0"/>
    <n v="0"/>
    <n v="0"/>
    <n v="0"/>
    <n v="0"/>
    <n v="0"/>
    <n v="0"/>
    <n v="0"/>
    <n v="0"/>
    <n v="0"/>
    <n v="0"/>
    <n v="0"/>
    <n v="0"/>
    <n v="0"/>
    <n v="0"/>
    <n v="0"/>
    <n v="0"/>
    <n v="0"/>
    <n v="0"/>
    <n v="0"/>
    <n v="0"/>
    <n v="0"/>
    <n v="0"/>
    <n v="0"/>
    <n v="0"/>
    <n v="0"/>
    <n v="0"/>
    <n v="0"/>
    <n v="0"/>
    <n v="0"/>
    <n v="0"/>
    <n v="0"/>
    <n v="0"/>
    <n v="0"/>
  </r>
  <r>
    <s v="Adipic Acid Production"/>
    <x v="0"/>
    <x v="0"/>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0"/>
    <n v="2839.9912561958499"/>
    <n v="2322.1804849907498"/>
    <n v="1982.2466207165"/>
    <n v="1651.9038675642701"/>
    <n v="1839.9182354336499"/>
    <n v="2012.29543418412"/>
    <n v="2250.7953942529798"/>
    <n v="2374.4985245625098"/>
    <n v="2340.2961357262502"/>
    <n v="2459.1634618397802"/>
    <n v="2233.1112878555755"/>
    <n v="2242.3194867148668"/>
    <n v="2251.5656554356201"/>
    <n v="2260.8499505859568"/>
    <n v="2270.1725293796021"/>
    <n v="2279.5335496785506"/>
    <n v="2288.933169995737"/>
    <n v="2298.3715494977214"/>
    <n v="2307.848848007387"/>
    <n v="2317.3652260066419"/>
    <n v="2326.9208446391399"/>
    <n v="2336.5158657130069"/>
    <n v="2346.1504517035842"/>
    <n v="2355.8247657561756"/>
    <n v="2365.5389716888121"/>
    <n v="2375.2932339950262"/>
    <n v="2385.0877178466385"/>
    <n v="2394.9225890965504"/>
    <n v="2404.7980142815545"/>
    <n v="2414.7141606251598"/>
    <n v="2424.6711960404141"/>
    <n v="2434.6692891327539"/>
    <n v="2444.7086092028553"/>
    <n v="2454.789326249509"/>
    <n v="2464.9116109724878"/>
    <n v="2475.0756347754409"/>
    <n v="2485.2815697688025"/>
    <n v="2495.5295887726993"/>
    <n v="2505.8198653198797"/>
    <n v="2516.1525736586495"/>
    <n v="2526.5278887558266"/>
    <n v="2536.945986299701"/>
    <n v="2547.4070427030119"/>
    <n v="2557.9112351059316"/>
    <n v="2568.4587413790687"/>
  </r>
  <r>
    <s v="Non-Energy Products from Fuels and Solvent Use"/>
    <x v="1"/>
    <x v="0"/>
    <n v="9901.5583015854208"/>
    <n v="9985.3530042505899"/>
    <n v="9394.5148099248199"/>
    <n v="9645.5195049308804"/>
    <n v="10764.7105639969"/>
    <n v="12012.5704480963"/>
    <n v="15166.498790269499"/>
    <n v="14651.4209538672"/>
    <n v="11654.132507672601"/>
    <n v="10797.8200666047"/>
    <n v="10897.404707162397"/>
    <n v="10996.989347720095"/>
    <n v="11096.573988277793"/>
    <n v="11196.15862883549"/>
    <n v="11295.743269393188"/>
    <n v="11395.327909950885"/>
    <n v="11494.912550508583"/>
    <n v="11594.497191066281"/>
    <n v="11694.081831623978"/>
    <n v="11793.666472181676"/>
    <n v="11893.251112739374"/>
    <n v="11992.835753297071"/>
    <n v="12092.420393854769"/>
    <n v="12192.005034412467"/>
    <n v="12291.589674970164"/>
    <n v="12391.174315527862"/>
    <n v="12490.758956085559"/>
    <n v="12590.343596643257"/>
    <n v="12689.928237200955"/>
    <n v="12789.512877758652"/>
    <n v="12889.09751831635"/>
    <n v="12988.682158874048"/>
    <n v="13088.266799431745"/>
    <n v="13187.851439989443"/>
    <n v="13287.436080547141"/>
    <n v="13387.020721104838"/>
    <n v="13486.605361662536"/>
    <n v="13586.190002220234"/>
    <n v="13685.774642777931"/>
    <n v="13785.359283335629"/>
    <n v="13884.943923893326"/>
    <n v="13984.528564451024"/>
    <n v="14084.113205008722"/>
    <n v="14183.697845566419"/>
    <n v="14283.282486124117"/>
  </r>
  <r>
    <s v="Other Product Manufacture and Use"/>
    <x v="2"/>
    <x v="0"/>
    <n v="0"/>
    <n v="0"/>
    <n v="1.2092039699149699E-5"/>
    <n v="0.43557985195232102"/>
    <n v="3.0184356170623698"/>
    <n v="7.9434312381582401"/>
    <n v="13.2189631339751"/>
    <n v="16.922704482950699"/>
    <n v="20.916656315935501"/>
    <n v="24.687144672460501"/>
    <n v="27.430160747178334"/>
    <n v="30.173176821896167"/>
    <n v="32.916192896614"/>
    <n v="35.659208971331836"/>
    <n v="38.402225046049672"/>
    <n v="41.145241120767508"/>
    <n v="43.888257195485345"/>
    <n v="46.631273270203181"/>
    <n v="49.374289344921017"/>
    <n v="52.117305419638853"/>
    <n v="54.86032149435669"/>
    <n v="57.603337569074526"/>
    <n v="60.346353643792362"/>
    <n v="63.089369718510198"/>
    <n v="65.832385793228028"/>
    <n v="68.575401867945857"/>
    <n v="71.318417942663686"/>
    <n v="74.061434017381515"/>
    <n v="76.804450092099344"/>
    <n v="79.547466166817173"/>
    <n v="82.290482241535003"/>
    <n v="85.033498316252832"/>
    <n v="87.776514390970661"/>
    <n v="90.51953046568849"/>
    <n v="93.262546540406319"/>
    <n v="96.005562615124148"/>
    <n v="98.748578689841978"/>
    <n v="101.49159476455981"/>
    <n v="104.23461083927764"/>
    <n v="106.97762691399546"/>
    <n v="109.72064298871329"/>
    <n v="112.46365906343112"/>
    <n v="115.20667513814895"/>
    <n v="117.94969121286678"/>
    <n v="120.69270728758461"/>
  </r>
  <r>
    <s v="Field Burning of Agricultural Residues"/>
    <x v="3"/>
    <x v="0"/>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0"/>
    <n v="1466.8219426666701"/>
    <n v="1744.4915957333301"/>
    <n v="1722.1991863999999"/>
    <n v="1840.0936546666701"/>
    <n v="1787.5197648000001"/>
    <n v="2004.4332205333301"/>
    <n v="2332.6338728000001"/>
    <n v="2675.6810666666702"/>
    <n v="2499.5447546666701"/>
    <n v="2676.35142133407"/>
    <n v="2810.7435856304478"/>
    <n v="2945.1357499268256"/>
    <n v="3079.5279142232034"/>
    <n v="3213.9200785195812"/>
    <n v="3348.3122428159591"/>
    <n v="3482.7044071123369"/>
    <n v="3617.0965714087147"/>
    <n v="3751.4887357050925"/>
    <n v="3885.8809000014703"/>
    <n v="4020.2730642978481"/>
    <n v="4154.6652285942255"/>
    <n v="4289.0573928906033"/>
    <n v="4423.4495571869811"/>
    <n v="4557.8417214833589"/>
    <n v="4692.2338857797367"/>
    <n v="4826.6260500761146"/>
    <n v="4961.0182143724924"/>
    <n v="5095.4103786688702"/>
    <n v="5229.802542965248"/>
    <n v="5364.1947072616258"/>
    <n v="5498.5868715580036"/>
    <n v="5632.9790358543814"/>
    <n v="5767.3712001507593"/>
    <n v="5901.7633644471371"/>
    <n v="6036.1555287435149"/>
    <n v="6170.5476930398927"/>
    <n v="6304.9398573362705"/>
    <n v="6439.3320216326483"/>
    <n v="6573.7241859290261"/>
    <n v="6708.1163502254039"/>
    <n v="6842.5085145217818"/>
    <n v="6976.9006788181596"/>
    <n v="7111.2928431145374"/>
    <n v="7245.6850074109152"/>
    <n v="7380.077171707293"/>
  </r>
  <r>
    <s v="Ammonia Production"/>
    <x v="0"/>
    <x v="1"/>
    <n v="0"/>
    <n v="0"/>
    <n v="0"/>
    <n v="0"/>
    <n v="0"/>
    <n v="0"/>
    <n v="0"/>
    <n v="0"/>
    <n v="0"/>
    <n v="0"/>
    <n v="0"/>
    <n v="0"/>
    <n v="0"/>
    <n v="0"/>
    <n v="0"/>
    <n v="0"/>
    <n v="0"/>
    <n v="0"/>
    <n v="0"/>
    <n v="0"/>
    <n v="0"/>
    <n v="0"/>
    <n v="0"/>
    <n v="0"/>
    <n v="0"/>
    <n v="0"/>
    <n v="0"/>
    <n v="0"/>
    <n v="0"/>
    <n v="0"/>
    <n v="0"/>
    <n v="0"/>
    <n v="0"/>
    <n v="0"/>
    <n v="0"/>
    <n v="0"/>
    <n v="0"/>
    <n v="0"/>
    <n v="0"/>
    <n v="0"/>
    <n v="0"/>
    <n v="0"/>
    <n v="0"/>
    <n v="0"/>
    <n v="0"/>
  </r>
  <r>
    <s v="Nitric Acid Production"/>
    <x v="0"/>
    <x v="1"/>
    <n v="0"/>
    <n v="0"/>
    <n v="0"/>
    <n v="0"/>
    <n v="0"/>
    <n v="0"/>
    <n v="0"/>
    <n v="0"/>
    <n v="0"/>
    <n v="0"/>
    <n v="0"/>
    <n v="0"/>
    <n v="0"/>
    <n v="0"/>
    <n v="0"/>
    <n v="0"/>
    <n v="0"/>
    <n v="0"/>
    <n v="0"/>
    <n v="0"/>
    <n v="0"/>
    <n v="0"/>
    <n v="0"/>
    <n v="0"/>
    <n v="0"/>
    <n v="0"/>
    <n v="0"/>
    <n v="0"/>
    <n v="0"/>
    <n v="0"/>
    <n v="0"/>
    <n v="0"/>
    <n v="0"/>
    <n v="0"/>
    <n v="0"/>
    <n v="0"/>
    <n v="0"/>
    <n v="0"/>
    <n v="0"/>
    <n v="0"/>
    <n v="0"/>
    <n v="0"/>
    <n v="0"/>
    <n v="0"/>
    <n v="0"/>
  </r>
  <r>
    <s v="Adipic Acid Production"/>
    <x v="0"/>
    <x v="1"/>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1"/>
    <n v="3.5180355664709202"/>
    <n v="3.53644501960733"/>
    <n v="3.1901022766221598"/>
    <n v="2.7337915349319499"/>
    <n v="2.7722220212043598"/>
    <n v="2.8059876582054"/>
    <n v="2.8868261349638402"/>
    <n v="3.18231452103131"/>
    <n v="3.2438897516677399"/>
    <n v="2.9143630708186801"/>
    <n v="0"/>
    <n v="0"/>
    <n v="0"/>
    <n v="0"/>
    <n v="0"/>
    <n v="0"/>
    <n v="0"/>
    <n v="0"/>
    <n v="0"/>
    <n v="0"/>
    <n v="0"/>
    <n v="0"/>
    <n v="0"/>
    <n v="0"/>
    <n v="0"/>
    <n v="0"/>
    <n v="0"/>
    <n v="0"/>
    <n v="0"/>
    <n v="0"/>
    <n v="0"/>
    <n v="0"/>
    <n v="0"/>
    <n v="0"/>
    <n v="0"/>
    <n v="0"/>
    <n v="0"/>
    <n v="0"/>
    <n v="0"/>
    <n v="0"/>
    <n v="0"/>
    <n v="0"/>
    <n v="0"/>
    <n v="0"/>
    <n v="0"/>
  </r>
  <r>
    <s v="Non-Energy Products from Fuels and Solvent Use"/>
    <x v="1"/>
    <x v="1"/>
    <n v="0"/>
    <n v="0"/>
    <n v="0"/>
    <n v="0"/>
    <n v="0"/>
    <n v="0"/>
    <n v="0"/>
    <n v="0"/>
    <n v="0"/>
    <n v="0"/>
    <n v="0"/>
    <n v="0"/>
    <n v="0"/>
    <n v="0"/>
    <n v="0"/>
    <n v="0"/>
    <n v="0"/>
    <n v="0"/>
    <n v="0"/>
    <n v="0"/>
    <n v="0"/>
    <n v="0"/>
    <n v="0"/>
    <n v="0"/>
    <n v="0"/>
    <n v="0"/>
    <n v="0"/>
    <n v="0"/>
    <n v="0"/>
    <n v="0"/>
    <n v="0"/>
    <n v="0"/>
    <n v="0"/>
    <n v="0"/>
    <n v="0"/>
    <n v="0"/>
    <n v="0"/>
    <n v="0"/>
    <n v="0"/>
    <n v="0"/>
    <n v="0"/>
    <n v="0"/>
    <n v="0"/>
    <n v="0"/>
    <n v="0"/>
  </r>
  <r>
    <s v="Other Product Manufacture and Use"/>
    <x v="2"/>
    <x v="1"/>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1"/>
    <n v="1.5089026180226699"/>
    <n v="1.1967144539888299"/>
    <n v="1.5428531493532001"/>
    <n v="1.5200567144570001"/>
    <n v="1.0059982476566001"/>
    <n v="0.92984559113441301"/>
    <n v="1.18663402660324"/>
    <n v="1.59186372730834"/>
    <n v="1.4570819565595099"/>
    <n v="1.6782000395322001"/>
    <n v="1.6970108641443702"/>
    <n v="1.7158216887565403"/>
    <n v="1.7346325133687104"/>
    <n v="1.7534433379808805"/>
    <n v="1.7722541625930506"/>
    <n v="1.7910649872052207"/>
    <n v="1.8098758118173908"/>
    <n v="1.8286866364295609"/>
    <n v="1.847497461041731"/>
    <n v="1.8663082856539011"/>
    <n v="1.8851191102660712"/>
    <n v="1.9039299348782412"/>
    <n v="1.9227407594904113"/>
    <n v="1.9415515841025814"/>
    <n v="1.9603624087147515"/>
    <n v="1.9791732333269216"/>
    <n v="1.9979840579390917"/>
    <n v="2.0167948825512618"/>
    <n v="2.0356057071634317"/>
    <n v="2.0544165317756016"/>
    <n v="2.0732273563877714"/>
    <n v="2.0920381809999413"/>
    <n v="2.1108490056121112"/>
    <n v="2.1296598302242811"/>
    <n v="2.1484706548364509"/>
    <n v="2.1672814794486208"/>
    <n v="2.1860923040607907"/>
    <n v="2.2049031286729606"/>
    <n v="2.2237139532851304"/>
    <n v="2.2425247778973003"/>
    <n v="2.2613356025094702"/>
    <n v="2.2801464271216401"/>
    <n v="2.2989572517338099"/>
    <n v="2.3177680763459798"/>
    <n v="2.3365789009581497"/>
  </r>
  <r>
    <s v="Liming, Urea Application and Other Carbon-containing Fertilizers "/>
    <x v="3"/>
    <x v="1"/>
    <n v="0"/>
    <n v="0"/>
    <n v="0"/>
    <n v="0"/>
    <n v="0"/>
    <n v="0"/>
    <n v="0"/>
    <n v="0"/>
    <n v="0"/>
    <n v="0"/>
    <n v="0"/>
    <n v="0"/>
    <n v="0"/>
    <n v="0"/>
    <n v="0"/>
    <n v="0"/>
    <n v="0"/>
    <n v="0"/>
    <n v="0"/>
    <n v="0"/>
    <n v="0"/>
    <n v="0"/>
    <n v="0"/>
    <n v="0"/>
    <n v="0"/>
    <n v="0"/>
    <n v="0"/>
    <n v="0"/>
    <n v="0"/>
    <n v="0"/>
    <n v="0"/>
    <n v="0"/>
    <n v="0"/>
    <n v="0"/>
    <n v="0"/>
    <n v="0"/>
    <n v="0"/>
    <n v="0"/>
    <n v="0"/>
    <n v="0"/>
    <n v="0"/>
    <n v="0"/>
    <n v="0"/>
    <n v="0"/>
    <n v="0"/>
  </r>
  <r>
    <s v="Ammonia Production"/>
    <x v="0"/>
    <x v="2"/>
    <n v="0"/>
    <n v="0"/>
    <n v="0"/>
    <n v="0"/>
    <n v="0"/>
    <n v="0"/>
    <n v="0"/>
    <n v="0"/>
    <n v="0"/>
    <n v="0"/>
    <n v="0"/>
    <n v="0"/>
    <n v="0"/>
    <n v="0"/>
    <n v="0"/>
    <n v="0"/>
    <n v="0"/>
    <n v="0"/>
    <n v="0"/>
    <n v="0"/>
    <n v="0"/>
    <n v="0"/>
    <n v="0"/>
    <n v="0"/>
    <n v="0"/>
    <n v="0"/>
    <n v="0"/>
    <n v="0"/>
    <n v="0"/>
    <n v="0"/>
    <n v="0"/>
    <n v="0"/>
    <n v="0"/>
    <n v="0"/>
    <n v="0"/>
    <n v="0"/>
    <n v="0"/>
    <n v="0"/>
    <n v="0"/>
    <n v="0"/>
    <n v="0"/>
    <n v="0"/>
    <n v="0"/>
    <n v="0"/>
    <n v="0"/>
  </r>
  <r>
    <s v="Nitric Acid Production"/>
    <x v="0"/>
    <x v="2"/>
    <n v="3.9799743799999998"/>
    <n v="3.6583747612000002"/>
    <n v="4.1335987799999998"/>
    <n v="3.7084868320000002"/>
    <n v="3.5568846999999999"/>
    <n v="3.7514720399999999"/>
    <n v="3.5894257860665801"/>
    <n v="3.3155296862638699"/>
    <n v="3.4374684069790402"/>
    <n v="3.72756888816276"/>
    <n v="0"/>
    <n v="0"/>
    <n v="0"/>
    <n v="0"/>
    <n v="0"/>
    <n v="0"/>
    <n v="0"/>
    <n v="0"/>
    <n v="0"/>
    <n v="0"/>
    <n v="0"/>
    <n v="0"/>
    <n v="0"/>
    <n v="0"/>
    <n v="0"/>
    <n v="0"/>
    <n v="0"/>
    <n v="0"/>
    <n v="0"/>
    <n v="0"/>
    <n v="0"/>
    <n v="0"/>
    <n v="0"/>
    <n v="0"/>
    <n v="0"/>
    <n v="0"/>
    <n v="0"/>
    <n v="0"/>
    <n v="0"/>
    <n v="0"/>
    <n v="0"/>
    <n v="0"/>
    <n v="0"/>
    <n v="0"/>
    <n v="0"/>
  </r>
  <r>
    <s v="Adipic Acid Production"/>
    <x v="0"/>
    <x v="2"/>
    <n v="3.899"/>
    <n v="4.8112029999999999"/>
    <n v="7.7695210000000001"/>
    <n v="2.1351140000000002"/>
    <n v="0"/>
    <n v="0"/>
    <n v="0"/>
    <n v="0"/>
    <n v="0"/>
    <n v="0"/>
    <n v="0"/>
    <n v="0"/>
    <n v="0"/>
    <n v="0"/>
    <n v="0"/>
    <n v="0"/>
    <n v="0"/>
    <n v="0"/>
    <n v="0"/>
    <n v="0"/>
    <n v="0"/>
    <n v="0"/>
    <n v="0"/>
    <n v="0"/>
    <n v="0"/>
    <n v="0"/>
    <n v="0"/>
    <n v="0"/>
    <n v="0"/>
    <n v="0"/>
    <n v="0"/>
    <n v="0"/>
    <n v="0"/>
    <n v="0"/>
    <n v="0"/>
    <n v="0"/>
    <n v="0"/>
    <n v="0"/>
    <n v="0"/>
    <n v="0"/>
    <n v="0"/>
    <n v="0.27821726946095515"/>
    <n v="0.26949968749856201"/>
    <n v="0.26105525980663624"/>
    <n v="0.25287542744580732"/>
  </r>
  <r>
    <s v="Petrochemical and Carbon Black Production"/>
    <x v="0"/>
    <x v="2"/>
    <n v="4.49750179804548E-2"/>
    <n v="4.0137549789849E-2"/>
    <n v="3.3719710607003198E-2"/>
    <n v="2.9121434256257999E-2"/>
    <n v="3.2853160121067503E-2"/>
    <n v="3.4025446420994802E-2"/>
    <n v="3.7675827056943403E-2"/>
    <n v="3.9040862155610499E-2"/>
    <n v="3.91274752237828E-2"/>
    <n v="4.0233062563133103E-2"/>
    <n v="0"/>
    <n v="0"/>
    <n v="0"/>
    <n v="0"/>
    <n v="0"/>
    <n v="0"/>
    <n v="0"/>
    <n v="0"/>
    <n v="0"/>
    <n v="0"/>
    <n v="0"/>
    <n v="0"/>
    <n v="0"/>
    <n v="0"/>
    <n v="0"/>
    <n v="0"/>
    <n v="0"/>
    <n v="0"/>
    <n v="0"/>
    <n v="0"/>
    <n v="0"/>
    <n v="0"/>
    <n v="0"/>
    <n v="0"/>
    <n v="0"/>
    <n v="0"/>
    <n v="0"/>
    <n v="0"/>
    <n v="0"/>
    <n v="0"/>
    <n v="0"/>
    <n v="0"/>
    <n v="0"/>
    <n v="0"/>
    <n v="0"/>
  </r>
  <r>
    <s v="Non-Energy Products from Fuels and Solvent Use"/>
    <x v="1"/>
    <x v="2"/>
    <n v="0"/>
    <n v="0"/>
    <n v="0"/>
    <n v="0"/>
    <n v="0"/>
    <n v="0"/>
    <n v="0"/>
    <n v="0"/>
    <n v="0"/>
    <n v="0"/>
    <n v="0"/>
    <n v="0"/>
    <n v="0"/>
    <n v="0"/>
    <n v="0"/>
    <n v="0"/>
    <n v="0"/>
    <n v="0"/>
    <n v="0"/>
    <n v="0"/>
    <n v="0"/>
    <n v="0"/>
    <n v="0"/>
    <n v="0"/>
    <n v="0"/>
    <n v="0"/>
    <n v="0"/>
    <n v="0"/>
    <n v="0"/>
    <n v="0"/>
    <n v="0"/>
    <n v="0"/>
    <n v="0"/>
    <n v="0"/>
    <n v="0"/>
    <n v="0"/>
    <n v="0"/>
    <n v="0"/>
    <n v="0"/>
    <n v="0"/>
    <n v="0"/>
    <n v="0"/>
    <n v="0"/>
    <n v="0"/>
    <n v="0"/>
  </r>
  <r>
    <s v="Other Product Manufacture and Use"/>
    <x v="2"/>
    <x v="2"/>
    <n v="1.0624430648644501"/>
    <n v="1.0526497342716199"/>
    <n v="1.1020145522061999"/>
    <n v="0.84027932831233598"/>
    <n v="0.78053245758239298"/>
    <n v="0.79806273485157497"/>
    <n v="0.84444382863112499"/>
    <n v="0.82219915681322697"/>
    <n v="0.81315828433729398"/>
    <n v="0.84901032962404499"/>
    <n v="0"/>
    <n v="0"/>
    <n v="0"/>
    <n v="0"/>
    <n v="0"/>
    <n v="0"/>
    <n v="0"/>
    <n v="0"/>
    <n v="0"/>
    <n v="0"/>
    <n v="0"/>
    <n v="0"/>
    <n v="0"/>
    <n v="0"/>
    <n v="0"/>
    <n v="0"/>
    <n v="0"/>
    <n v="0"/>
    <n v="0"/>
    <n v="0"/>
    <n v="0"/>
    <n v="0"/>
    <n v="0"/>
    <n v="0"/>
    <n v="0"/>
    <n v="0"/>
    <n v="0"/>
    <n v="0"/>
    <n v="0"/>
    <n v="0"/>
    <n v="0"/>
    <n v="0"/>
    <n v="0"/>
    <n v="0"/>
    <n v="0"/>
  </r>
  <r>
    <s v="Field Burning of Agricultural Residues"/>
    <x v="3"/>
    <x v="2"/>
    <n v="3.9119697504291499E-2"/>
    <n v="3.10259302885992E-2"/>
    <n v="3.9999896464712498E-2"/>
    <n v="3.9408877782218597E-2"/>
    <n v="2.6081436050356299E-2"/>
    <n v="2.4107107918299599E-2"/>
    <n v="3.07645858748988E-2"/>
    <n v="4.1270541078364399E-2"/>
    <n v="3.7776198873765203E-2"/>
    <n v="4.35088899137979E-2"/>
    <n v="4.3996577959298615E-2"/>
    <n v="4.4484266004799329E-2"/>
    <n v="4.4971954050300043E-2"/>
    <n v="4.5459642095800758E-2"/>
    <n v="4.5947330141301472E-2"/>
    <n v="4.6435018186802186E-2"/>
    <n v="4.6922706232302901E-2"/>
    <n v="4.7410394277803615E-2"/>
    <n v="4.7898082323304329E-2"/>
    <n v="4.8385770368805044E-2"/>
    <n v="4.8873458414305758E-2"/>
    <n v="4.9361146459806472E-2"/>
    <n v="4.9848834505307187E-2"/>
    <n v="5.0336522550807901E-2"/>
    <n v="5.0824210596308615E-2"/>
    <n v="5.131189864180933E-2"/>
    <n v="5.1799586687310044E-2"/>
    <n v="5.2287274732810758E-2"/>
    <n v="5.2774962778311472E-2"/>
    <n v="5.3262650823812187E-2"/>
    <n v="5.3750338869312901E-2"/>
    <n v="5.4238026914813615E-2"/>
    <n v="5.472571496031433E-2"/>
    <n v="5.5213403005815044E-2"/>
    <n v="5.5701091051315758E-2"/>
    <n v="5.6188779096816473E-2"/>
    <n v="5.6676467142317187E-2"/>
    <n v="5.7164155187817901E-2"/>
    <n v="5.7651843233318616E-2"/>
    <n v="5.813953127881933E-2"/>
    <n v="5.8627219324320044E-2"/>
    <n v="5.9114907369820759E-2"/>
    <n v="5.9602595415321473E-2"/>
    <n v="6.0090283460822187E-2"/>
    <n v="6.0577971506322902E-2"/>
  </r>
  <r>
    <s v="Liming, Urea Application and Other Carbon-containing Fertilizers "/>
    <x v="3"/>
    <x v="2"/>
    <n v="0"/>
    <n v="0"/>
    <n v="0"/>
    <n v="0"/>
    <n v="0"/>
    <n v="0"/>
    <n v="0"/>
    <n v="0"/>
    <n v="0"/>
    <n v="0"/>
    <n v="0"/>
    <n v="0"/>
    <n v="0"/>
    <n v="0"/>
    <n v="0"/>
    <n v="0"/>
    <n v="0"/>
    <n v="0"/>
    <n v="0"/>
    <n v="0"/>
    <n v="0"/>
    <n v="0"/>
    <n v="0"/>
    <n v="0"/>
    <n v="0"/>
    <n v="0"/>
    <n v="0"/>
    <n v="0"/>
    <n v="0"/>
    <n v="0"/>
    <n v="0"/>
    <n v="0"/>
    <n v="0"/>
    <n v="0"/>
    <n v="0"/>
    <n v="0"/>
    <n v="0"/>
    <n v="0"/>
    <n v="0"/>
    <n v="0"/>
    <n v="0"/>
    <n v="0"/>
    <n v="0"/>
    <n v="0"/>
    <n v="0"/>
  </r>
  <r>
    <s v="Ammonia Production"/>
    <x v="0"/>
    <x v="3"/>
    <n v="0"/>
    <n v="0"/>
    <n v="0"/>
    <n v="0"/>
    <n v="0"/>
    <n v="0"/>
    <n v="0"/>
    <n v="0"/>
    <n v="0"/>
    <n v="0"/>
    <n v="0"/>
    <n v="0"/>
    <n v="0"/>
    <n v="0"/>
    <n v="0"/>
    <n v="0"/>
    <n v="0"/>
    <n v="0"/>
    <n v="0"/>
    <n v="0"/>
    <n v="0"/>
    <n v="0"/>
    <n v="0"/>
    <n v="0"/>
    <n v="0"/>
    <n v="0"/>
    <n v="0"/>
    <n v="0"/>
    <n v="0"/>
    <n v="0"/>
    <n v="0"/>
    <n v="0"/>
    <n v="0"/>
    <n v="0"/>
    <n v="0"/>
    <n v="0"/>
    <n v="0"/>
    <n v="0"/>
    <n v="0"/>
    <n v="0"/>
    <n v="0"/>
    <n v="0"/>
    <n v="0"/>
    <n v="0"/>
    <n v="0"/>
  </r>
  <r>
    <s v="Nitric Acid Production"/>
    <x v="0"/>
    <x v="3"/>
    <n v="0"/>
    <n v="0"/>
    <n v="0"/>
    <n v="0"/>
    <n v="0"/>
    <n v="0"/>
    <n v="0"/>
    <n v="0"/>
    <n v="0"/>
    <n v="0"/>
    <n v="0"/>
    <n v="0"/>
    <n v="0"/>
    <n v="0"/>
    <n v="0"/>
    <n v="0"/>
    <n v="0"/>
    <n v="0"/>
    <n v="0"/>
    <n v="0"/>
    <n v="0"/>
    <n v="0"/>
    <n v="0"/>
    <n v="0"/>
    <n v="0"/>
    <n v="0"/>
    <n v="0"/>
    <n v="0"/>
    <n v="0"/>
    <n v="0"/>
    <n v="0"/>
    <n v="0"/>
    <n v="0"/>
    <n v="0"/>
    <n v="0"/>
    <n v="0"/>
    <n v="0"/>
    <n v="0"/>
    <n v="0"/>
    <n v="0"/>
    <n v="0"/>
    <n v="0"/>
    <n v="0"/>
    <n v="0"/>
    <n v="0"/>
  </r>
  <r>
    <s v="Adipic Acid Production"/>
    <x v="0"/>
    <x v="3"/>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3"/>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3"/>
    <n v="0"/>
    <n v="0"/>
    <n v="0"/>
    <n v="0"/>
    <n v="0"/>
    <n v="0"/>
    <n v="0"/>
    <n v="0"/>
    <n v="0"/>
    <n v="0"/>
    <n v="0"/>
    <n v="0"/>
    <n v="0"/>
    <n v="0"/>
    <n v="0"/>
    <n v="0"/>
    <n v="0"/>
    <n v="0"/>
    <n v="0"/>
    <n v="0"/>
    <n v="0"/>
    <n v="0"/>
    <n v="0"/>
    <n v="0"/>
    <n v="0"/>
    <n v="0"/>
    <n v="0"/>
    <n v="0"/>
    <n v="0"/>
    <n v="0"/>
    <n v="0"/>
    <n v="0"/>
    <n v="0"/>
    <n v="0"/>
    <n v="0"/>
    <n v="0"/>
    <n v="0"/>
    <n v="0"/>
    <n v="0"/>
    <n v="0"/>
    <n v="0"/>
    <n v="0"/>
    <n v="0"/>
    <n v="0"/>
    <n v="0"/>
  </r>
  <r>
    <s v="Other Product Manufacture and Use"/>
    <x v="2"/>
    <x v="3"/>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3"/>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3"/>
    <n v="0"/>
    <n v="0"/>
    <n v="0"/>
    <n v="0"/>
    <n v="0"/>
    <n v="0"/>
    <n v="0"/>
    <n v="0"/>
    <n v="0"/>
    <n v="0"/>
    <n v="0"/>
    <n v="0"/>
    <n v="0"/>
    <n v="0"/>
    <n v="0"/>
    <n v="0"/>
    <n v="0"/>
    <n v="0"/>
    <n v="0"/>
    <n v="0"/>
    <n v="0"/>
    <n v="0"/>
    <n v="0"/>
    <n v="0"/>
    <n v="0"/>
    <n v="0"/>
    <n v="0"/>
    <n v="0"/>
    <n v="0"/>
    <n v="0"/>
    <n v="0"/>
    <n v="0"/>
    <n v="0"/>
    <n v="0"/>
    <n v="0"/>
    <n v="0"/>
    <n v="0"/>
    <n v="0"/>
    <n v="0"/>
    <n v="0"/>
    <n v="0"/>
    <n v="0"/>
    <n v="0"/>
    <n v="0"/>
    <n v="0"/>
  </r>
  <r>
    <s v="Ammonia Production"/>
    <x v="0"/>
    <x v="4"/>
    <n v="0"/>
    <n v="0"/>
    <n v="0"/>
    <n v="0"/>
    <n v="0"/>
    <n v="0"/>
    <n v="0"/>
    <n v="0"/>
    <n v="0"/>
    <n v="0"/>
    <n v="0"/>
    <n v="0"/>
    <n v="0"/>
    <n v="0"/>
    <n v="0"/>
    <n v="0"/>
    <n v="0"/>
    <n v="0"/>
    <n v="0"/>
    <n v="0"/>
    <n v="0"/>
    <n v="0"/>
    <n v="0"/>
    <n v="0"/>
    <n v="0"/>
    <n v="0"/>
    <n v="0"/>
    <n v="0"/>
    <n v="0"/>
    <n v="0"/>
    <n v="0"/>
    <n v="0"/>
    <n v="0"/>
    <n v="0"/>
    <n v="0"/>
    <n v="0"/>
    <n v="0"/>
    <n v="0"/>
    <n v="0"/>
    <n v="0"/>
    <n v="0"/>
    <n v="0"/>
    <n v="0"/>
    <n v="0"/>
    <n v="0"/>
  </r>
  <r>
    <s v="Nitric Acid Production"/>
    <x v="0"/>
    <x v="4"/>
    <n v="0"/>
    <n v="0"/>
    <n v="0"/>
    <n v="0"/>
    <n v="0"/>
    <n v="0"/>
    <n v="0"/>
    <n v="0"/>
    <n v="0"/>
    <n v="0"/>
    <n v="0"/>
    <n v="0"/>
    <n v="0"/>
    <n v="0"/>
    <n v="0"/>
    <n v="0"/>
    <n v="0"/>
    <n v="0"/>
    <n v="0"/>
    <n v="0"/>
    <n v="0"/>
    <n v="0"/>
    <n v="0"/>
    <n v="0"/>
    <n v="0"/>
    <n v="0"/>
    <n v="0"/>
    <n v="0"/>
    <n v="0"/>
    <n v="0"/>
    <n v="0"/>
    <n v="0"/>
    <n v="0"/>
    <n v="0"/>
    <n v="0"/>
    <n v="0"/>
    <n v="0"/>
    <n v="0"/>
    <n v="0"/>
    <n v="0"/>
    <n v="0"/>
    <n v="0"/>
    <n v="0"/>
    <n v="0"/>
    <n v="0"/>
  </r>
  <r>
    <s v="Adipic Acid Production"/>
    <x v="0"/>
    <x v="4"/>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4"/>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4"/>
    <n v="0"/>
    <n v="0"/>
    <n v="0"/>
    <n v="0"/>
    <n v="0"/>
    <n v="0"/>
    <n v="0"/>
    <n v="0"/>
    <n v="0"/>
    <n v="0"/>
    <n v="0"/>
    <n v="0"/>
    <n v="0"/>
    <n v="0"/>
    <n v="0"/>
    <n v="0"/>
    <n v="0"/>
    <n v="0"/>
    <n v="0"/>
    <n v="0"/>
    <n v="0"/>
    <n v="0"/>
    <n v="0"/>
    <n v="0"/>
    <n v="0"/>
    <n v="0"/>
    <n v="0"/>
    <n v="0"/>
    <n v="0"/>
    <n v="0"/>
    <n v="0"/>
    <n v="0"/>
    <n v="0"/>
    <n v="0"/>
    <n v="0"/>
    <n v="0"/>
    <n v="0"/>
    <n v="0"/>
    <n v="0"/>
    <n v="0"/>
    <n v="0"/>
    <n v="0"/>
    <n v="0"/>
    <n v="0"/>
    <n v="0"/>
  </r>
  <r>
    <s v="Other Product Manufacture and Use"/>
    <x v="2"/>
    <x v="4"/>
    <n v="3.4627751260233199"/>
    <n v="3.8499452311317199"/>
    <n v="4.3017846924712604"/>
    <n v="4.8132896186218304"/>
    <n v="7.2834381221483202"/>
    <n v="15.026309063362699"/>
    <n v="36.396441500992097"/>
    <n v="19.409455915912101"/>
    <n v="11.944067686838499"/>
    <n v="10.7026151524695"/>
    <n v="11.507041822074632"/>
    <n v="12.311468491679763"/>
    <n v="13.115895161284895"/>
    <n v="13.920321830890027"/>
    <n v="14.724748500495158"/>
    <n v="15.52917517010029"/>
    <n v="16.33360183970542"/>
    <n v="17.138028509310551"/>
    <n v="17.942455178915683"/>
    <n v="18.746881848520815"/>
    <n v="19.551308518125946"/>
    <n v="20.355735187731078"/>
    <n v="21.16016185733621"/>
    <n v="21.964588526941341"/>
    <n v="22.769015196546473"/>
    <n v="23.573441866151605"/>
    <n v="24.377868535756736"/>
    <n v="25.182295205361868"/>
    <n v="25.986721874966999"/>
    <n v="26.791148544572131"/>
    <n v="27.595575214177263"/>
    <n v="28.400001883782394"/>
    <n v="29.204428553387526"/>
    <n v="30.008855222992658"/>
    <n v="30.813281892597789"/>
    <n v="31.617708562202921"/>
    <n v="32.422135231808049"/>
    <n v="33.226561901413177"/>
    <n v="34.030988571018305"/>
    <n v="34.835415240623433"/>
    <n v="35.639841910228562"/>
    <n v="36.44426857983369"/>
    <n v="37.248695249438818"/>
    <n v="38.053121919043946"/>
    <n v="38.857548588649074"/>
  </r>
  <r>
    <s v="Field Burning of Agricultural Residues"/>
    <x v="3"/>
    <x v="4"/>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4"/>
    <n v="0"/>
    <n v="0"/>
    <n v="0"/>
    <n v="0"/>
    <n v="0"/>
    <n v="0"/>
    <n v="0"/>
    <n v="0"/>
    <n v="0"/>
    <n v="0"/>
    <n v="0"/>
    <n v="0"/>
    <n v="0"/>
    <n v="0"/>
    <n v="0"/>
    <n v="0"/>
    <n v="0"/>
    <n v="0"/>
    <n v="0"/>
    <n v="0"/>
    <n v="0"/>
    <n v="0"/>
    <n v="0"/>
    <n v="0"/>
    <n v="0"/>
    <n v="0"/>
    <n v="0"/>
    <n v="0"/>
    <n v="0"/>
    <n v="0"/>
    <n v="0"/>
    <n v="0"/>
    <n v="0"/>
    <n v="0"/>
    <n v="0"/>
    <n v="0"/>
    <n v="0"/>
    <n v="0"/>
    <n v="0"/>
    <n v="0"/>
    <n v="0"/>
    <n v="0"/>
    <n v="0"/>
    <n v="0"/>
    <n v="0"/>
  </r>
  <r>
    <s v="Ammonia Production"/>
    <x v="0"/>
    <x v="5"/>
    <n v="0"/>
    <n v="0"/>
    <n v="0"/>
    <n v="0"/>
    <n v="0"/>
    <n v="0"/>
    <n v="0"/>
    <n v="0"/>
    <n v="0"/>
    <n v="0"/>
    <n v="0"/>
    <n v="0"/>
    <n v="0"/>
    <n v="0"/>
    <n v="0"/>
    <n v="0"/>
    <n v="0"/>
    <n v="0"/>
    <n v="0"/>
    <n v="0"/>
    <n v="0"/>
    <n v="0"/>
    <n v="0"/>
    <n v="0"/>
    <n v="0"/>
    <n v="0"/>
    <n v="0"/>
    <n v="0"/>
    <n v="0"/>
    <n v="0"/>
    <n v="0"/>
    <n v="0"/>
    <n v="0"/>
    <n v="0"/>
    <n v="0"/>
    <n v="0"/>
    <n v="0"/>
    <n v="0"/>
    <n v="0"/>
    <n v="0"/>
    <n v="0"/>
    <n v="0"/>
    <n v="0"/>
    <n v="0"/>
    <n v="0"/>
  </r>
  <r>
    <s v="Nitric Acid Production"/>
    <x v="0"/>
    <x v="5"/>
    <n v="0"/>
    <n v="0"/>
    <n v="0"/>
    <n v="0"/>
    <n v="0"/>
    <n v="0"/>
    <n v="0"/>
    <n v="0"/>
    <n v="0"/>
    <n v="0"/>
    <n v="0"/>
    <n v="0"/>
    <n v="0"/>
    <n v="0"/>
    <n v="0"/>
    <n v="0"/>
    <n v="0"/>
    <n v="0"/>
    <n v="0"/>
    <n v="0"/>
    <n v="0"/>
    <n v="0"/>
    <n v="0"/>
    <n v="0"/>
    <n v="0"/>
    <n v="0"/>
    <n v="0"/>
    <n v="0"/>
    <n v="0"/>
    <n v="0"/>
    <n v="0"/>
    <n v="0"/>
    <n v="0"/>
    <n v="0"/>
    <n v="0"/>
    <n v="0"/>
    <n v="0"/>
    <n v="0"/>
    <n v="0"/>
    <n v="0"/>
    <n v="0"/>
    <n v="0"/>
    <n v="0"/>
    <n v="0"/>
    <n v="0"/>
  </r>
  <r>
    <s v="Adipic Acid Production"/>
    <x v="0"/>
    <x v="5"/>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5"/>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5"/>
    <n v="0"/>
    <n v="0"/>
    <n v="0"/>
    <n v="0"/>
    <n v="0"/>
    <n v="0"/>
    <n v="0"/>
    <n v="0"/>
    <n v="0"/>
    <n v="0"/>
    <n v="0"/>
    <n v="0"/>
    <n v="0"/>
    <n v="0"/>
    <n v="0"/>
    <n v="0"/>
    <n v="0"/>
    <n v="0"/>
    <n v="0"/>
    <n v="0"/>
    <n v="0"/>
    <n v="0"/>
    <n v="0"/>
    <n v="0"/>
    <n v="0"/>
    <n v="0"/>
    <n v="0"/>
    <n v="0"/>
    <n v="0"/>
    <n v="0"/>
    <n v="0"/>
    <n v="0"/>
    <n v="0"/>
    <n v="0"/>
    <n v="0"/>
    <n v="0"/>
    <n v="0"/>
    <n v="0"/>
    <n v="0"/>
    <n v="0"/>
    <n v="0"/>
    <n v="0"/>
    <n v="0"/>
    <n v="0"/>
    <n v="0"/>
  </r>
  <r>
    <s v="Other Product Manufacture and Use"/>
    <x v="2"/>
    <x v="5"/>
    <n v="172.75559999999999"/>
    <n v="224.8536"/>
    <n v="204.16944000000001"/>
    <n v="175.6284"/>
    <n v="182.73219599999999"/>
    <n v="137.39115839999999"/>
    <n v="185.65424400000001"/>
    <n v="218.00493599999999"/>
    <n v="125.340948"/>
    <n v="192.16501199999999"/>
    <n v="194.32161333333332"/>
    <n v="196.47821466666664"/>
    <n v="198.63481599999997"/>
    <n v="200.7914173333333"/>
    <n v="202.94801866666663"/>
    <n v="205.10461999999995"/>
    <n v="207.26122133333328"/>
    <n v="209.41782266666661"/>
    <n v="211.57442399999994"/>
    <n v="213.73102533333326"/>
    <n v="215.88762666666659"/>
    <n v="218.04422799999992"/>
    <n v="220.20082933333325"/>
    <n v="222.35743066666657"/>
    <n v="224.5140319999999"/>
    <n v="226.67063333333323"/>
    <n v="228.82723466666656"/>
    <n v="230.98383599999988"/>
    <n v="233.14043733333321"/>
    <n v="235.29703866666654"/>
    <n v="237.45363999999987"/>
    <n v="239.61024133333319"/>
    <n v="241.76684266666652"/>
    <n v="243.92344399999985"/>
    <n v="246.08004533333317"/>
    <n v="248.2366466666665"/>
    <n v="250.39324799999983"/>
    <n v="252.54984933333316"/>
    <n v="254.70645066666648"/>
    <n v="256.86305199999981"/>
    <n v="259.01965333333317"/>
    <n v="261.17625466666652"/>
    <n v="263.33285599999988"/>
    <n v="265.48945733333323"/>
    <n v="267.64605866666659"/>
  </r>
  <r>
    <s v="Field Burning of Agricultural Residues"/>
    <x v="3"/>
    <x v="5"/>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5"/>
    <n v="0"/>
    <n v="0"/>
    <n v="0"/>
    <n v="0"/>
    <n v="0"/>
    <n v="0"/>
    <n v="0"/>
    <n v="0"/>
    <n v="0"/>
    <n v="0"/>
    <n v="0"/>
    <n v="0"/>
    <n v="0"/>
    <n v="0"/>
    <n v="0"/>
    <n v="0"/>
    <n v="0"/>
    <n v="0"/>
    <n v="0"/>
    <n v="0"/>
    <n v="0"/>
    <n v="0"/>
    <n v="0"/>
    <n v="0"/>
    <n v="0"/>
    <n v="0"/>
    <n v="0"/>
    <n v="0"/>
    <n v="0"/>
    <n v="0"/>
    <n v="0"/>
    <n v="0"/>
    <n v="0"/>
    <n v="0"/>
    <n v="0"/>
    <n v="0"/>
    <n v="0"/>
    <n v="0"/>
    <n v="0"/>
    <n v="0"/>
    <n v="0"/>
    <n v="0"/>
    <n v="0"/>
    <n v="0"/>
    <n v="0"/>
  </r>
  <r>
    <s v="Ammonia Production"/>
    <x v="0"/>
    <x v="6"/>
    <n v="0"/>
    <n v="0"/>
    <n v="0"/>
    <n v="0"/>
    <n v="0"/>
    <n v="0"/>
    <n v="0"/>
    <n v="0"/>
    <n v="0"/>
    <n v="0"/>
    <n v="0"/>
    <n v="0"/>
    <n v="0"/>
    <n v="0"/>
    <n v="0"/>
    <n v="0"/>
    <n v="0"/>
    <n v="0"/>
    <n v="0"/>
    <n v="0"/>
    <n v="0"/>
    <n v="0"/>
    <n v="0"/>
    <n v="0"/>
    <n v="0"/>
    <n v="0"/>
    <n v="0"/>
    <n v="0"/>
    <n v="0"/>
    <n v="0"/>
    <n v="0"/>
    <n v="0"/>
    <n v="0"/>
    <n v="0"/>
    <n v="0"/>
    <n v="0"/>
    <n v="0"/>
    <n v="0"/>
    <n v="0"/>
    <n v="0"/>
    <n v="0"/>
    <n v="0"/>
    <n v="0"/>
    <n v="0"/>
    <n v="0"/>
  </r>
  <r>
    <s v="Nitric Acid Production"/>
    <x v="0"/>
    <x v="6"/>
    <n v="0"/>
    <n v="0"/>
    <n v="0"/>
    <n v="0"/>
    <n v="0"/>
    <n v="0"/>
    <n v="0"/>
    <n v="0"/>
    <n v="0"/>
    <n v="0"/>
    <n v="0"/>
    <n v="0"/>
    <n v="0"/>
    <n v="0"/>
    <n v="0"/>
    <n v="0"/>
    <n v="0"/>
    <n v="0"/>
    <n v="0"/>
    <n v="0"/>
    <n v="0"/>
    <n v="0"/>
    <n v="0"/>
    <n v="0"/>
    <n v="0"/>
    <n v="0"/>
    <n v="0"/>
    <n v="0"/>
    <n v="0"/>
    <n v="0"/>
    <n v="0"/>
    <n v="0"/>
    <n v="0"/>
    <n v="0"/>
    <n v="0"/>
    <n v="0"/>
    <n v="0"/>
    <n v="0"/>
    <n v="0"/>
    <n v="0"/>
    <n v="0"/>
    <n v="0"/>
    <n v="0"/>
    <n v="0"/>
    <n v="0"/>
  </r>
  <r>
    <s v="Adipic Acid Production"/>
    <x v="0"/>
    <x v="6"/>
    <n v="0"/>
    <n v="0"/>
    <n v="0"/>
    <n v="0"/>
    <n v="0"/>
    <n v="0"/>
    <n v="0"/>
    <n v="0"/>
    <n v="0"/>
    <n v="0"/>
    <n v="0"/>
    <n v="0"/>
    <n v="0"/>
    <n v="0"/>
    <n v="0"/>
    <n v="0"/>
    <n v="0"/>
    <n v="0"/>
    <n v="0"/>
    <n v="0"/>
    <n v="0"/>
    <n v="0"/>
    <n v="0"/>
    <n v="0"/>
    <n v="0"/>
    <n v="0"/>
    <n v="0"/>
    <n v="0"/>
    <n v="0"/>
    <n v="0"/>
    <n v="0"/>
    <n v="0"/>
    <n v="0"/>
    <n v="0"/>
    <n v="0"/>
    <n v="0"/>
    <n v="0"/>
    <n v="0"/>
    <n v="0"/>
    <n v="0"/>
    <n v="0"/>
    <n v="0"/>
    <n v="0"/>
    <n v="0"/>
    <n v="0"/>
  </r>
  <r>
    <s v="Petrochemical and Carbon Black Production"/>
    <x v="0"/>
    <x v="6"/>
    <n v="0"/>
    <n v="0"/>
    <n v="0"/>
    <n v="0"/>
    <n v="0"/>
    <n v="0"/>
    <n v="0"/>
    <n v="0"/>
    <n v="0"/>
    <n v="0"/>
    <n v="0"/>
    <n v="0"/>
    <n v="0"/>
    <n v="0"/>
    <n v="0"/>
    <n v="0"/>
    <n v="0"/>
    <n v="0"/>
    <n v="0"/>
    <n v="0"/>
    <n v="0"/>
    <n v="0"/>
    <n v="0"/>
    <n v="0"/>
    <n v="0"/>
    <n v="0"/>
    <n v="0"/>
    <n v="0"/>
    <n v="0"/>
    <n v="0"/>
    <n v="0"/>
    <n v="0"/>
    <n v="0"/>
    <n v="0"/>
    <n v="0"/>
    <n v="0"/>
    <n v="0"/>
    <n v="0"/>
    <n v="0"/>
    <n v="0"/>
    <n v="0"/>
    <n v="0"/>
    <n v="0"/>
    <n v="0"/>
    <n v="0"/>
  </r>
  <r>
    <s v="Non-Energy Products from Fuels and Solvent Use"/>
    <x v="1"/>
    <x v="6"/>
    <n v="0"/>
    <n v="0"/>
    <n v="0"/>
    <n v="0"/>
    <n v="0"/>
    <n v="0"/>
    <n v="0"/>
    <n v="0"/>
    <n v="0"/>
    <n v="0"/>
    <n v="0"/>
    <n v="0"/>
    <n v="0"/>
    <n v="0"/>
    <n v="0"/>
    <n v="0"/>
    <n v="0"/>
    <n v="0"/>
    <n v="0"/>
    <n v="0"/>
    <n v="0"/>
    <n v="0"/>
    <n v="0"/>
    <n v="0"/>
    <n v="0"/>
    <n v="0"/>
    <n v="0"/>
    <n v="0"/>
    <n v="0"/>
    <n v="0"/>
    <n v="0"/>
    <n v="0"/>
    <n v="0"/>
    <n v="0"/>
    <n v="0"/>
    <n v="0"/>
    <n v="0"/>
    <n v="0"/>
    <n v="0"/>
    <n v="0"/>
    <n v="0"/>
    <n v="0"/>
    <n v="0"/>
    <n v="0"/>
    <n v="0"/>
  </r>
  <r>
    <s v="Other Product Manufacture and Use"/>
    <x v="2"/>
    <x v="6"/>
    <n v="0"/>
    <n v="0"/>
    <n v="0"/>
    <n v="0"/>
    <n v="0"/>
    <n v="0"/>
    <n v="0"/>
    <n v="0"/>
    <n v="0"/>
    <n v="0"/>
    <n v="0"/>
    <n v="0"/>
    <n v="0"/>
    <n v="0"/>
    <n v="0"/>
    <n v="0"/>
    <n v="0"/>
    <n v="0"/>
    <n v="0"/>
    <n v="0"/>
    <n v="0"/>
    <n v="0"/>
    <n v="0"/>
    <n v="0"/>
    <n v="0"/>
    <n v="0"/>
    <n v="0"/>
    <n v="0"/>
    <n v="0"/>
    <n v="0"/>
    <n v="0"/>
    <n v="0"/>
    <n v="0"/>
    <n v="0"/>
    <n v="0"/>
    <n v="0"/>
    <n v="0"/>
    <n v="0"/>
    <n v="0"/>
    <n v="0"/>
    <n v="0"/>
    <n v="0"/>
    <n v="0"/>
    <n v="0"/>
    <n v="0"/>
  </r>
  <r>
    <s v="Field Burning of Agricultural Residues"/>
    <x v="3"/>
    <x v="6"/>
    <n v="0"/>
    <n v="0"/>
    <n v="0"/>
    <n v="0"/>
    <n v="0"/>
    <n v="0"/>
    <n v="0"/>
    <n v="0"/>
    <n v="0"/>
    <n v="0"/>
    <n v="0"/>
    <n v="0"/>
    <n v="0"/>
    <n v="0"/>
    <n v="0"/>
    <n v="0"/>
    <n v="0"/>
    <n v="0"/>
    <n v="0"/>
    <n v="0"/>
    <n v="0"/>
    <n v="0"/>
    <n v="0"/>
    <n v="0"/>
    <n v="0"/>
    <n v="0"/>
    <n v="0"/>
    <n v="0"/>
    <n v="0"/>
    <n v="0"/>
    <n v="0"/>
    <n v="0"/>
    <n v="0"/>
    <n v="0"/>
    <n v="0"/>
    <n v="0"/>
    <n v="0"/>
    <n v="0"/>
    <n v="0"/>
    <n v="0"/>
    <n v="0"/>
    <n v="0"/>
    <n v="0"/>
    <n v="0"/>
    <n v="0"/>
  </r>
  <r>
    <s v="Liming, Urea Application and Other Carbon-containing Fertilizers "/>
    <x v="3"/>
    <x v="6"/>
    <n v="0"/>
    <n v="0"/>
    <n v="0"/>
    <n v="0"/>
    <n v="0"/>
    <n v="0"/>
    <n v="0"/>
    <n v="0"/>
    <n v="0"/>
    <n v="0"/>
    <n v="0"/>
    <n v="0"/>
    <n v="0"/>
    <n v="0"/>
    <n v="0"/>
    <n v="0"/>
    <n v="0"/>
    <n v="0"/>
    <n v="0"/>
    <n v="0"/>
    <n v="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20:AL131" firstHeaderRow="0" firstDataRow="1" firstDataCol="2"/>
  <pivotFields count="48">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x="3"/>
        <item m="1" x="7"/>
        <item x="0"/>
        <item m="1" x="8"/>
        <item m="1" x="9"/>
        <item m="1" x="6"/>
        <item m="1" x="4"/>
        <item m="1" x="5"/>
        <item x="2"/>
        <item x="1"/>
      </items>
      <extLst>
        <ext xmlns:x14="http://schemas.microsoft.com/office/spreadsheetml/2009/9/main" uri="{2946ED86-A175-432a-8AC1-64E0C546D7DE}">
          <x14:pivotField fillDownLabels="1"/>
        </ext>
      </extLst>
    </pivotField>
    <pivotField axis="axisRow" compact="0" outline="0" showAll="0" measureFilter="1" defaultSubtotal="0">
      <items count="8">
        <item x="1"/>
        <item x="0"/>
        <item x="3"/>
        <item x="2"/>
        <item x="6"/>
        <item x="4"/>
        <item x="5"/>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2"/>
  </rowFields>
  <rowItems count="11">
    <i>
      <x/>
      <x/>
    </i>
    <i r="1">
      <x v="1"/>
    </i>
    <i r="1">
      <x v="3"/>
    </i>
    <i>
      <x v="2"/>
      <x/>
    </i>
    <i r="1">
      <x v="1"/>
    </i>
    <i r="1">
      <x v="3"/>
    </i>
    <i>
      <x v="8"/>
      <x v="1"/>
    </i>
    <i r="1">
      <x v="3"/>
    </i>
    <i r="1">
      <x v="5"/>
    </i>
    <i r="1">
      <x v="6"/>
    </i>
    <i>
      <x v="9"/>
      <x v="1"/>
    </i>
  </rowItems>
  <colFields count="1">
    <field x="-2"/>
  </colFields>
  <colItems count="3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colItems>
  <dataFields count="36">
    <dataField name="Sum of 2015" fld="12" baseField="1" baseItem="0"/>
    <dataField name="Sum of 2016" fld="13" baseField="0" baseItem="0"/>
    <dataField name="Sum of 2017" fld="14" baseField="0" baseItem="0"/>
    <dataField name="Sum of 2018" fld="15" baseField="0" baseItem="0"/>
    <dataField name="Sum of 2019" fld="16" baseField="0" baseItem="0"/>
    <dataField name="Sum of 2020" fld="17" baseField="0" baseItem="0"/>
    <dataField name="Sum of 2021" fld="18" baseField="0" baseItem="0"/>
    <dataField name="Sum of 2022" fld="19" baseField="0" baseItem="0"/>
    <dataField name="Sum of 2023" fld="20" baseField="0" baseItem="0"/>
    <dataField name="Sum of 2024" fld="21" baseField="0" baseItem="0"/>
    <dataField name="Sum of 2025" fld="22" baseField="0" baseItem="0"/>
    <dataField name="Sum of 2026" fld="23" baseField="0" baseItem="0"/>
    <dataField name="Sum of 2027" fld="24" baseField="0" baseItem="0"/>
    <dataField name="Sum of 2028" fld="25" baseField="0" baseItem="0"/>
    <dataField name="Sum of 2029" fld="26" baseField="0" baseItem="0"/>
    <dataField name="Sum of 2030" fld="27" baseField="0" baseItem="0"/>
    <dataField name="Sum of 2031" fld="28" baseField="0" baseItem="0"/>
    <dataField name="Sum of 2032" fld="29" baseField="0" baseItem="0"/>
    <dataField name="Sum of 2033" fld="30" baseField="0" baseItem="0"/>
    <dataField name="Sum of 2034" fld="31" baseField="0" baseItem="0"/>
    <dataField name="Sum of 2035" fld="32" baseField="0" baseItem="0"/>
    <dataField name="Sum of 2036" fld="33" baseField="0" baseItem="0"/>
    <dataField name="Sum of 2037" fld="34" baseField="0" baseItem="0"/>
    <dataField name="Sum of 2038" fld="35" baseField="0" baseItem="0"/>
    <dataField name="Sum of 2039" fld="36" baseField="0" baseItem="0"/>
    <dataField name="Sum of 2040" fld="37" baseField="0" baseItem="0"/>
    <dataField name="Sum of 2041" fld="38" baseField="0" baseItem="0"/>
    <dataField name="Sum of 2042" fld="39" baseField="0" baseItem="0"/>
    <dataField name="Sum of 2043" fld="40" baseField="0" baseItem="0"/>
    <dataField name="Sum of 2044" fld="41" baseField="0" baseItem="0"/>
    <dataField name="Sum of 2045" fld="42" baseField="0" baseItem="0"/>
    <dataField name="Sum of 2046" fld="43" baseField="0" baseItem="0"/>
    <dataField name="Sum of 2047" fld="44" baseField="0" baseItem="0"/>
    <dataField name="Sum of 2048" fld="45" baseField="0" baseItem="0"/>
    <dataField name="Sum of 2049" fld="46" baseField="0" baseItem="0"/>
    <dataField name="Sum of 2050" fld="47" baseField="0" baseItem="0"/>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filters count="1">
    <filter fld="2"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7:AK1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4:AK1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3.xml><?xml version="1.0" encoding="utf-8"?>
<table xmlns="http://schemas.openxmlformats.org/spreadsheetml/2006/main" id="3" name="Table3" displayName="Table3" ref="A20:AK23"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26:AK2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5.xml><?xml version="1.0" encoding="utf-8"?>
<table xmlns="http://schemas.openxmlformats.org/spreadsheetml/2006/main" id="16" name="Table117" displayName="Table117" ref="A8:AK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6.xml><?xml version="1.0" encoding="utf-8"?>
<table xmlns="http://schemas.openxmlformats.org/spreadsheetml/2006/main" id="17" name="Table218" displayName="Table218" ref="A12:AK18"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7.xml><?xml version="1.0" encoding="utf-8"?>
<table xmlns="http://schemas.openxmlformats.org/spreadsheetml/2006/main" id="18" name="Table319" displayName="Table319" ref="A21:AK22"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8.xml><?xml version="1.0" encoding="utf-8"?>
<table xmlns="http://schemas.openxmlformats.org/spreadsheetml/2006/main" id="19" name="Table420" displayName="Table420" ref="A25:AK2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9.xml><?xml version="1.0" encoding="utf-8"?>
<table xmlns="http://schemas.openxmlformats.org/spreadsheetml/2006/main" id="20" name="Table521" displayName="Table521" ref="A29:AK30"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0.xml><?xml version="1.0" encoding="utf-8"?>
<table xmlns="http://schemas.openxmlformats.org/spreadsheetml/2006/main" id="21" name="Table622" displayName="Table622" ref="A33:AK3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1.xml><?xml version="1.0" encoding="utf-8"?>
<table xmlns="http://schemas.openxmlformats.org/spreadsheetml/2006/main" id="22" name="Table723" displayName="Table723" ref="A42:AK4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2.xml><?xml version="1.0" encoding="utf-8"?>
<table xmlns="http://schemas.openxmlformats.org/spreadsheetml/2006/main" id="23" name="Table824" displayName="Table824" ref="A50:AK54"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3.xml><?xml version="1.0" encoding="utf-8"?>
<table xmlns="http://schemas.openxmlformats.org/spreadsheetml/2006/main" id="24" name="Table925" displayName="Table925" ref="A57:AK58"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4.xml><?xml version="1.0" encoding="utf-8"?>
<table xmlns="http://schemas.openxmlformats.org/spreadsheetml/2006/main" id="5" name="Table16" displayName="Table16" ref="A8:AK1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5.xml><?xml version="1.0" encoding="utf-8"?>
<table xmlns="http://schemas.openxmlformats.org/spreadsheetml/2006/main" id="6" name="Table27" displayName="Table27" ref="A19:AK2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6.xml><?xml version="1.0" encoding="utf-8"?>
<table xmlns="http://schemas.openxmlformats.org/spreadsheetml/2006/main" id="7" name="Table38" displayName="Table38" ref="A24:AK2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7.xml><?xml version="1.0" encoding="utf-8"?>
<table xmlns="http://schemas.openxmlformats.org/spreadsheetml/2006/main" id="8" name="Table49" displayName="Table49" ref="A29:AK3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8.xml><?xml version="1.0" encoding="utf-8"?>
<table xmlns="http://schemas.openxmlformats.org/spreadsheetml/2006/main" id="9" name="Table5" displayName="Table5" ref="A34:AK3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9.xml><?xml version="1.0" encoding="utf-8"?>
<table xmlns="http://schemas.openxmlformats.org/spreadsheetml/2006/main" id="10" name="Table6" displayName="Table6" ref="A39:AK4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0.xml><?xml version="1.0" encoding="utf-8"?>
<table xmlns="http://schemas.openxmlformats.org/spreadsheetml/2006/main" id="11" name="Table7" displayName="Table7" ref="A50:AK54"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1.xml><?xml version="1.0" encoding="utf-8"?>
<table xmlns="http://schemas.openxmlformats.org/spreadsheetml/2006/main" id="12" name="Table8" displayName="Table8" ref="A57:AK6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2.xml><?xml version="1.0" encoding="utf-8"?>
<table xmlns="http://schemas.openxmlformats.org/spreadsheetml/2006/main" id="13" name="Table9" displayName="Table9" ref="A64:AK6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3.xml><?xml version="1.0" encoding="utf-8"?>
<table xmlns="http://schemas.openxmlformats.org/spreadsheetml/2006/main" id="14" name="Table115" displayName="Table115" ref="A8:AK1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4.xml><?xml version="1.0" encoding="utf-8"?>
<table xmlns="http://schemas.openxmlformats.org/spreadsheetml/2006/main" id="15" name="Table216" displayName="Table216" ref="A22:AK2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5.xml><?xml version="1.0" encoding="utf-8"?>
<table xmlns="http://schemas.openxmlformats.org/spreadsheetml/2006/main" id="25" name="Table126" displayName="Table126" ref="A8:AK13"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verse.harvard.edu/dataset.xhtml?persistentId=doi:10.7910/DVN/XEZXT4" TargetMode="External"/><Relationship Id="rId2" Type="http://schemas.openxmlformats.org/officeDocument/2006/relationships/hyperlink" Target="http://apps.neb-one.gc.ca/nrg/ntgrtd/ftr/2016/index-eng.html" TargetMode="External"/><Relationship Id="rId1" Type="http://schemas.openxmlformats.org/officeDocument/2006/relationships/hyperlink" Target="http://donnees.ec.gc.ca/data/substances/monitor/national-and-provincial-territorial-greenhouse-gas-emission-tables/A-Tables-IPCC-Sector-Canada/?lang=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tatcan.gc.ca/pub/57-003-x/57-003-x2017002-eng.pdf,%20p.122"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6.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 Id="rId9" Type="http://schemas.openxmlformats.org/officeDocument/2006/relationships/table" Target="../tables/table13.xml"/></Relationships>
</file>

<file path=xl/worksheets/_rels/sheet27.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table" Target="../tables/table14.xm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 Id="rId9" Type="http://schemas.openxmlformats.org/officeDocument/2006/relationships/table" Target="../tables/table22.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75"/>
  <sheetViews>
    <sheetView zoomScale="70" zoomScaleNormal="70" zoomScalePageLayoutView="70" workbookViewId="0">
      <selection activeCell="D32" sqref="D32"/>
    </sheetView>
  </sheetViews>
  <sheetFormatPr defaultColWidth="8.85546875" defaultRowHeight="15" x14ac:dyDescent="0.25"/>
  <cols>
    <col min="1" max="1" width="9.85546875" customWidth="1"/>
    <col min="2" max="2" width="80.140625" customWidth="1"/>
    <col min="3" max="3" width="21.28515625" customWidth="1"/>
    <col min="4" max="4" width="104.140625" customWidth="1"/>
    <col min="5" max="5" width="18" customWidth="1"/>
    <col min="6" max="6" width="89.7109375" customWidth="1"/>
    <col min="7" max="7" width="5.42578125" customWidth="1"/>
    <col min="8" max="8" width="23.7109375" customWidth="1"/>
    <col min="9" max="15" width="74" customWidth="1"/>
  </cols>
  <sheetData>
    <row r="1" spans="1:4" x14ac:dyDescent="0.25">
      <c r="A1" s="5" t="s">
        <v>14</v>
      </c>
      <c r="B1" s="6" t="s">
        <v>910</v>
      </c>
      <c r="D1" s="6" t="s">
        <v>879</v>
      </c>
    </row>
    <row r="2" spans="1:4" x14ac:dyDescent="0.25">
      <c r="B2" t="s">
        <v>852</v>
      </c>
      <c r="D2" t="s">
        <v>880</v>
      </c>
    </row>
    <row r="3" spans="1:4" x14ac:dyDescent="0.25">
      <c r="B3" s="20">
        <v>2017</v>
      </c>
      <c r="D3" s="20">
        <v>2018</v>
      </c>
    </row>
    <row r="4" spans="1:4" x14ac:dyDescent="0.25">
      <c r="B4" t="s">
        <v>853</v>
      </c>
      <c r="D4" t="s">
        <v>881</v>
      </c>
    </row>
    <row r="5" spans="1:4" ht="30" x14ac:dyDescent="0.25">
      <c r="B5" s="59" t="s">
        <v>854</v>
      </c>
      <c r="D5" s="59" t="s">
        <v>420</v>
      </c>
    </row>
    <row r="6" spans="1:4" x14ac:dyDescent="0.25">
      <c r="B6" t="s">
        <v>855</v>
      </c>
      <c r="D6" s="59"/>
    </row>
    <row r="8" spans="1:4" x14ac:dyDescent="0.25">
      <c r="B8" s="6" t="s">
        <v>856</v>
      </c>
      <c r="D8" s="6" t="s">
        <v>882</v>
      </c>
    </row>
    <row r="9" spans="1:4" ht="14.1" customHeight="1" x14ac:dyDescent="0.25">
      <c r="B9" t="s">
        <v>857</v>
      </c>
      <c r="D9" t="s">
        <v>883</v>
      </c>
    </row>
    <row r="10" spans="1:4" x14ac:dyDescent="0.25">
      <c r="B10" s="20">
        <v>2017</v>
      </c>
      <c r="D10" s="20">
        <v>2009</v>
      </c>
    </row>
    <row r="11" spans="1:4" x14ac:dyDescent="0.25">
      <c r="B11" t="s">
        <v>858</v>
      </c>
      <c r="D11" t="s">
        <v>884</v>
      </c>
    </row>
    <row r="12" spans="1:4" ht="30" x14ac:dyDescent="0.25">
      <c r="B12" s="59" t="s">
        <v>859</v>
      </c>
      <c r="D12" t="s">
        <v>885</v>
      </c>
    </row>
    <row r="13" spans="1:4" x14ac:dyDescent="0.25">
      <c r="B13" t="s">
        <v>855</v>
      </c>
      <c r="D13" s="59" t="s">
        <v>886</v>
      </c>
    </row>
    <row r="15" spans="1:4" x14ac:dyDescent="0.25">
      <c r="B15" s="6" t="s">
        <v>860</v>
      </c>
      <c r="D15" s="6" t="s">
        <v>887</v>
      </c>
    </row>
    <row r="16" spans="1:4" x14ac:dyDescent="0.25">
      <c r="B16" t="s">
        <v>861</v>
      </c>
      <c r="D16" t="s">
        <v>888</v>
      </c>
    </row>
    <row r="17" spans="2:4" x14ac:dyDescent="0.25">
      <c r="B17" s="20">
        <v>2016</v>
      </c>
      <c r="D17" s="20">
        <v>2016</v>
      </c>
    </row>
    <row r="18" spans="2:4" x14ac:dyDescent="0.25">
      <c r="B18" t="s">
        <v>862</v>
      </c>
      <c r="D18" t="s">
        <v>889</v>
      </c>
    </row>
    <row r="19" spans="2:4" x14ac:dyDescent="0.25">
      <c r="B19" t="s">
        <v>863</v>
      </c>
      <c r="D19" s="59" t="s">
        <v>890</v>
      </c>
    </row>
    <row r="20" spans="2:4" ht="30" x14ac:dyDescent="0.25">
      <c r="B20" s="59" t="s">
        <v>864</v>
      </c>
      <c r="D20" s="59" t="s">
        <v>891</v>
      </c>
    </row>
    <row r="22" spans="2:4" x14ac:dyDescent="0.25">
      <c r="B22" s="6" t="s">
        <v>865</v>
      </c>
      <c r="D22" s="6" t="s">
        <v>261</v>
      </c>
    </row>
    <row r="23" spans="2:4" x14ac:dyDescent="0.25">
      <c r="B23" t="s">
        <v>852</v>
      </c>
      <c r="D23" t="s">
        <v>260</v>
      </c>
    </row>
    <row r="24" spans="2:4" x14ac:dyDescent="0.25">
      <c r="B24" s="20">
        <v>2017</v>
      </c>
      <c r="D24" s="20">
        <v>2006</v>
      </c>
    </row>
    <row r="25" spans="2:4" x14ac:dyDescent="0.25">
      <c r="B25" t="s">
        <v>866</v>
      </c>
      <c r="D25" t="s">
        <v>259</v>
      </c>
    </row>
    <row r="26" spans="2:4" ht="30" x14ac:dyDescent="0.25">
      <c r="B26" s="59" t="s">
        <v>844</v>
      </c>
      <c r="D26" s="59" t="s">
        <v>258</v>
      </c>
    </row>
    <row r="27" spans="2:4" x14ac:dyDescent="0.25">
      <c r="D27" s="59" t="s">
        <v>257</v>
      </c>
    </row>
    <row r="29" spans="2:4" x14ac:dyDescent="0.25">
      <c r="B29" s="6" t="s">
        <v>870</v>
      </c>
      <c r="D29" s="6" t="s">
        <v>874</v>
      </c>
    </row>
    <row r="30" spans="2:4" x14ac:dyDescent="0.25">
      <c r="B30" t="s">
        <v>867</v>
      </c>
      <c r="D30" t="s">
        <v>871</v>
      </c>
    </row>
    <row r="31" spans="2:4" x14ac:dyDescent="0.25">
      <c r="B31" s="20">
        <v>2017</v>
      </c>
      <c r="D31" s="20">
        <v>2018</v>
      </c>
    </row>
    <row r="32" spans="2:4" ht="30" x14ac:dyDescent="0.25">
      <c r="B32" s="59" t="s">
        <v>868</v>
      </c>
      <c r="D32" t="s">
        <v>872</v>
      </c>
    </row>
    <row r="33" spans="1:8" ht="30" x14ac:dyDescent="0.25">
      <c r="B33" s="59" t="s">
        <v>869</v>
      </c>
      <c r="D33" t="s">
        <v>873</v>
      </c>
    </row>
    <row r="35" spans="1:8" x14ac:dyDescent="0.25">
      <c r="B35" s="6" t="s">
        <v>870</v>
      </c>
      <c r="D35" s="6" t="s">
        <v>875</v>
      </c>
    </row>
    <row r="36" spans="1:8" x14ac:dyDescent="0.25">
      <c r="B36" t="s">
        <v>867</v>
      </c>
      <c r="D36" t="s">
        <v>876</v>
      </c>
    </row>
    <row r="37" spans="1:8" x14ac:dyDescent="0.25">
      <c r="B37" s="20">
        <v>2017</v>
      </c>
      <c r="D37" s="20">
        <v>2017</v>
      </c>
    </row>
    <row r="38" spans="1:8" ht="30" x14ac:dyDescent="0.25">
      <c r="B38" s="59" t="s">
        <v>868</v>
      </c>
      <c r="D38" t="s">
        <v>877</v>
      </c>
    </row>
    <row r="39" spans="1:8" ht="30" x14ac:dyDescent="0.25">
      <c r="B39" s="59" t="s">
        <v>869</v>
      </c>
      <c r="D39" t="s">
        <v>878</v>
      </c>
    </row>
    <row r="41" spans="1:8" x14ac:dyDescent="0.25">
      <c r="A41" s="5" t="s">
        <v>256</v>
      </c>
      <c r="B41" t="s">
        <v>255</v>
      </c>
    </row>
    <row r="42" spans="1:8" x14ac:dyDescent="0.25">
      <c r="B42" t="s">
        <v>262</v>
      </c>
    </row>
    <row r="43" spans="1:8" x14ac:dyDescent="0.25">
      <c r="B43" t="s">
        <v>894</v>
      </c>
    </row>
    <row r="45" spans="1:8" x14ac:dyDescent="0.25">
      <c r="A45" s="6" t="s">
        <v>183</v>
      </c>
      <c r="B45" s="6"/>
      <c r="C45" s="6"/>
      <c r="D45" s="6"/>
      <c r="E45" s="6"/>
      <c r="F45" s="7"/>
      <c r="H45" t="s">
        <v>269</v>
      </c>
    </row>
    <row r="46" spans="1:8" x14ac:dyDescent="0.25">
      <c r="A46" t="s">
        <v>16</v>
      </c>
      <c r="B46" t="s">
        <v>15</v>
      </c>
      <c r="C46" t="s">
        <v>32</v>
      </c>
      <c r="D46" t="s">
        <v>179</v>
      </c>
      <c r="E46" s="71" t="s">
        <v>180</v>
      </c>
    </row>
    <row r="47" spans="1:8" x14ac:dyDescent="0.25">
      <c r="A47" t="s">
        <v>17</v>
      </c>
      <c r="B47" t="s">
        <v>18</v>
      </c>
      <c r="C47" t="s">
        <v>103</v>
      </c>
      <c r="D47" t="s">
        <v>103</v>
      </c>
      <c r="E47" s="71" t="s">
        <v>103</v>
      </c>
      <c r="H47" s="88" t="s">
        <v>404</v>
      </c>
    </row>
    <row r="48" spans="1:8" x14ac:dyDescent="0.25">
      <c r="A48" t="s">
        <v>17</v>
      </c>
      <c r="B48" t="s">
        <v>19</v>
      </c>
      <c r="C48" t="s">
        <v>103</v>
      </c>
      <c r="D48" t="s">
        <v>103</v>
      </c>
      <c r="E48" s="71" t="s">
        <v>103</v>
      </c>
      <c r="H48" s="88" t="s">
        <v>404</v>
      </c>
    </row>
    <row r="49" spans="1:8" ht="30" x14ac:dyDescent="0.25">
      <c r="A49" t="s">
        <v>17</v>
      </c>
      <c r="B49" t="s">
        <v>104</v>
      </c>
      <c r="C49" t="s">
        <v>2</v>
      </c>
      <c r="D49" s="59" t="s">
        <v>892</v>
      </c>
      <c r="E49" s="71"/>
    </row>
    <row r="50" spans="1:8" ht="30" x14ac:dyDescent="0.25">
      <c r="A50" t="s">
        <v>17</v>
      </c>
      <c r="B50" t="s">
        <v>105</v>
      </c>
      <c r="C50" t="s">
        <v>33</v>
      </c>
      <c r="D50" s="59" t="s">
        <v>893</v>
      </c>
      <c r="E50" s="71"/>
      <c r="H50" s="88" t="s">
        <v>405</v>
      </c>
    </row>
    <row r="51" spans="1:8" ht="30" x14ac:dyDescent="0.25">
      <c r="A51" t="s">
        <v>17</v>
      </c>
      <c r="B51" t="s">
        <v>106</v>
      </c>
      <c r="C51" t="s">
        <v>3</v>
      </c>
      <c r="D51" s="59" t="s">
        <v>895</v>
      </c>
      <c r="E51" s="71"/>
      <c r="F51" s="59"/>
      <c r="H51" s="88" t="s">
        <v>406</v>
      </c>
    </row>
    <row r="52" spans="1:8" ht="30" x14ac:dyDescent="0.25">
      <c r="A52" t="s">
        <v>17</v>
      </c>
      <c r="B52" t="s">
        <v>107</v>
      </c>
      <c r="C52" t="s">
        <v>3</v>
      </c>
      <c r="D52" s="59" t="s">
        <v>896</v>
      </c>
      <c r="E52" s="71"/>
      <c r="H52" s="88" t="s">
        <v>407</v>
      </c>
    </row>
    <row r="53" spans="1:8" ht="30" x14ac:dyDescent="0.25">
      <c r="A53" t="s">
        <v>20</v>
      </c>
      <c r="B53" t="s">
        <v>108</v>
      </c>
      <c r="C53" t="s">
        <v>35</v>
      </c>
      <c r="D53" s="59" t="s">
        <v>897</v>
      </c>
      <c r="E53" s="71"/>
      <c r="H53" s="88" t="s">
        <v>561</v>
      </c>
    </row>
    <row r="54" spans="1:8" x14ac:dyDescent="0.25">
      <c r="A54" t="s">
        <v>20</v>
      </c>
      <c r="B54" t="s">
        <v>109</v>
      </c>
      <c r="C54" t="s">
        <v>4</v>
      </c>
      <c r="D54" s="59" t="s">
        <v>898</v>
      </c>
      <c r="E54" s="71"/>
    </row>
    <row r="55" spans="1:8" ht="30" x14ac:dyDescent="0.25">
      <c r="A55" t="s">
        <v>20</v>
      </c>
      <c r="B55" t="s">
        <v>110</v>
      </c>
      <c r="C55" t="s">
        <v>2</v>
      </c>
      <c r="D55" s="59" t="s">
        <v>899</v>
      </c>
      <c r="E55" s="71"/>
      <c r="H55" s="88" t="s">
        <v>408</v>
      </c>
    </row>
    <row r="56" spans="1:8" x14ac:dyDescent="0.25">
      <c r="A56" t="s">
        <v>20</v>
      </c>
      <c r="B56" t="s">
        <v>111</v>
      </c>
      <c r="C56" t="s">
        <v>36</v>
      </c>
      <c r="D56" s="59" t="s">
        <v>900</v>
      </c>
      <c r="E56" s="71" t="s">
        <v>901</v>
      </c>
      <c r="H56" s="88" t="s">
        <v>409</v>
      </c>
    </row>
    <row r="57" spans="1:8" x14ac:dyDescent="0.25">
      <c r="A57" t="s">
        <v>20</v>
      </c>
      <c r="B57" t="s">
        <v>21</v>
      </c>
      <c r="C57" t="s">
        <v>36</v>
      </c>
      <c r="D57" s="59" t="s">
        <v>898</v>
      </c>
      <c r="E57" s="71"/>
      <c r="H57" s="88" t="s">
        <v>410</v>
      </c>
    </row>
    <row r="58" spans="1:8" x14ac:dyDescent="0.25">
      <c r="A58" t="s">
        <v>20</v>
      </c>
      <c r="B58" t="s">
        <v>22</v>
      </c>
      <c r="C58" t="s">
        <v>4</v>
      </c>
      <c r="D58" s="59" t="s">
        <v>898</v>
      </c>
      <c r="E58" s="71"/>
      <c r="H58" s="88" t="s">
        <v>562</v>
      </c>
    </row>
    <row r="59" spans="1:8" ht="30" x14ac:dyDescent="0.25">
      <c r="A59" t="s">
        <v>20</v>
      </c>
      <c r="B59" t="s">
        <v>23</v>
      </c>
      <c r="C59" t="s">
        <v>4</v>
      </c>
      <c r="D59" s="59" t="s">
        <v>902</v>
      </c>
      <c r="E59" s="71"/>
      <c r="H59" s="88" t="s">
        <v>585</v>
      </c>
    </row>
    <row r="60" spans="1:8" x14ac:dyDescent="0.25">
      <c r="A60" t="s">
        <v>20</v>
      </c>
      <c r="B60" t="s">
        <v>24</v>
      </c>
      <c r="C60" t="s">
        <v>36</v>
      </c>
      <c r="D60" s="72" t="s">
        <v>903</v>
      </c>
      <c r="E60" s="70" t="s">
        <v>901</v>
      </c>
      <c r="H60" s="88" t="s">
        <v>419</v>
      </c>
    </row>
    <row r="61" spans="1:8" x14ac:dyDescent="0.25">
      <c r="A61" t="s">
        <v>20</v>
      </c>
      <c r="B61" t="s">
        <v>25</v>
      </c>
      <c r="C61" t="s">
        <v>36</v>
      </c>
      <c r="D61" s="72" t="s">
        <v>898</v>
      </c>
      <c r="E61" s="70"/>
      <c r="H61" s="88" t="s">
        <v>563</v>
      </c>
    </row>
    <row r="62" spans="1:8" x14ac:dyDescent="0.25">
      <c r="A62" t="s">
        <v>26</v>
      </c>
      <c r="B62" t="s">
        <v>27</v>
      </c>
      <c r="C62" t="s">
        <v>26</v>
      </c>
      <c r="D62" s="72" t="s">
        <v>904</v>
      </c>
      <c r="E62" s="70"/>
    </row>
    <row r="63" spans="1:8" ht="30" x14ac:dyDescent="0.25">
      <c r="A63" t="s">
        <v>26</v>
      </c>
      <c r="B63" t="s">
        <v>28</v>
      </c>
      <c r="C63" t="s">
        <v>26</v>
      </c>
      <c r="D63" s="72" t="s">
        <v>905</v>
      </c>
      <c r="E63" s="70"/>
    </row>
    <row r="64" spans="1:8" x14ac:dyDescent="0.25">
      <c r="A64" t="s">
        <v>26</v>
      </c>
      <c r="B64" t="s">
        <v>253</v>
      </c>
      <c r="C64" t="s">
        <v>26</v>
      </c>
      <c r="D64" s="72" t="s">
        <v>898</v>
      </c>
      <c r="E64" s="70"/>
      <c r="H64" t="s">
        <v>584</v>
      </c>
    </row>
    <row r="65" spans="1:5" ht="135" x14ac:dyDescent="0.25">
      <c r="A65" t="s">
        <v>26</v>
      </c>
      <c r="B65" t="s">
        <v>29</v>
      </c>
      <c r="C65" t="s">
        <v>26</v>
      </c>
      <c r="D65" s="72" t="s">
        <v>906</v>
      </c>
      <c r="E65" s="70"/>
    </row>
    <row r="66" spans="1:5" x14ac:dyDescent="0.25">
      <c r="A66" t="s">
        <v>30</v>
      </c>
      <c r="B66" t="s">
        <v>31</v>
      </c>
      <c r="C66" t="s">
        <v>30</v>
      </c>
      <c r="D66" s="72" t="s">
        <v>907</v>
      </c>
      <c r="E66" s="70"/>
    </row>
    <row r="67" spans="1:5" ht="45" x14ac:dyDescent="0.25">
      <c r="A67" t="s">
        <v>30</v>
      </c>
      <c r="B67" s="9" t="s">
        <v>254</v>
      </c>
      <c r="C67" t="s">
        <v>30</v>
      </c>
      <c r="D67" s="72" t="s">
        <v>908</v>
      </c>
      <c r="E67" s="70"/>
    </row>
    <row r="68" spans="1:5" x14ac:dyDescent="0.25">
      <c r="A68" s="25" t="s">
        <v>4</v>
      </c>
      <c r="B68" s="25" t="s">
        <v>192</v>
      </c>
      <c r="C68" s="25" t="s">
        <v>4</v>
      </c>
      <c r="D68" s="310" t="s">
        <v>909</v>
      </c>
      <c r="E68" s="311" t="s">
        <v>251</v>
      </c>
    </row>
    <row r="69" spans="1:5" x14ac:dyDescent="0.25">
      <c r="A69" s="25" t="s">
        <v>4</v>
      </c>
      <c r="B69" s="25" t="s">
        <v>190</v>
      </c>
      <c r="C69" s="25" t="s">
        <v>4</v>
      </c>
      <c r="D69" s="310"/>
      <c r="E69" s="311"/>
    </row>
    <row r="70" spans="1:5" x14ac:dyDescent="0.25">
      <c r="A70" s="25" t="s">
        <v>4</v>
      </c>
      <c r="B70" s="25" t="s">
        <v>770</v>
      </c>
      <c r="C70" s="25" t="s">
        <v>4</v>
      </c>
      <c r="D70" s="310"/>
      <c r="E70" s="311"/>
    </row>
    <row r="71" spans="1:5" x14ac:dyDescent="0.25">
      <c r="A71" s="25" t="s">
        <v>4</v>
      </c>
      <c r="B71" s="25" t="s">
        <v>771</v>
      </c>
      <c r="C71" s="25" t="s">
        <v>4</v>
      </c>
      <c r="D71" s="310"/>
      <c r="E71" s="311"/>
    </row>
    <row r="72" spans="1:5" x14ac:dyDescent="0.25">
      <c r="A72" s="25" t="s">
        <v>2</v>
      </c>
      <c r="B72" s="25" t="s">
        <v>777</v>
      </c>
      <c r="C72" s="25" t="s">
        <v>2</v>
      </c>
      <c r="D72" s="310"/>
      <c r="E72" s="311"/>
    </row>
    <row r="73" spans="1:5" x14ac:dyDescent="0.25">
      <c r="A73" s="25" t="s">
        <v>835</v>
      </c>
      <c r="B73" s="25" t="s">
        <v>779</v>
      </c>
      <c r="C73" s="25" t="s">
        <v>835</v>
      </c>
      <c r="D73" s="310"/>
      <c r="E73" s="311"/>
    </row>
    <row r="74" spans="1:5" x14ac:dyDescent="0.25">
      <c r="A74" s="25" t="s">
        <v>26</v>
      </c>
      <c r="B74" s="25" t="s">
        <v>193</v>
      </c>
      <c r="C74" s="25" t="s">
        <v>26</v>
      </c>
      <c r="D74" s="310"/>
      <c r="E74" s="311"/>
    </row>
    <row r="75" spans="1:5" x14ac:dyDescent="0.25">
      <c r="A75" s="25" t="s">
        <v>26</v>
      </c>
      <c r="B75" s="25" t="s">
        <v>784</v>
      </c>
      <c r="C75" s="25" t="s">
        <v>26</v>
      </c>
      <c r="D75" s="310"/>
      <c r="E75" s="311"/>
    </row>
  </sheetData>
  <mergeCells count="2">
    <mergeCell ref="D68:D75"/>
    <mergeCell ref="E68:E75"/>
  </mergeCells>
  <hyperlinks>
    <hyperlink ref="B4" r:id="rId1" tooltip="A-Tables-IPCC-Sector-Canada" display="http://donnees.ec.gc.ca/data/substances/monitor/national-and-provincial-territorial-greenhouse-gas-emission-tables/A-Tables-IPCC-Sector-Canada/?lang=en"/>
    <hyperlink ref="B18" r:id="rId2" display="http://apps.neb-one.gc.ca/nrg/ntgrtd/ftr/2016/index-eng.html"/>
    <hyperlink ref="D38" r:id="rId3" display="https://dataverse.harvard.edu/dataset.xhtml?persistentId=doi:10.7910/DVN/XEZXT4"/>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204"/>
  <sheetViews>
    <sheetView workbookViewId="0">
      <selection activeCell="AD13" sqref="AD13"/>
    </sheetView>
  </sheetViews>
  <sheetFormatPr defaultColWidth="8.85546875" defaultRowHeight="15" x14ac:dyDescent="0.25"/>
  <cols>
    <col min="1" max="1" width="28" customWidth="1"/>
    <col min="2" max="2" width="16.140625" customWidth="1"/>
    <col min="3" max="3" width="18.140625" customWidth="1"/>
    <col min="4" max="4" width="16.85546875" customWidth="1"/>
    <col min="5" max="26" width="9.140625" hidden="1" customWidth="1"/>
    <col min="28" max="28" width="25.42578125" bestFit="1" customWidth="1"/>
  </cols>
  <sheetData>
    <row r="1" spans="1:4" x14ac:dyDescent="0.25">
      <c r="A1" s="6" t="s">
        <v>84</v>
      </c>
      <c r="B1" s="6"/>
      <c r="C1" s="6"/>
      <c r="D1" s="7"/>
    </row>
    <row r="2" spans="1:4" x14ac:dyDescent="0.25">
      <c r="A2" t="s">
        <v>171</v>
      </c>
      <c r="B2" t="s">
        <v>265</v>
      </c>
      <c r="C2" t="s">
        <v>266</v>
      </c>
      <c r="D2" t="s">
        <v>267</v>
      </c>
    </row>
    <row r="3" spans="1:4" x14ac:dyDescent="0.25">
      <c r="A3" t="s">
        <v>159</v>
      </c>
      <c r="B3" s="55">
        <v>1</v>
      </c>
      <c r="C3" s="55">
        <v>1</v>
      </c>
      <c r="D3">
        <v>1</v>
      </c>
    </row>
    <row r="4" spans="1:4" x14ac:dyDescent="0.25">
      <c r="A4" t="s">
        <v>160</v>
      </c>
      <c r="B4" s="55">
        <v>16.2</v>
      </c>
      <c r="C4" s="55">
        <v>5</v>
      </c>
    </row>
    <row r="5" spans="1:4" x14ac:dyDescent="0.25">
      <c r="A5" t="s">
        <v>161</v>
      </c>
      <c r="B5" s="55">
        <v>5.6</v>
      </c>
      <c r="C5" s="55">
        <v>1.8</v>
      </c>
    </row>
    <row r="6" spans="1:4" x14ac:dyDescent="0.25">
      <c r="A6" t="s">
        <v>162</v>
      </c>
      <c r="B6" s="55">
        <v>-2.4</v>
      </c>
      <c r="C6" s="55">
        <v>-8.1999999999999993</v>
      </c>
    </row>
    <row r="7" spans="1:4" x14ac:dyDescent="0.25">
      <c r="A7" t="s">
        <v>163</v>
      </c>
      <c r="B7" s="55">
        <v>0</v>
      </c>
      <c r="C7" s="55">
        <v>0</v>
      </c>
    </row>
    <row r="8" spans="1:4" x14ac:dyDescent="0.25">
      <c r="A8" t="s">
        <v>164</v>
      </c>
      <c r="B8" s="55">
        <v>0</v>
      </c>
      <c r="C8" s="55">
        <v>0</v>
      </c>
    </row>
    <row r="9" spans="1:4" x14ac:dyDescent="0.25">
      <c r="A9" t="s">
        <v>165</v>
      </c>
      <c r="B9" s="55">
        <v>0</v>
      </c>
      <c r="C9" s="55">
        <v>0</v>
      </c>
    </row>
    <row r="10" spans="1:4" x14ac:dyDescent="0.25">
      <c r="A10" t="s">
        <v>166</v>
      </c>
      <c r="B10" s="55">
        <v>1200</v>
      </c>
      <c r="C10" s="55">
        <v>345</v>
      </c>
    </row>
    <row r="11" spans="1:4" x14ac:dyDescent="0.25">
      <c r="A11" t="s">
        <v>167</v>
      </c>
      <c r="B11" s="55">
        <v>-160</v>
      </c>
      <c r="C11" s="55">
        <v>-46</v>
      </c>
    </row>
    <row r="12" spans="1:4" x14ac:dyDescent="0.25">
      <c r="A12" t="s">
        <v>168</v>
      </c>
      <c r="B12" s="55">
        <v>84</v>
      </c>
      <c r="C12" s="55">
        <v>28</v>
      </c>
      <c r="D12">
        <v>25</v>
      </c>
    </row>
    <row r="13" spans="1:4" x14ac:dyDescent="0.25">
      <c r="A13" t="s">
        <v>169</v>
      </c>
      <c r="B13" s="55">
        <v>264</v>
      </c>
      <c r="C13" s="55">
        <v>265</v>
      </c>
      <c r="D13">
        <v>298</v>
      </c>
    </row>
    <row r="14" spans="1:4" x14ac:dyDescent="0.25">
      <c r="A14" t="s">
        <v>170</v>
      </c>
      <c r="B14" s="55">
        <v>1</v>
      </c>
      <c r="C14" s="55">
        <v>1</v>
      </c>
    </row>
    <row r="15" spans="1:4" x14ac:dyDescent="0.25">
      <c r="A15" t="s">
        <v>198</v>
      </c>
      <c r="B15" s="55">
        <v>17500</v>
      </c>
      <c r="C15" s="55">
        <v>23500</v>
      </c>
      <c r="D15">
        <v>22800</v>
      </c>
    </row>
    <row r="16" spans="1:4" x14ac:dyDescent="0.25">
      <c r="A16" t="s">
        <v>83</v>
      </c>
      <c r="B16" s="55">
        <v>10800</v>
      </c>
      <c r="C16" s="55">
        <v>12400</v>
      </c>
      <c r="D16">
        <v>14800</v>
      </c>
    </row>
    <row r="196" spans="1:28" ht="49.5" customHeight="1" x14ac:dyDescent="0.25">
      <c r="A196" s="312"/>
      <c r="B196" s="312"/>
      <c r="C196" s="312"/>
      <c r="D196" s="312"/>
      <c r="E196" s="312"/>
      <c r="F196" s="312"/>
      <c r="G196" s="312"/>
      <c r="H196" s="312"/>
      <c r="I196" s="312"/>
      <c r="J196" s="312"/>
    </row>
    <row r="201" spans="1:28" x14ac:dyDescent="0.25">
      <c r="AB201" s="1"/>
    </row>
    <row r="202" spans="1:28" x14ac:dyDescent="0.25">
      <c r="AB202" s="1"/>
    </row>
    <row r="204" spans="1:28" x14ac:dyDescent="0.25">
      <c r="AA204" s="10"/>
    </row>
  </sheetData>
  <mergeCells count="1">
    <mergeCell ref="A196:J19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V30"/>
  <sheetViews>
    <sheetView workbookViewId="0">
      <selection activeCell="B35" sqref="B35"/>
    </sheetView>
  </sheetViews>
  <sheetFormatPr defaultColWidth="8.85546875" defaultRowHeight="15" x14ac:dyDescent="0.25"/>
  <cols>
    <col min="1" max="1" width="50.42578125" customWidth="1"/>
    <col min="2" max="2" width="45.28515625" customWidth="1"/>
    <col min="3" max="3" width="20" customWidth="1"/>
  </cols>
  <sheetData>
    <row r="1" spans="1:48" x14ac:dyDescent="0.25">
      <c r="A1" s="6" t="s">
        <v>559</v>
      </c>
      <c r="B1" s="6"/>
    </row>
    <row r="2" spans="1:48" x14ac:dyDescent="0.25">
      <c r="A2" t="s">
        <v>560</v>
      </c>
      <c r="B2">
        <f>'15'!F54</f>
        <v>6263.2154312254297</v>
      </c>
    </row>
    <row r="3" spans="1:48" x14ac:dyDescent="0.25">
      <c r="A3" t="s">
        <v>191</v>
      </c>
      <c r="B3">
        <f>'15'!F55</f>
        <v>1339.0608066391901</v>
      </c>
    </row>
    <row r="4" spans="1:48" x14ac:dyDescent="0.25">
      <c r="A4" t="s">
        <v>768</v>
      </c>
      <c r="B4">
        <f>'15'!F56</f>
        <v>434.085141176381</v>
      </c>
    </row>
    <row r="7" spans="1:48" x14ac:dyDescent="0.25">
      <c r="A7" s="6" t="s">
        <v>67</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48" x14ac:dyDescent="0.25">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48" x14ac:dyDescent="0.25">
      <c r="A9" t="s">
        <v>843</v>
      </c>
      <c r="B9" s="1">
        <f>SUM(B2:B4)</f>
        <v>8036.3613790410009</v>
      </c>
      <c r="C9" s="1">
        <f>SUM(B9)*(($E$25-$C$25)/$C$25/($E$19-$C$19+1)+1)</f>
        <v>8083.6340930353599</v>
      </c>
      <c r="D9" s="1">
        <f t="shared" ref="D9:AK9" si="0">SUM(C9)*(($E$25-$C$25)/$C$25/($E$19-$C$19+1)+1)</f>
        <v>8131.1848818179205</v>
      </c>
      <c r="E9" s="1">
        <f t="shared" si="0"/>
        <v>8179.0153811227319</v>
      </c>
      <c r="F9" s="1">
        <f t="shared" si="0"/>
        <v>8227.1272363058069</v>
      </c>
      <c r="G9" s="1">
        <f t="shared" si="0"/>
        <v>8275.5221024017228</v>
      </c>
      <c r="H9" s="1">
        <f t="shared" si="0"/>
        <v>8324.2016441805572</v>
      </c>
      <c r="I9" s="1">
        <f t="shared" si="0"/>
        <v>8373.1675362051483</v>
      </c>
      <c r="J9" s="1">
        <f t="shared" si="0"/>
        <v>8422.4214628887075</v>
      </c>
      <c r="K9" s="1">
        <f t="shared" si="0"/>
        <v>8471.9651185527582</v>
      </c>
      <c r="L9" s="1">
        <f t="shared" si="0"/>
        <v>8521.8002074854212</v>
      </c>
      <c r="M9" s="1">
        <f t="shared" si="0"/>
        <v>8571.9284440000411</v>
      </c>
      <c r="N9" s="1">
        <f t="shared" si="0"/>
        <v>8622.3515524941595</v>
      </c>
      <c r="O9" s="1">
        <f t="shared" si="0"/>
        <v>8673.0712675088307</v>
      </c>
      <c r="P9" s="1">
        <f t="shared" si="0"/>
        <v>8724.0893337882935</v>
      </c>
      <c r="Q9" s="1">
        <f t="shared" si="0"/>
        <v>8775.4075063399887</v>
      </c>
      <c r="R9" s="1">
        <f t="shared" si="0"/>
        <v>8827.0275504949295</v>
      </c>
      <c r="S9" s="1">
        <f t="shared" si="0"/>
        <v>8878.9512419684288</v>
      </c>
      <c r="T9" s="1">
        <f t="shared" si="0"/>
        <v>8931.180366921184</v>
      </c>
      <c r="U9" s="1">
        <f t="shared" si="0"/>
        <v>8983.7167220207193</v>
      </c>
      <c r="V9" s="1">
        <f t="shared" si="0"/>
        <v>9036.5621145031946</v>
      </c>
      <c r="W9" s="1">
        <f t="shared" si="0"/>
        <v>9089.718362235566</v>
      </c>
      <c r="X9" s="1">
        <f t="shared" si="0"/>
        <v>9143.1872937781282</v>
      </c>
      <c r="Y9" s="1">
        <f t="shared" si="0"/>
        <v>9196.9707484474111</v>
      </c>
      <c r="Z9" s="1">
        <f t="shared" si="0"/>
        <v>9251.070576379454</v>
      </c>
      <c r="AA9" s="1">
        <f t="shared" si="0"/>
        <v>9305.4886385934515</v>
      </c>
      <c r="AB9" s="1">
        <f t="shared" si="0"/>
        <v>9360.2268070557657</v>
      </c>
      <c r="AC9" s="1">
        <f t="shared" si="0"/>
        <v>9415.2869647443295</v>
      </c>
      <c r="AD9" s="1">
        <f t="shared" si="0"/>
        <v>9470.6710057134133</v>
      </c>
      <c r="AE9" s="1">
        <f t="shared" si="0"/>
        <v>9526.3808351587868</v>
      </c>
      <c r="AF9" s="1">
        <f t="shared" si="0"/>
        <v>9582.41836948325</v>
      </c>
      <c r="AG9" s="1">
        <f t="shared" si="0"/>
        <v>9638.7855363625622</v>
      </c>
      <c r="AH9" s="1">
        <f t="shared" si="0"/>
        <v>9695.4842748117535</v>
      </c>
      <c r="AI9" s="1">
        <f t="shared" si="0"/>
        <v>9752.5165352518216</v>
      </c>
      <c r="AJ9" s="1">
        <f t="shared" si="0"/>
        <v>9809.8842795768323</v>
      </c>
      <c r="AK9" s="1">
        <f t="shared" si="0"/>
        <v>9867.589481221401</v>
      </c>
    </row>
    <row r="10" spans="1:48" x14ac:dyDescent="0.25">
      <c r="A10" t="s">
        <v>0</v>
      </c>
      <c r="B10" s="1">
        <f>B9/10^3</f>
        <v>8.0363613790410007</v>
      </c>
      <c r="C10" s="1">
        <f t="shared" ref="C10:AK10" si="1">C9/10^3</f>
        <v>8.0836340930353607</v>
      </c>
      <c r="D10" s="1">
        <f t="shared" si="1"/>
        <v>8.1311848818179211</v>
      </c>
      <c r="E10" s="1">
        <f t="shared" si="1"/>
        <v>8.1790153811227313</v>
      </c>
      <c r="F10" s="1">
        <f t="shared" si="1"/>
        <v>8.2271272363058063</v>
      </c>
      <c r="G10" s="1">
        <f t="shared" si="1"/>
        <v>8.2755221024017231</v>
      </c>
      <c r="H10" s="1">
        <f t="shared" si="1"/>
        <v>8.3242016441805564</v>
      </c>
      <c r="I10" s="1">
        <f t="shared" si="1"/>
        <v>8.3731675362051483</v>
      </c>
      <c r="J10" s="1">
        <f t="shared" si="1"/>
        <v>8.4224214628887069</v>
      </c>
      <c r="K10" s="1">
        <f t="shared" si="1"/>
        <v>8.4719651185527578</v>
      </c>
      <c r="L10" s="1">
        <f t="shared" si="1"/>
        <v>8.5218002074854216</v>
      </c>
      <c r="M10" s="1">
        <f t="shared" si="1"/>
        <v>8.5719284440000418</v>
      </c>
      <c r="N10" s="1">
        <f t="shared" si="1"/>
        <v>8.622351552494159</v>
      </c>
      <c r="O10" s="1">
        <f t="shared" si="1"/>
        <v>8.6730712675088313</v>
      </c>
      <c r="P10" s="1">
        <f t="shared" si="1"/>
        <v>8.7240893337882941</v>
      </c>
      <c r="Q10" s="1">
        <f t="shared" si="1"/>
        <v>8.7754075063399881</v>
      </c>
      <c r="R10" s="1">
        <f t="shared" si="1"/>
        <v>8.8270275504949289</v>
      </c>
      <c r="S10" s="1">
        <f t="shared" si="1"/>
        <v>8.8789512419684282</v>
      </c>
      <c r="T10" s="1">
        <f t="shared" si="1"/>
        <v>8.9311803669211844</v>
      </c>
      <c r="U10" s="1">
        <f t="shared" si="1"/>
        <v>8.9837167220207199</v>
      </c>
      <c r="V10" s="1">
        <f t="shared" si="1"/>
        <v>9.0365621145031945</v>
      </c>
      <c r="W10" s="1">
        <f t="shared" si="1"/>
        <v>9.0897183622355655</v>
      </c>
      <c r="X10" s="1">
        <f t="shared" si="1"/>
        <v>9.1431872937781282</v>
      </c>
      <c r="Y10" s="1">
        <f t="shared" si="1"/>
        <v>9.196970748447411</v>
      </c>
      <c r="Z10" s="1">
        <f t="shared" si="1"/>
        <v>9.2510705763794547</v>
      </c>
      <c r="AA10" s="1">
        <f t="shared" si="1"/>
        <v>9.3054886385934523</v>
      </c>
      <c r="AB10" s="1">
        <f t="shared" si="1"/>
        <v>9.3602268070557653</v>
      </c>
      <c r="AC10" s="1">
        <f t="shared" si="1"/>
        <v>9.4152869647443289</v>
      </c>
      <c r="AD10" s="1">
        <f t="shared" si="1"/>
        <v>9.4706710057134131</v>
      </c>
      <c r="AE10" s="1">
        <f t="shared" si="1"/>
        <v>9.5263808351587862</v>
      </c>
      <c r="AF10" s="1">
        <f t="shared" si="1"/>
        <v>9.5824183694832499</v>
      </c>
      <c r="AG10" s="1">
        <f t="shared" si="1"/>
        <v>9.6387855363625619</v>
      </c>
      <c r="AH10" s="1">
        <f t="shared" si="1"/>
        <v>9.6954842748117542</v>
      </c>
      <c r="AI10" s="1">
        <f t="shared" si="1"/>
        <v>9.7525165352518215</v>
      </c>
      <c r="AJ10" s="1">
        <f t="shared" si="1"/>
        <v>9.8098842795768331</v>
      </c>
      <c r="AK10" s="1">
        <f t="shared" si="1"/>
        <v>9.8675894812214011</v>
      </c>
    </row>
    <row r="13" spans="1:48" x14ac:dyDescent="0.25">
      <c r="A13" s="299"/>
      <c r="B13" s="299"/>
      <c r="C13" s="299"/>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300"/>
      <c r="AE13" s="300"/>
      <c r="AF13" s="300"/>
      <c r="AG13" s="300"/>
      <c r="AH13" s="300"/>
      <c r="AI13" s="300"/>
      <c r="AJ13" s="300"/>
      <c r="AK13" s="300"/>
      <c r="AL13" s="300"/>
      <c r="AM13" s="300"/>
      <c r="AN13" s="300"/>
      <c r="AO13" s="300"/>
      <c r="AP13" s="300"/>
      <c r="AQ13" s="300"/>
      <c r="AR13" s="300"/>
      <c r="AS13" s="300"/>
      <c r="AT13" s="300"/>
      <c r="AU13" s="300"/>
      <c r="AV13" s="300"/>
    </row>
    <row r="14" spans="1:48" x14ac:dyDescent="0.25">
      <c r="A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row>
    <row r="18" spans="1:7" ht="16.5" thickBot="1" x14ac:dyDescent="0.3">
      <c r="A18" s="313" t="s">
        <v>836</v>
      </c>
      <c r="B18" s="314"/>
      <c r="C18" s="314"/>
      <c r="D18" s="314"/>
      <c r="E18" s="314"/>
      <c r="F18" s="314"/>
      <c r="G18" s="314"/>
    </row>
    <row r="19" spans="1:7" x14ac:dyDescent="0.25">
      <c r="A19" s="315"/>
      <c r="B19" s="315">
        <v>2005</v>
      </c>
      <c r="C19" s="315">
        <v>2014</v>
      </c>
      <c r="D19" s="315">
        <v>2020</v>
      </c>
      <c r="E19" s="315">
        <v>2030</v>
      </c>
      <c r="F19" s="307" t="s">
        <v>837</v>
      </c>
      <c r="G19" s="307" t="s">
        <v>837</v>
      </c>
    </row>
    <row r="20" spans="1:7" ht="20.25" thickBot="1" x14ac:dyDescent="0.3">
      <c r="A20" s="316"/>
      <c r="B20" s="316"/>
      <c r="C20" s="316"/>
      <c r="D20" s="316"/>
      <c r="E20" s="316"/>
      <c r="F20" s="302" t="s">
        <v>838</v>
      </c>
      <c r="G20" s="302" t="s">
        <v>839</v>
      </c>
    </row>
    <row r="21" spans="1:7" ht="15.75" thickBot="1" x14ac:dyDescent="0.3">
      <c r="A21" s="303" t="s">
        <v>33</v>
      </c>
      <c r="B21" s="304">
        <v>6</v>
      </c>
      <c r="C21" s="304">
        <v>8</v>
      </c>
      <c r="D21" s="304">
        <v>9</v>
      </c>
      <c r="E21" s="304">
        <v>10</v>
      </c>
      <c r="F21" s="304">
        <v>3</v>
      </c>
      <c r="G21" s="304">
        <v>4</v>
      </c>
    </row>
    <row r="22" spans="1:7" ht="15.75" thickBot="1" x14ac:dyDescent="0.3">
      <c r="A22" s="303" t="s">
        <v>840</v>
      </c>
      <c r="B22" s="304">
        <v>14</v>
      </c>
      <c r="C22" s="304">
        <v>10</v>
      </c>
      <c r="D22" s="304">
        <v>12</v>
      </c>
      <c r="E22" s="304">
        <v>15</v>
      </c>
      <c r="F22" s="304">
        <v>-2</v>
      </c>
      <c r="G22" s="304">
        <v>1</v>
      </c>
    </row>
    <row r="23" spans="1:7" ht="15.75" thickBot="1" x14ac:dyDescent="0.3">
      <c r="A23" s="303" t="s">
        <v>732</v>
      </c>
      <c r="B23" s="304">
        <v>9</v>
      </c>
      <c r="C23" s="304">
        <v>7</v>
      </c>
      <c r="D23" s="304">
        <v>8</v>
      </c>
      <c r="E23" s="304">
        <v>7</v>
      </c>
      <c r="F23" s="304">
        <v>-1</v>
      </c>
      <c r="G23" s="304">
        <v>-2</v>
      </c>
    </row>
    <row r="24" spans="1:7" ht="15.75" thickBot="1" x14ac:dyDescent="0.3">
      <c r="A24" s="303" t="s">
        <v>2</v>
      </c>
      <c r="B24" s="304">
        <v>19</v>
      </c>
      <c r="C24" s="304">
        <v>16</v>
      </c>
      <c r="D24" s="304">
        <v>17</v>
      </c>
      <c r="E24" s="304">
        <v>21</v>
      </c>
      <c r="F24" s="304">
        <v>-2</v>
      </c>
      <c r="G24" s="304">
        <v>1</v>
      </c>
    </row>
    <row r="25" spans="1:7" ht="15.75" thickBot="1" x14ac:dyDescent="0.3">
      <c r="A25" s="303" t="s">
        <v>35</v>
      </c>
      <c r="B25" s="304">
        <v>13</v>
      </c>
      <c r="C25" s="304">
        <v>10</v>
      </c>
      <c r="D25" s="304">
        <v>10</v>
      </c>
      <c r="E25" s="304">
        <v>11</v>
      </c>
      <c r="F25" s="304">
        <v>-3</v>
      </c>
      <c r="G25" s="304">
        <v>-2</v>
      </c>
    </row>
    <row r="26" spans="1:7" ht="15.75" thickBot="1" x14ac:dyDescent="0.3">
      <c r="A26" s="303" t="s">
        <v>841</v>
      </c>
      <c r="B26" s="304">
        <v>3</v>
      </c>
      <c r="C26" s="304">
        <v>3</v>
      </c>
      <c r="D26" s="304">
        <v>2</v>
      </c>
      <c r="E26" s="304">
        <v>3</v>
      </c>
      <c r="F26" s="304">
        <v>-1</v>
      </c>
      <c r="G26" s="304">
        <v>-1</v>
      </c>
    </row>
    <row r="27" spans="1:7" ht="15.75" thickBot="1" x14ac:dyDescent="0.3">
      <c r="A27" s="303" t="s">
        <v>842</v>
      </c>
      <c r="B27" s="304">
        <v>23</v>
      </c>
      <c r="C27" s="304">
        <v>24</v>
      </c>
      <c r="D27" s="304">
        <v>27</v>
      </c>
      <c r="E27" s="304">
        <v>31</v>
      </c>
      <c r="F27" s="304">
        <v>3</v>
      </c>
      <c r="G27" s="304">
        <v>7</v>
      </c>
    </row>
    <row r="28" spans="1:7" ht="15.75" thickBot="1" x14ac:dyDescent="0.3">
      <c r="A28" s="305" t="s">
        <v>41</v>
      </c>
      <c r="B28" s="306">
        <v>88</v>
      </c>
      <c r="C28" s="306">
        <v>76</v>
      </c>
      <c r="D28" s="306">
        <v>85</v>
      </c>
      <c r="E28" s="306">
        <v>97</v>
      </c>
      <c r="F28" s="306">
        <v>-4</v>
      </c>
      <c r="G28" s="306">
        <v>9</v>
      </c>
    </row>
    <row r="30" spans="1:7" x14ac:dyDescent="0.25">
      <c r="A30" t="s">
        <v>844</v>
      </c>
    </row>
  </sheetData>
  <mergeCells count="6">
    <mergeCell ref="A18:G18"/>
    <mergeCell ref="A19:A20"/>
    <mergeCell ref="B19:B20"/>
    <mergeCell ref="C19:C20"/>
    <mergeCell ref="D19:D20"/>
    <mergeCell ref="E19:E2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8"/>
  <sheetViews>
    <sheetView workbookViewId="0">
      <selection activeCell="G20" sqref="G20"/>
    </sheetView>
  </sheetViews>
  <sheetFormatPr defaultColWidth="8.85546875" defaultRowHeight="15" x14ac:dyDescent="0.25"/>
  <cols>
    <col min="1" max="1" width="37.140625" bestFit="1" customWidth="1"/>
  </cols>
  <sheetData>
    <row r="1" spans="1:37" x14ac:dyDescent="0.25">
      <c r="A1" s="6" t="s">
        <v>403</v>
      </c>
      <c r="B1" s="6"/>
    </row>
    <row r="2" spans="1:37" x14ac:dyDescent="0.25">
      <c r="A2" t="s">
        <v>65</v>
      </c>
      <c r="B2">
        <f>'15'!F63</f>
        <v>7992.4775362003102</v>
      </c>
    </row>
    <row r="3" spans="1:37" x14ac:dyDescent="0.25">
      <c r="A3" t="s">
        <v>66</v>
      </c>
      <c r="B3">
        <f>'15'!G63</f>
        <v>7.0154999999999995E-2</v>
      </c>
    </row>
    <row r="5" spans="1:37" x14ac:dyDescent="0.25">
      <c r="A5" s="6" t="s">
        <v>67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row>
    <row r="6" spans="1:37" x14ac:dyDescent="0.25">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37" x14ac:dyDescent="0.25">
      <c r="A7" t="s">
        <v>58</v>
      </c>
      <c r="B7" s="12">
        <f>$B$2*'Coal Supply and Demand'!L$11/'Coal Supply and Demand'!$L$11/10^3</f>
        <v>7.99247753620031</v>
      </c>
      <c r="C7" s="12">
        <f>$B$2*'Coal Supply and Demand'!M$11/'Coal Supply and Demand'!$L$11/10^3</f>
        <v>8.162258024276202</v>
      </c>
      <c r="D7" s="12">
        <f>$B$2*'Coal Supply and Demand'!N$11/'Coal Supply and Demand'!$L$11/10^3</f>
        <v>8.2134812255090761</v>
      </c>
      <c r="E7" s="12">
        <f>$B$2*'Coal Supply and Demand'!O$11/'Coal Supply and Demand'!$L$11/10^3</f>
        <v>8.223049163797107</v>
      </c>
      <c r="F7" s="12">
        <f>$B$2*'Coal Supply and Demand'!P$11/'Coal Supply and Demand'!$L$11/10^3</f>
        <v>8.2135036328586963</v>
      </c>
      <c r="G7" s="12">
        <f>$B$2*'Coal Supply and Demand'!Q$11/'Coal Supply and Demand'!$L$11/10^3</f>
        <v>8.2751014369659455</v>
      </c>
      <c r="H7" s="12">
        <f>$B$2*'Coal Supply and Demand'!R$11/'Coal Supply and Demand'!$L$11/10^3</f>
        <v>8.2788434643525974</v>
      </c>
      <c r="I7" s="12">
        <f>$B$2*'Coal Supply and Demand'!S$11/'Coal Supply and Demand'!$L$11/10^3</f>
        <v>8.291750097734111</v>
      </c>
      <c r="J7" s="12">
        <f>$B$2*'Coal Supply and Demand'!T$11/'Coal Supply and Demand'!$L$11/10^3</f>
        <v>8.3144039282006172</v>
      </c>
      <c r="K7" s="12">
        <f>$B$2*'Coal Supply and Demand'!U$11/'Coal Supply and Demand'!$L$11/10^3</f>
        <v>8.3930985400684452</v>
      </c>
      <c r="L7" s="12">
        <f>$B$2*'Coal Supply and Demand'!V$11/'Coal Supply and Demand'!$L$11/10^3</f>
        <v>8.4604102183289669</v>
      </c>
      <c r="M7" s="12">
        <f>$B$2*'Coal Supply and Demand'!W$11/'Coal Supply and Demand'!$L$11/10^3</f>
        <v>8.542779635534588</v>
      </c>
      <c r="N7" s="12">
        <f>$B$2*'Coal Supply and Demand'!X$11/'Coal Supply and Demand'!$L$11/10^3</f>
        <v>8.6155587071025543</v>
      </c>
      <c r="O7" s="12">
        <f>$B$2*'Coal Supply and Demand'!Y$11/'Coal Supply and Demand'!$L$11/10^3</f>
        <v>8.6857833408137672</v>
      </c>
      <c r="P7" s="12">
        <f>$B$2*'Coal Supply and Demand'!Z$11/'Coal Supply and Demand'!$L$11/10^3</f>
        <v>8.759032966723769</v>
      </c>
      <c r="Q7" s="12">
        <f>$B$2*'Coal Supply and Demand'!AA$11/'Coal Supply and Demand'!$L$11/10^3</f>
        <v>8.8420970117676294</v>
      </c>
      <c r="R7" s="12">
        <f>$B$2*'Coal Supply and Demand'!AB$11/'Coal Supply and Demand'!$L$11/10^3</f>
        <v>8.9224273601577675</v>
      </c>
      <c r="S7" s="12">
        <f>$B$2*'Coal Supply and Demand'!AC$11/'Coal Supply and Demand'!$L$11/10^3</f>
        <v>8.9911058867451494</v>
      </c>
      <c r="T7" s="12">
        <f>$B$2*'Coal Supply and Demand'!AD$11/'Coal Supply and Demand'!$L$11/10^3</f>
        <v>9.0574540489719837</v>
      </c>
      <c r="U7" s="12">
        <f>$B$2*'Coal Supply and Demand'!AE$11/'Coal Supply and Demand'!$L$11/10^3</f>
        <v>9.1132259421778556</v>
      </c>
      <c r="V7" s="12">
        <f>$B$2*'Coal Supply and Demand'!AF$11/'Coal Supply and Demand'!$L$11/10^3</f>
        <v>9.1632615538808349</v>
      </c>
      <c r="W7" s="12">
        <f>$B$2*'Coal Supply and Demand'!AG$11/'Coal Supply and Demand'!$L$11/10^3</f>
        <v>9.2125577230463289</v>
      </c>
      <c r="X7" s="12">
        <f>$B$2*'Coal Supply and Demand'!AH$11/'Coal Supply and Demand'!$L$11/10^3</f>
        <v>9.2618762995614468</v>
      </c>
      <c r="Y7" s="12">
        <f>$B$2*'Coal Supply and Demand'!AI$11/'Coal Supply and Demand'!$L$11/10^3</f>
        <v>9.3169087502298371</v>
      </c>
      <c r="Z7" s="12">
        <f>$B$2*'Coal Supply and Demand'!AJ$11/'Coal Supply and Demand'!$L$11/10^3</f>
        <v>9.3776774824011202</v>
      </c>
      <c r="AA7" s="12">
        <f>$B$2*'Coal Supply and Demand'!AK$11/'Coal Supply and Demand'!$L$11/10^3</f>
        <v>9.4449891606616418</v>
      </c>
      <c r="AB7" s="23">
        <f>(($AA7-$R7)/$R7/10+1)*AA7</f>
        <v>9.500305840106682</v>
      </c>
      <c r="AC7" s="23">
        <f t="shared" ref="AC7:AK7" si="0">(($AA7-$R7)/$R7/10+1)*AB7</f>
        <v>9.555946493986502</v>
      </c>
      <c r="AD7" s="23">
        <f t="shared" si="0"/>
        <v>9.6119130197294247</v>
      </c>
      <c r="AE7" s="23">
        <f t="shared" si="0"/>
        <v>9.6682073258764873</v>
      </c>
      <c r="AF7" s="23">
        <f t="shared" si="0"/>
        <v>9.7248313321465201</v>
      </c>
      <c r="AG7" s="23">
        <f t="shared" si="0"/>
        <v>9.7817869695016135</v>
      </c>
      <c r="AH7" s="23">
        <f t="shared" si="0"/>
        <v>9.8390761802129667</v>
      </c>
      <c r="AI7" s="23">
        <f t="shared" si="0"/>
        <v>9.8967009179271219</v>
      </c>
      <c r="AJ7" s="23">
        <f t="shared" si="0"/>
        <v>9.9546631477325871</v>
      </c>
      <c r="AK7" s="23">
        <f t="shared" si="0"/>
        <v>10.012964846226851</v>
      </c>
    </row>
    <row r="8" spans="1:37" x14ac:dyDescent="0.25">
      <c r="A8" t="s">
        <v>57</v>
      </c>
      <c r="B8" s="12">
        <f>$B$3*'Coal Supply and Demand'!L$11/'Coal Supply and Demand'!$L$11</f>
        <v>7.0154999999999995E-2</v>
      </c>
      <c r="C8" s="12">
        <f>$B$3*'Coal Supply and Demand'!M$11/'Coal Supply and Demand'!$L$11</f>
        <v>7.1645270080462023E-2</v>
      </c>
      <c r="D8" s="12">
        <f>$B$3*'Coal Supply and Demand'!N$11/'Coal Supply and Demand'!$L$11</f>
        <v>7.2094888320390252E-2</v>
      </c>
      <c r="E8" s="12">
        <f>$B$3*'Coal Supply and Demand'!O$11/'Coal Supply and Demand'!$L$11</f>
        <v>7.2178872129860655E-2</v>
      </c>
      <c r="F8" s="12">
        <f>$B$3*'Coal Supply and Demand'!P$11/'Coal Supply and Demand'!$L$11</f>
        <v>7.2095085003784795E-2</v>
      </c>
      <c r="G8" s="12">
        <f>$B$3*'Coal Supply and Demand'!Q$11/'Coal Supply and Demand'!$L$11</f>
        <v>7.2635767655387026E-2</v>
      </c>
      <c r="H8" s="12">
        <f>$B$3*'Coal Supply and Demand'!R$11/'Coal Supply and Demand'!$L$11</f>
        <v>7.2668613782275918E-2</v>
      </c>
      <c r="I8" s="12">
        <f>$B$3*'Coal Supply and Demand'!S$11/'Coal Supply and Demand'!$L$11</f>
        <v>7.278190341753342E-2</v>
      </c>
      <c r="J8" s="12">
        <f>$B$3*'Coal Supply and Demand'!T$11/'Coal Supply and Demand'!$L$11</f>
        <v>7.2980750329417698E-2</v>
      </c>
      <c r="K8" s="12">
        <f>$B$3*'Coal Supply and Demand'!U$11/'Coal Supply and Demand'!$L$11</f>
        <v>7.3671502411057216E-2</v>
      </c>
      <c r="L8" s="12">
        <f>$B$3*'Coal Supply and Demand'!V$11/'Coal Supply and Demand'!$L$11</f>
        <v>7.4262339328268229E-2</v>
      </c>
      <c r="M8" s="12">
        <f>$B$3*'Coal Supply and Demand'!W$11/'Coal Supply and Demand'!$L$11</f>
        <v>7.4985347486613008E-2</v>
      </c>
      <c r="N8" s="12">
        <f>$B$3*'Coal Supply and Demand'!X$11/'Coal Supply and Demand'!$L$11</f>
        <v>7.562417515209284E-2</v>
      </c>
      <c r="O8" s="12">
        <f>$B$3*'Coal Supply and Demand'!Y$11/'Coal Supply and Demand'!$L$11</f>
        <v>7.6240580910594616E-2</v>
      </c>
      <c r="P8" s="12">
        <f>$B$3*'Coal Supply and Demand'!Z$11/'Coal Supply and Demand'!$L$11</f>
        <v>7.6883538927359885E-2</v>
      </c>
      <c r="Q8" s="12">
        <f>$B$3*'Coal Supply and Demand'!AA$11/'Coal Supply and Demand'!$L$11</f>
        <v>7.7612644270935546E-2</v>
      </c>
      <c r="R8" s="12">
        <f>$B$3*'Coal Supply and Demand'!AB$11/'Coal Supply and Demand'!$L$11</f>
        <v>7.8317754240376791E-2</v>
      </c>
      <c r="S8" s="12">
        <f>$B$3*'Coal Supply and Demand'!AC$11/'Coal Supply and Demand'!$L$11</f>
        <v>7.8920588844655012E-2</v>
      </c>
      <c r="T8" s="12">
        <f>$B$3*'Coal Supply and Demand'!AD$11/'Coal Supply and Demand'!$L$11</f>
        <v>7.9502968375900637E-2</v>
      </c>
      <c r="U8" s="12">
        <f>$B$3*'Coal Supply and Demand'!AE$11/'Coal Supply and Demand'!$L$11</f>
        <v>7.9992513344921357E-2</v>
      </c>
      <c r="V8" s="12">
        <f>$B$3*'Coal Supply and Demand'!AF$11/'Coal Supply and Demand'!$L$11</f>
        <v>8.0431707364938723E-2</v>
      </c>
      <c r="W8" s="12">
        <f>$B$3*'Coal Supply and Demand'!AG$11/'Coal Supply and Demand'!$L$11</f>
        <v>8.0864410832936148E-2</v>
      </c>
      <c r="X8" s="12">
        <f>$B$3*'Coal Supply and Demand'!AH$11/'Coal Supply and Demand'!$L$11</f>
        <v>8.1297310984328117E-2</v>
      </c>
      <c r="Y8" s="12">
        <f>$B$3*'Coal Supply and Demand'!AI$11/'Coal Supply and Demand'!$L$11</f>
        <v>8.1780365401328881E-2</v>
      </c>
      <c r="Z8" s="12">
        <f>$B$3*'Coal Supply and Demand'!AJ$11/'Coal Supply and Demand'!$L$11</f>
        <v>8.2313770767332983E-2</v>
      </c>
      <c r="AA8" s="12">
        <f>$B$3*'Coal Supply and Demand'!AK$11/'Coal Supply and Demand'!$L$11</f>
        <v>8.2904607684543996E-2</v>
      </c>
      <c r="AB8" s="23">
        <f>(($AA8-$R8)/$R8/10+1)*AA8</f>
        <v>8.339015695620472E-2</v>
      </c>
      <c r="AC8" s="23">
        <f t="shared" ref="AC8:AK8" si="1">(($AA8-$R8)/$R8/10+1)*AB8</f>
        <v>8.3878549955153883E-2</v>
      </c>
      <c r="AD8" s="23">
        <f t="shared" si="1"/>
        <v>8.4369803336312763E-2</v>
      </c>
      <c r="AE8" s="23">
        <f t="shared" si="1"/>
        <v>8.486393385214587E-2</v>
      </c>
      <c r="AF8" s="23">
        <f t="shared" si="1"/>
        <v>8.5360958353232264E-2</v>
      </c>
      <c r="AG8" s="23">
        <f t="shared" si="1"/>
        <v>8.5860893788840154E-2</v>
      </c>
      <c r="AH8" s="23">
        <f t="shared" si="1"/>
        <v>8.6363757207504915E-2</v>
      </c>
      <c r="AI8" s="23">
        <f t="shared" si="1"/>
        <v>8.6869565757610456E-2</v>
      </c>
      <c r="AJ8" s="23">
        <f t="shared" si="1"/>
        <v>8.7378336687974012E-2</v>
      </c>
      <c r="AK8" s="23">
        <f t="shared" si="1"/>
        <v>8.7890087348434356E-2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28"/>
  <sheetViews>
    <sheetView topLeftCell="A4" workbookViewId="0">
      <selection activeCell="C21" sqref="C21"/>
    </sheetView>
  </sheetViews>
  <sheetFormatPr defaultColWidth="8.85546875" defaultRowHeight="15" x14ac:dyDescent="0.25"/>
  <cols>
    <col min="1" max="1" width="23" customWidth="1"/>
  </cols>
  <sheetData>
    <row r="1" spans="1:13" x14ac:dyDescent="0.25">
      <c r="A1" s="6" t="s">
        <v>273</v>
      </c>
      <c r="B1" s="6"/>
      <c r="C1" s="6"/>
      <c r="D1" s="6"/>
      <c r="E1" s="6"/>
      <c r="F1" s="6"/>
      <c r="G1" s="6"/>
      <c r="H1" s="6"/>
      <c r="I1" s="6"/>
      <c r="J1" s="6"/>
      <c r="K1" s="6"/>
      <c r="L1" s="6"/>
      <c r="M1" s="6"/>
    </row>
    <row r="2" spans="1:13" x14ac:dyDescent="0.25">
      <c r="B2">
        <v>2011</v>
      </c>
      <c r="C2">
        <v>2012</v>
      </c>
      <c r="D2">
        <v>2013</v>
      </c>
      <c r="E2">
        <v>2014</v>
      </c>
      <c r="F2">
        <v>2015</v>
      </c>
    </row>
    <row r="3" spans="1:13" ht="37.5" customHeight="1" x14ac:dyDescent="0.25">
      <c r="A3" t="s">
        <v>270</v>
      </c>
      <c r="B3" s="23">
        <v>1.6262350000000001</v>
      </c>
      <c r="C3" s="23">
        <v>1.290511</v>
      </c>
      <c r="D3" s="23">
        <v>1.7518720000000001</v>
      </c>
      <c r="E3" s="23">
        <v>1.083618</v>
      </c>
      <c r="F3" s="23">
        <v>0.61681900000000001</v>
      </c>
    </row>
    <row r="4" spans="1:13" x14ac:dyDescent="0.25">
      <c r="A4" t="s">
        <v>271</v>
      </c>
      <c r="B4" s="23">
        <v>86.941051999999999</v>
      </c>
      <c r="C4" s="23">
        <v>86.835121999999998</v>
      </c>
      <c r="D4" s="23">
        <v>91.940438</v>
      </c>
      <c r="E4" s="23">
        <v>86.736599999999981</v>
      </c>
      <c r="F4" s="23">
        <v>77.868135000000009</v>
      </c>
    </row>
    <row r="6" spans="1:13" x14ac:dyDescent="0.25">
      <c r="A6" s="6" t="s">
        <v>272</v>
      </c>
      <c r="B6" s="6"/>
      <c r="C6" s="6"/>
      <c r="D6" s="6"/>
      <c r="E6" s="6"/>
      <c r="F6" s="6"/>
      <c r="G6" s="6"/>
      <c r="H6" s="6"/>
      <c r="I6" s="6"/>
      <c r="J6" s="6"/>
      <c r="K6" s="6"/>
      <c r="L6" s="6"/>
      <c r="M6" s="6"/>
    </row>
    <row r="7" spans="1:13" x14ac:dyDescent="0.25">
      <c r="B7">
        <v>2011</v>
      </c>
      <c r="C7">
        <v>2012</v>
      </c>
      <c r="D7">
        <v>2013</v>
      </c>
      <c r="E7">
        <v>2014</v>
      </c>
      <c r="F7">
        <v>2015</v>
      </c>
    </row>
    <row r="8" spans="1:13" ht="37.5" customHeight="1" x14ac:dyDescent="0.25">
      <c r="A8" s="77" t="s">
        <v>270</v>
      </c>
      <c r="B8" s="78">
        <v>9.2481111588482907</v>
      </c>
      <c r="C8" s="78">
        <v>8.4535274957791504</v>
      </c>
      <c r="D8" s="78">
        <v>9.1400322548035202</v>
      </c>
      <c r="E8" s="78">
        <v>4.3120232048014904</v>
      </c>
      <c r="F8" s="78">
        <v>3.35763153166176</v>
      </c>
      <c r="G8" s="77"/>
      <c r="H8" s="77"/>
      <c r="I8" s="77"/>
      <c r="J8" s="77"/>
    </row>
    <row r="9" spans="1:13" x14ac:dyDescent="0.25">
      <c r="A9" s="77" t="s">
        <v>271</v>
      </c>
      <c r="B9" s="78">
        <v>45.608842870817142</v>
      </c>
      <c r="C9" s="78">
        <v>47.281331496602007</v>
      </c>
      <c r="D9" s="78">
        <v>52.203923421913103</v>
      </c>
      <c r="E9" s="78">
        <v>47.374983501983692</v>
      </c>
      <c r="F9" s="78">
        <v>42.220772595779998</v>
      </c>
      <c r="G9" s="77"/>
      <c r="H9" s="77"/>
      <c r="I9" s="77"/>
      <c r="J9" s="77"/>
    </row>
    <row r="10" spans="1:13" ht="15" customHeight="1" x14ac:dyDescent="0.25">
      <c r="A10" s="75"/>
      <c r="B10" s="76"/>
      <c r="C10" s="76"/>
      <c r="D10" s="76"/>
      <c r="E10" s="76"/>
      <c r="F10" s="76"/>
      <c r="G10" s="76"/>
      <c r="H10" s="76"/>
      <c r="I10" s="76"/>
      <c r="J10" s="76"/>
    </row>
    <row r="11" spans="1:13" x14ac:dyDescent="0.25">
      <c r="A11" s="6" t="s">
        <v>6</v>
      </c>
      <c r="B11" s="6"/>
      <c r="C11" s="6"/>
      <c r="D11" s="6"/>
      <c r="E11" s="6"/>
      <c r="F11" s="6"/>
      <c r="G11" s="6"/>
      <c r="H11" s="6"/>
      <c r="I11" s="6"/>
      <c r="J11" s="6"/>
      <c r="K11" s="6"/>
    </row>
    <row r="12" spans="1:13" x14ac:dyDescent="0.25">
      <c r="B12">
        <v>2011</v>
      </c>
      <c r="C12">
        <v>2012</v>
      </c>
      <c r="D12">
        <v>2013</v>
      </c>
      <c r="E12">
        <v>2014</v>
      </c>
      <c r="F12">
        <v>2015</v>
      </c>
      <c r="G12" t="s">
        <v>7</v>
      </c>
    </row>
    <row r="13" spans="1:13" ht="14.25" customHeight="1" x14ac:dyDescent="0.25">
      <c r="A13" t="s">
        <v>274</v>
      </c>
      <c r="B13">
        <f>SUM(B8:B9)/(SUM(B3:B4)*1000)</f>
        <v>6.1938166887358121E-4</v>
      </c>
      <c r="C13">
        <f t="shared" ref="C13:F13" si="0">SUM(C8:C9)/(SUM(C3:C4)*1000)</f>
        <v>6.3244775776397728E-4</v>
      </c>
      <c r="D13">
        <f t="shared" si="0"/>
        <v>6.5473842705678423E-4</v>
      </c>
      <c r="E13">
        <f t="shared" si="0"/>
        <v>5.8855475292472173E-4</v>
      </c>
      <c r="F13">
        <f t="shared" si="0"/>
        <v>5.807279205061616E-4</v>
      </c>
      <c r="G13">
        <f>AVERAGE(B13:F13)</f>
        <v>6.1517010542504517E-4</v>
      </c>
    </row>
    <row r="15" spans="1:13" x14ac:dyDescent="0.25">
      <c r="A15" s="6" t="s">
        <v>9</v>
      </c>
      <c r="B15" s="6"/>
      <c r="C15" s="6"/>
      <c r="D15" s="6"/>
      <c r="E15" s="6"/>
      <c r="F15" s="6"/>
      <c r="G15" s="6"/>
      <c r="H15" s="6"/>
      <c r="I15" s="6"/>
      <c r="J15" s="6"/>
      <c r="K15" s="6"/>
    </row>
    <row r="16" spans="1:13" x14ac:dyDescent="0.25">
      <c r="B16" s="4">
        <v>2011</v>
      </c>
      <c r="C16" s="4">
        <v>2012</v>
      </c>
      <c r="D16" s="4">
        <v>2013</v>
      </c>
      <c r="E16" s="4">
        <v>2014</v>
      </c>
      <c r="F16" s="4">
        <v>2015</v>
      </c>
      <c r="G16" t="s">
        <v>7</v>
      </c>
    </row>
    <row r="17" spans="1:37" x14ac:dyDescent="0.25">
      <c r="A17" t="s">
        <v>8</v>
      </c>
      <c r="B17">
        <v>0</v>
      </c>
      <c r="C17">
        <v>0</v>
      </c>
      <c r="D17">
        <v>0</v>
      </c>
      <c r="E17">
        <v>0</v>
      </c>
      <c r="F17">
        <v>0</v>
      </c>
      <c r="G17">
        <f>AVERAGE(B17:F17)</f>
        <v>0</v>
      </c>
    </row>
    <row r="19" spans="1:37" x14ac:dyDescent="0.25">
      <c r="A19" s="6" t="s">
        <v>10</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x14ac:dyDescent="0.25">
      <c r="A20" t="s">
        <v>11</v>
      </c>
      <c r="B20" s="5">
        <v>2015</v>
      </c>
      <c r="C20" s="5">
        <v>2016</v>
      </c>
      <c r="D20" s="5">
        <v>2017</v>
      </c>
      <c r="E20" s="5">
        <v>2018</v>
      </c>
      <c r="F20" s="5">
        <v>2019</v>
      </c>
      <c r="G20" s="5">
        <v>2020</v>
      </c>
      <c r="H20" s="5">
        <v>2021</v>
      </c>
      <c r="I20" s="5">
        <v>2022</v>
      </c>
      <c r="J20" s="5">
        <v>2023</v>
      </c>
      <c r="K20" s="5">
        <v>2024</v>
      </c>
      <c r="L20" s="5">
        <v>2025</v>
      </c>
      <c r="M20" s="5">
        <v>2026</v>
      </c>
      <c r="N20" s="5">
        <v>2027</v>
      </c>
      <c r="O20" s="5">
        <v>2028</v>
      </c>
      <c r="P20" s="5">
        <v>2029</v>
      </c>
      <c r="Q20" s="5">
        <v>2030</v>
      </c>
      <c r="R20" s="5">
        <v>2031</v>
      </c>
      <c r="S20" s="5">
        <v>2032</v>
      </c>
      <c r="T20" s="5">
        <v>2033</v>
      </c>
      <c r="U20" s="5">
        <v>2034</v>
      </c>
      <c r="V20" s="5">
        <v>2035</v>
      </c>
      <c r="W20" s="5">
        <v>2036</v>
      </c>
      <c r="X20" s="5">
        <v>2037</v>
      </c>
      <c r="Y20" s="5">
        <v>2038</v>
      </c>
      <c r="Z20" s="5">
        <v>2039</v>
      </c>
      <c r="AA20" s="5">
        <v>2040</v>
      </c>
      <c r="AB20" s="5">
        <v>2041</v>
      </c>
      <c r="AC20" s="5">
        <v>2042</v>
      </c>
      <c r="AD20" s="5">
        <v>2043</v>
      </c>
      <c r="AE20" s="5">
        <v>2044</v>
      </c>
      <c r="AF20" s="5">
        <v>2045</v>
      </c>
      <c r="AG20" s="5">
        <v>2046</v>
      </c>
      <c r="AH20" s="5">
        <v>2047</v>
      </c>
      <c r="AI20" s="5">
        <v>2048</v>
      </c>
      <c r="AJ20" s="5">
        <v>2049</v>
      </c>
      <c r="AK20" s="5">
        <v>2050</v>
      </c>
    </row>
    <row r="21" spans="1:37" x14ac:dyDescent="0.25">
      <c r="A21" t="s">
        <v>275</v>
      </c>
      <c r="B21" s="1">
        <f>'Coal Supply and Demand'!L27/10^3</f>
        <v>67.889899999999997</v>
      </c>
      <c r="C21" s="1">
        <f>'Coal Supply and Demand'!M27/10^3</f>
        <v>67.552970000000002</v>
      </c>
      <c r="D21" s="1">
        <f>'Coal Supply and Demand'!N27/10^3</f>
        <v>66.672389999999993</v>
      </c>
      <c r="E21" s="1">
        <f>'Coal Supply and Demand'!O27/10^3</f>
        <v>62.425539999999998</v>
      </c>
      <c r="F21" s="1">
        <f>'Coal Supply and Demand'!P27/10^3</f>
        <v>63.493279999999999</v>
      </c>
      <c r="G21" s="1">
        <f>'Coal Supply and Demand'!Q27/10^3</f>
        <v>61.602899999999998</v>
      </c>
      <c r="H21" s="1">
        <f>'Coal Supply and Demand'!R27/10^3</f>
        <v>59.268740000000001</v>
      </c>
      <c r="I21" s="1">
        <f>'Coal Supply and Demand'!S27/10^3</f>
        <v>60.20411</v>
      </c>
      <c r="J21" s="1">
        <f>'Coal Supply and Demand'!T27/10^3</f>
        <v>59.804389999999998</v>
      </c>
      <c r="K21" s="1">
        <f>'Coal Supply and Demand'!U27/10^3</f>
        <v>58.164870000000001</v>
      </c>
      <c r="L21" s="1">
        <f>'Coal Supply and Demand'!V27/10^3</f>
        <v>57.32132</v>
      </c>
      <c r="M21" s="1">
        <f>'Coal Supply and Demand'!W27/10^3</f>
        <v>56.512279999999997</v>
      </c>
      <c r="N21" s="1">
        <f>'Coal Supply and Demand'!X27/10^3</f>
        <v>55.009230000000002</v>
      </c>
      <c r="O21" s="1">
        <f>'Coal Supply and Demand'!Y27/10^3</f>
        <v>54.663690000000003</v>
      </c>
      <c r="P21" s="1">
        <f>'Coal Supply and Demand'!Z27/10^3</f>
        <v>49.026499999999999</v>
      </c>
      <c r="Q21" s="1">
        <f>'Coal Supply and Demand'!AA27/10^3</f>
        <v>47.57443</v>
      </c>
      <c r="R21" s="1">
        <f>'Coal Supply and Demand'!AB27/10^3</f>
        <v>48.670190000000005</v>
      </c>
      <c r="S21" s="1">
        <f>'Coal Supply and Demand'!AC27/10^3</f>
        <v>49.936779999999999</v>
      </c>
      <c r="T21" s="1">
        <f>'Coal Supply and Demand'!AD27/10^3</f>
        <v>50.084269999999997</v>
      </c>
      <c r="U21" s="1">
        <f>'Coal Supply and Demand'!AE27/10^3</f>
        <v>52.482039999999998</v>
      </c>
      <c r="V21" s="1">
        <f>'Coal Supply and Demand'!AF27/10^3</f>
        <v>52.289569999999998</v>
      </c>
      <c r="W21" s="1">
        <f>'Coal Supply and Demand'!AG27/10^3</f>
        <v>52.393000000000001</v>
      </c>
      <c r="X21" s="1">
        <f>'Coal Supply and Demand'!AH27/10^3</f>
        <v>51.180019999999999</v>
      </c>
      <c r="Y21" s="1">
        <f>'Coal Supply and Demand'!AI27/10^3</f>
        <v>51.319139999999997</v>
      </c>
      <c r="Z21" s="1">
        <f>'Coal Supply and Demand'!AJ27/10^3</f>
        <v>51.346640000000001</v>
      </c>
      <c r="AA21" s="1">
        <f>'Coal Supply and Demand'!AK27/10^3</f>
        <v>51.487670000000001</v>
      </c>
      <c r="AB21" s="1">
        <f>$AA$21*(($AA$21-$R$21)/$R$21/10+1)*(AB20-$AA$20)</f>
        <v>51.785728175798369</v>
      </c>
      <c r="AC21" s="1">
        <f t="shared" ref="AC21:AK21" si="1">AB21*(($AA$21-$R$21)/$R$21/10+1)</f>
        <v>52.085511787534315</v>
      </c>
      <c r="AD21" s="1">
        <f t="shared" si="1"/>
        <v>52.387030823624258</v>
      </c>
      <c r="AE21" s="1">
        <f t="shared" si="1"/>
        <v>52.690295330306775</v>
      </c>
      <c r="AF21" s="1">
        <f t="shared" si="1"/>
        <v>52.995315411977366</v>
      </c>
      <c r="AG21" s="1">
        <f t="shared" si="1"/>
        <v>53.3021012315251</v>
      </c>
      <c r="AH21" s="1">
        <f t="shared" si="1"/>
        <v>53.610663010671217</v>
      </c>
      <c r="AI21" s="1">
        <f t="shared" si="1"/>
        <v>53.921011030309742</v>
      </c>
      <c r="AJ21" s="1">
        <f t="shared" si="1"/>
        <v>54.233155630849986</v>
      </c>
      <c r="AK21" s="1">
        <f t="shared" si="1"/>
        <v>54.547107212561102</v>
      </c>
    </row>
    <row r="23" spans="1:37" x14ac:dyDescent="0.25">
      <c r="A23" s="6" t="s">
        <v>12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37" x14ac:dyDescent="0.25">
      <c r="A24" t="s">
        <v>13</v>
      </c>
      <c r="B24" s="5">
        <v>2015</v>
      </c>
      <c r="C24" s="5">
        <v>2016</v>
      </c>
      <c r="D24" s="5">
        <v>2017</v>
      </c>
      <c r="E24" s="5">
        <v>2018</v>
      </c>
      <c r="F24" s="5">
        <v>2019</v>
      </c>
      <c r="G24" s="5">
        <v>2020</v>
      </c>
      <c r="H24" s="5">
        <v>2021</v>
      </c>
      <c r="I24" s="5">
        <v>2022</v>
      </c>
      <c r="J24" s="5">
        <v>2023</v>
      </c>
      <c r="K24" s="5">
        <v>2024</v>
      </c>
      <c r="L24" s="5">
        <v>2025</v>
      </c>
      <c r="M24" s="5">
        <v>2026</v>
      </c>
      <c r="N24" s="5">
        <v>2027</v>
      </c>
      <c r="O24" s="5">
        <v>2028</v>
      </c>
      <c r="P24" s="5">
        <v>2029</v>
      </c>
      <c r="Q24" s="5">
        <v>2030</v>
      </c>
      <c r="R24" s="5">
        <v>2031</v>
      </c>
      <c r="S24" s="5">
        <v>2032</v>
      </c>
      <c r="T24" s="5">
        <v>2033</v>
      </c>
      <c r="U24" s="5">
        <v>2034</v>
      </c>
      <c r="V24" s="5">
        <v>2035</v>
      </c>
      <c r="W24" s="5">
        <v>2036</v>
      </c>
      <c r="X24" s="5">
        <v>2037</v>
      </c>
      <c r="Y24" s="5">
        <v>2038</v>
      </c>
      <c r="Z24" s="5">
        <v>2039</v>
      </c>
      <c r="AA24" s="5">
        <v>2040</v>
      </c>
      <c r="AB24" s="5">
        <v>2041</v>
      </c>
      <c r="AC24" s="5">
        <v>2042</v>
      </c>
      <c r="AD24" s="5">
        <v>2043</v>
      </c>
      <c r="AE24" s="5">
        <v>2044</v>
      </c>
      <c r="AF24" s="5">
        <v>2045</v>
      </c>
      <c r="AG24" s="5">
        <v>2046</v>
      </c>
      <c r="AH24" s="5">
        <v>2047</v>
      </c>
      <c r="AI24" s="5">
        <v>2048</v>
      </c>
      <c r="AJ24" s="5">
        <v>2049</v>
      </c>
      <c r="AK24" s="5">
        <v>2050</v>
      </c>
    </row>
    <row r="25" spans="1:37" x14ac:dyDescent="0.25">
      <c r="A25" t="s">
        <v>275</v>
      </c>
      <c r="B25" s="1">
        <f>B21*10^3*$G$13*(10^3*SUM($F$3:$F$4)/'Coal Supply and Demand'!$L$27)</f>
        <v>48.281597426459825</v>
      </c>
      <c r="C25" s="1">
        <f>C21*10^3*$G$13*(10^3*SUM($F$3:$F$4)/'Coal Supply and Demand'!$L$27)</f>
        <v>48.041981244658167</v>
      </c>
      <c r="D25" s="1">
        <f>D21*10^3*$G$13*(10^3*SUM($F$3:$F$4)/'Coal Supply and Demand'!$L$27)</f>
        <v>47.41573479177206</v>
      </c>
      <c r="E25" s="1">
        <f>E21*10^3*$G$13*(10^3*SUM($F$3:$F$4)/'Coal Supply and Demand'!$L$27)</f>
        <v>44.395481381020822</v>
      </c>
      <c r="F25" s="1">
        <f>F21*10^3*$G$13*(10^3*SUM($F$3:$F$4)/'Coal Supply and Demand'!$L$27)</f>
        <v>45.154831340825268</v>
      </c>
      <c r="G25" s="1">
        <f>G21*10^3*$G$13*(10^3*SUM($F$3:$F$4)/'Coal Supply and Demand'!$L$27)</f>
        <v>43.81044040575199</v>
      </c>
      <c r="H25" s="1">
        <f>H21*10^3*$G$13*(10^3*SUM($F$3:$F$4)/'Coal Supply and Demand'!$L$27)</f>
        <v>42.150444243599075</v>
      </c>
      <c r="I25" s="1">
        <f>I21*10^3*$G$13*(10^3*SUM($F$3:$F$4)/'Coal Supply and Demand'!$L$27)</f>
        <v>42.815655972954808</v>
      </c>
      <c r="J25" s="1">
        <f>J21*10^3*$G$13*(10^3*SUM($F$3:$F$4)/'Coal Supply and Demand'!$L$27)</f>
        <v>42.531385114943461</v>
      </c>
      <c r="K25" s="1">
        <f>K21*10^3*$G$13*(10^3*SUM($F$3:$F$4)/'Coal Supply and Demand'!$L$27)</f>
        <v>41.365399532218653</v>
      </c>
      <c r="L25" s="1">
        <f>L21*10^3*$G$13*(10^3*SUM($F$3:$F$4)/'Coal Supply and Demand'!$L$27)</f>
        <v>40.765487888379276</v>
      </c>
      <c r="M25" s="1">
        <f>M21*10^3*$G$13*(10^3*SUM($F$3:$F$4)/'Coal Supply and Demand'!$L$27)</f>
        <v>40.190118892668536</v>
      </c>
      <c r="N25" s="1">
        <f>N21*10^3*$G$13*(10^3*SUM($F$3:$F$4)/'Coal Supply and Demand'!$L$27)</f>
        <v>39.121187357759204</v>
      </c>
      <c r="O25" s="1">
        <f>O21*10^3*$G$13*(10^3*SUM($F$3:$F$4)/'Coal Supply and Demand'!$L$27)</f>
        <v>38.875447959487317</v>
      </c>
      <c r="P25" s="1">
        <f>P21*10^3*$G$13*(10^3*SUM($F$3:$F$4)/'Coal Supply and Demand'!$L$27)</f>
        <v>34.866419544414306</v>
      </c>
      <c r="Q25" s="1">
        <f>Q21*10^3*$G$13*(10^3*SUM($F$3:$F$4)/'Coal Supply and Demand'!$L$27)</f>
        <v>33.833743709348418</v>
      </c>
      <c r="R25" s="1">
        <f>R21*10^3*$G$13*(10^3*SUM($F$3:$F$4)/'Coal Supply and Demand'!$L$27)</f>
        <v>34.613020791742379</v>
      </c>
      <c r="S25" s="1">
        <f>S21*10^3*$G$13*(10^3*SUM($F$3:$F$4)/'Coal Supply and Demand'!$L$27)</f>
        <v>35.513787893835321</v>
      </c>
      <c r="T25" s="1">
        <f>T21*10^3*$G$13*(10^3*SUM($F$3:$F$4)/'Coal Supply and Demand'!$L$27)</f>
        <v>35.618679089792728</v>
      </c>
      <c r="U25" s="1">
        <f>U21*10^3*$G$13*(10^3*SUM($F$3:$F$4)/'Coal Supply and Demand'!$L$27)</f>
        <v>37.323913091628675</v>
      </c>
      <c r="V25" s="1">
        <f>V21*10^3*$G$13*(10^3*SUM($F$3:$F$4)/'Coal Supply and Demand'!$L$27)</f>
        <v>37.187033245632875</v>
      </c>
      <c r="W25" s="1">
        <f>W21*10^3*$G$13*(10^3*SUM($F$3:$F$4)/'Coal Supply and Demand'!$L$27)</f>
        <v>37.260590072521978</v>
      </c>
      <c r="X25" s="1">
        <f>X21*10^3*$G$13*(10^3*SUM($F$3:$F$4)/'Coal Supply and Demand'!$L$27)</f>
        <v>36.397949060437007</v>
      </c>
      <c r="Y25" s="1">
        <f>Y21*10^3*$G$13*(10^3*SUM($F$3:$F$4)/'Coal Supply and Demand'!$L$27)</f>
        <v>36.496887721916394</v>
      </c>
      <c r="Z25" s="1">
        <f>Z21*10^3*$G$13*(10^3*SUM($F$3:$F$4)/'Coal Supply and Demand'!$L$27)</f>
        <v>36.5164450335228</v>
      </c>
      <c r="AA25" s="1">
        <f>AA21*10^3*$G$13*(10^3*SUM($F$3:$F$4)/'Coal Supply and Demand'!$L$27)</f>
        <v>36.616742039190115</v>
      </c>
      <c r="AB25" s="1">
        <f>AB21*10^3*$G$13*(10^3*SUM($F$3:$F$4)/'Coal Supply and Demand'!$L$27)</f>
        <v>36.828713552678302</v>
      </c>
      <c r="AC25" s="1">
        <f>AC21*10^3*$G$13*(10^3*SUM($F$3:$F$4)/'Coal Supply and Demand'!$L$27)</f>
        <v>37.041912153013328</v>
      </c>
      <c r="AD25" s="1">
        <f>AD21*10^3*$G$13*(10^3*SUM($F$3:$F$4)/'Coal Supply and Demand'!$L$27)</f>
        <v>37.256344943706928</v>
      </c>
      <c r="AE25" s="1">
        <f>AE21*10^3*$G$13*(10^3*SUM($F$3:$F$4)/'Coal Supply and Demand'!$L$27)</f>
        <v>37.472019069392474</v>
      </c>
      <c r="AF25" s="1">
        <f>AF21*10^3*$G$13*(10^3*SUM($F$3:$F$4)/'Coal Supply and Demand'!$L$27)</f>
        <v>37.68894171606312</v>
      </c>
      <c r="AG25" s="1">
        <f>AG21*10^3*$G$13*(10^3*SUM($F$3:$F$4)/'Coal Supply and Demand'!$L$27)</f>
        <v>37.907120111311158</v>
      </c>
      <c r="AH25" s="1">
        <f>AH21*10^3*$G$13*(10^3*SUM($F$3:$F$4)/'Coal Supply and Demand'!$L$27)</f>
        <v>38.126561524568878</v>
      </c>
      <c r="AI25" s="1">
        <f>AI21*10^3*$G$13*(10^3*SUM($F$3:$F$4)/'Coal Supply and Demand'!$L$27)</f>
        <v>38.347273267350737</v>
      </c>
      <c r="AJ25" s="1">
        <f>AJ21*10^3*$G$13*(10^3*SUM($F$3:$F$4)/'Coal Supply and Demand'!$L$27)</f>
        <v>38.569262693496995</v>
      </c>
      <c r="AK25" s="1">
        <f>AK21*10^3*$G$13*(10^3*SUM($F$3:$F$4)/'Coal Supply and Demand'!$L$27)</f>
        <v>38.792537199418739</v>
      </c>
    </row>
    <row r="26" spans="1:37" x14ac:dyDescent="0.25">
      <c r="A26" t="s">
        <v>8</v>
      </c>
      <c r="B26" s="1">
        <f>$G$178*B21</f>
        <v>0</v>
      </c>
      <c r="C26" s="1">
        <f t="shared" ref="C26:AJ26" si="2">$G$178*C21</f>
        <v>0</v>
      </c>
      <c r="D26" s="1">
        <f t="shared" si="2"/>
        <v>0</v>
      </c>
      <c r="E26" s="1">
        <f t="shared" si="2"/>
        <v>0</v>
      </c>
      <c r="F26" s="1">
        <f t="shared" si="2"/>
        <v>0</v>
      </c>
      <c r="G26" s="1">
        <f t="shared" si="2"/>
        <v>0</v>
      </c>
      <c r="H26" s="1">
        <f t="shared" si="2"/>
        <v>0</v>
      </c>
      <c r="I26" s="1">
        <f t="shared" si="2"/>
        <v>0</v>
      </c>
      <c r="J26" s="1">
        <f t="shared" si="2"/>
        <v>0</v>
      </c>
      <c r="K26" s="1">
        <f t="shared" si="2"/>
        <v>0</v>
      </c>
      <c r="L26" s="1">
        <f t="shared" si="2"/>
        <v>0</v>
      </c>
      <c r="M26" s="1">
        <f t="shared" si="2"/>
        <v>0</v>
      </c>
      <c r="N26" s="1">
        <f t="shared" si="2"/>
        <v>0</v>
      </c>
      <c r="O26" s="1">
        <f t="shared" si="2"/>
        <v>0</v>
      </c>
      <c r="P26" s="1">
        <f t="shared" si="2"/>
        <v>0</v>
      </c>
      <c r="Q26" s="1">
        <f t="shared" si="2"/>
        <v>0</v>
      </c>
      <c r="R26" s="1">
        <f t="shared" si="2"/>
        <v>0</v>
      </c>
      <c r="S26" s="1">
        <f t="shared" si="2"/>
        <v>0</v>
      </c>
      <c r="T26" s="1">
        <f t="shared" si="2"/>
        <v>0</v>
      </c>
      <c r="U26" s="1">
        <f t="shared" si="2"/>
        <v>0</v>
      </c>
      <c r="V26" s="1">
        <f t="shared" si="2"/>
        <v>0</v>
      </c>
      <c r="W26" s="1">
        <f t="shared" si="2"/>
        <v>0</v>
      </c>
      <c r="X26" s="1">
        <f t="shared" si="2"/>
        <v>0</v>
      </c>
      <c r="Y26" s="1">
        <f t="shared" si="2"/>
        <v>0</v>
      </c>
      <c r="Z26" s="1">
        <f t="shared" si="2"/>
        <v>0</v>
      </c>
      <c r="AA26" s="1">
        <f t="shared" si="2"/>
        <v>0</v>
      </c>
      <c r="AB26" s="1">
        <f t="shared" si="2"/>
        <v>0</v>
      </c>
      <c r="AC26" s="1">
        <f t="shared" si="2"/>
        <v>0</v>
      </c>
      <c r="AD26" s="1">
        <f t="shared" si="2"/>
        <v>0</v>
      </c>
      <c r="AE26" s="1">
        <f t="shared" si="2"/>
        <v>0</v>
      </c>
      <c r="AF26" s="1">
        <f t="shared" si="2"/>
        <v>0</v>
      </c>
      <c r="AG26" s="1">
        <f t="shared" si="2"/>
        <v>0</v>
      </c>
      <c r="AH26" s="1">
        <f t="shared" si="2"/>
        <v>0</v>
      </c>
      <c r="AI26" s="1">
        <f t="shared" si="2"/>
        <v>0</v>
      </c>
      <c r="AJ26" s="1">
        <f t="shared" si="2"/>
        <v>0</v>
      </c>
      <c r="AK26" s="1">
        <f>$G$178*AK21</f>
        <v>0</v>
      </c>
    </row>
    <row r="28" spans="1:37" x14ac:dyDescent="0.25">
      <c r="A2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K48"/>
  <sheetViews>
    <sheetView workbookViewId="0">
      <selection activeCell="C20" sqref="C20"/>
    </sheetView>
  </sheetViews>
  <sheetFormatPr defaultColWidth="8.85546875" defaultRowHeight="15" x14ac:dyDescent="0.25"/>
  <cols>
    <col min="1" max="1" width="32.140625" customWidth="1"/>
    <col min="2" max="2" width="29" customWidth="1"/>
    <col min="3" max="6" width="9.28515625" bestFit="1" customWidth="1"/>
    <col min="7" max="7" width="17.42578125" customWidth="1"/>
  </cols>
  <sheetData>
    <row r="1" spans="1:37" x14ac:dyDescent="0.25">
      <c r="A1" s="6" t="s">
        <v>377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x14ac:dyDescent="0.25">
      <c r="A2">
        <v>191227.3</v>
      </c>
      <c r="B2" t="s">
        <v>364</v>
      </c>
      <c r="C2" t="s">
        <v>372</v>
      </c>
    </row>
    <row r="3" spans="1:37" x14ac:dyDescent="0.25">
      <c r="A3">
        <v>39.24</v>
      </c>
      <c r="B3" t="s">
        <v>365</v>
      </c>
      <c r="C3" s="2" t="s">
        <v>373</v>
      </c>
    </row>
    <row r="4" spans="1:37" x14ac:dyDescent="0.25">
      <c r="A4">
        <f>A2*A3*10^6</f>
        <v>7503759252000</v>
      </c>
      <c r="B4" t="s">
        <v>366</v>
      </c>
    </row>
    <row r="5" spans="1:37" x14ac:dyDescent="0.25">
      <c r="A5">
        <v>3.73E-2</v>
      </c>
      <c r="B5" t="s">
        <v>375</v>
      </c>
      <c r="C5" t="s">
        <v>374</v>
      </c>
    </row>
    <row r="6" spans="1:37" x14ac:dyDescent="0.25">
      <c r="A6">
        <f>A4/A5/10^3</f>
        <v>201173170294.90616</v>
      </c>
      <c r="B6" t="s">
        <v>367</v>
      </c>
    </row>
    <row r="7" spans="1:37" x14ac:dyDescent="0.25">
      <c r="A7">
        <v>1.51</v>
      </c>
      <c r="B7" t="s">
        <v>368</v>
      </c>
      <c r="C7" t="s">
        <v>376</v>
      </c>
    </row>
    <row r="8" spans="1:37" x14ac:dyDescent="0.25">
      <c r="A8">
        <f>A6/A7</f>
        <v>133227265095.96434</v>
      </c>
      <c r="B8" t="s">
        <v>369</v>
      </c>
    </row>
    <row r="9" spans="1:37" ht="15" customHeight="1" x14ac:dyDescent="0.25">
      <c r="A9">
        <f>A8/10^6</f>
        <v>133227.26509596434</v>
      </c>
      <c r="B9" t="s">
        <v>370</v>
      </c>
    </row>
    <row r="10" spans="1:37" ht="15" customHeight="1" x14ac:dyDescent="0.25">
      <c r="A10">
        <v>1408.98</v>
      </c>
      <c r="B10" t="s">
        <v>371</v>
      </c>
      <c r="C10" t="s">
        <v>372</v>
      </c>
    </row>
    <row r="11" spans="1:37" s="308" customFormat="1" ht="15" customHeight="1" thickBot="1" x14ac:dyDescent="0.3">
      <c r="A11" s="309">
        <f>A10/A9</f>
        <v>1.0575763144166504E-2</v>
      </c>
      <c r="B11" s="308" t="s">
        <v>913</v>
      </c>
    </row>
    <row r="12" spans="1:37" ht="15" customHeight="1" thickBot="1" x14ac:dyDescent="0.3">
      <c r="A12" s="84">
        <v>0.02</v>
      </c>
      <c r="B12" t="s">
        <v>914</v>
      </c>
      <c r="H12" s="83"/>
    </row>
    <row r="13" spans="1:37" x14ac:dyDescent="0.25">
      <c r="H13" s="10"/>
    </row>
    <row r="14" spans="1:37" x14ac:dyDescent="0.25">
      <c r="A14" s="6" t="s">
        <v>378</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1:37" x14ac:dyDescent="0.25">
      <c r="B15">
        <v>2011</v>
      </c>
      <c r="C15">
        <v>2012</v>
      </c>
      <c r="D15">
        <v>2013</v>
      </c>
      <c r="E15">
        <v>2014</v>
      </c>
      <c r="F15">
        <v>2015</v>
      </c>
    </row>
    <row r="16" spans="1:37" x14ac:dyDescent="0.25">
      <c r="A16" t="s">
        <v>379</v>
      </c>
      <c r="B16" s="1">
        <v>188849.19999999998</v>
      </c>
      <c r="C16" s="1">
        <v>178699.20000000004</v>
      </c>
      <c r="D16" s="1">
        <v>182805.10000000003</v>
      </c>
      <c r="E16" s="1">
        <v>192971.5</v>
      </c>
      <c r="F16" s="1">
        <v>191227.3</v>
      </c>
    </row>
    <row r="17" spans="1:37" x14ac:dyDescent="0.25">
      <c r="A17" t="s">
        <v>390</v>
      </c>
      <c r="B17" s="1">
        <f>SUM(B18:B25)</f>
        <v>5524.9511905627187</v>
      </c>
      <c r="C17" s="1">
        <f t="shared" ref="C17:F17" si="0">SUM(C18:C25)</f>
        <v>5243.3516827558988</v>
      </c>
      <c r="D17" s="1">
        <f t="shared" si="0"/>
        <v>5311.2098964507932</v>
      </c>
      <c r="E17" s="1">
        <f t="shared" si="0"/>
        <v>5348.0067492794005</v>
      </c>
      <c r="F17" s="1">
        <f t="shared" si="0"/>
        <v>5216.5603921413513</v>
      </c>
    </row>
    <row r="18" spans="1:37" x14ac:dyDescent="0.25">
      <c r="A18" t="s">
        <v>382</v>
      </c>
      <c r="B18" s="1">
        <v>0</v>
      </c>
      <c r="C18" s="1">
        <v>0</v>
      </c>
      <c r="D18" s="1">
        <v>0</v>
      </c>
      <c r="E18" s="1">
        <v>0</v>
      </c>
      <c r="F18" s="1">
        <v>0</v>
      </c>
    </row>
    <row r="19" spans="1:37" x14ac:dyDescent="0.25">
      <c r="A19" t="s">
        <v>383</v>
      </c>
      <c r="B19" s="1">
        <v>2.5685622631782299</v>
      </c>
      <c r="C19" s="1">
        <v>2.44023360760078</v>
      </c>
      <c r="D19" s="1">
        <v>2.4742376697255901</v>
      </c>
      <c r="E19" s="1">
        <v>2.5865149951115098</v>
      </c>
      <c r="F19" s="1">
        <v>2.5776229890605999</v>
      </c>
    </row>
    <row r="20" spans="1:37" x14ac:dyDescent="0.25">
      <c r="A20" t="s">
        <v>384</v>
      </c>
      <c r="B20" s="1">
        <v>7.3546053960394602</v>
      </c>
      <c r="C20" s="1">
        <v>7.0540231451443898</v>
      </c>
      <c r="D20" s="1">
        <v>7.26635338973849</v>
      </c>
      <c r="E20" s="1">
        <v>7.6166984861166904</v>
      </c>
      <c r="F20" s="1">
        <v>7.6564464615442702</v>
      </c>
    </row>
    <row r="21" spans="1:37" x14ac:dyDescent="0.25">
      <c r="A21" t="s">
        <v>385</v>
      </c>
      <c r="B21" s="1">
        <v>0.64635999513417997</v>
      </c>
      <c r="C21" s="1">
        <v>0.66542175891600996</v>
      </c>
      <c r="D21" s="1">
        <v>0.68030334428476003</v>
      </c>
      <c r="E21" s="1">
        <v>38.360307297812817</v>
      </c>
      <c r="F21" s="1">
        <v>38.537015526822493</v>
      </c>
    </row>
    <row r="22" spans="1:37" x14ac:dyDescent="0.25">
      <c r="A22" t="s">
        <v>386</v>
      </c>
      <c r="B22" s="1">
        <v>2.8304516085276301</v>
      </c>
      <c r="C22" s="1">
        <v>2.0762598138025901</v>
      </c>
      <c r="D22" s="1">
        <v>1.9537443639040599</v>
      </c>
      <c r="E22" s="1">
        <v>1.9419362790708801</v>
      </c>
      <c r="F22" s="1">
        <v>1.96604211288263</v>
      </c>
    </row>
    <row r="23" spans="1:37" x14ac:dyDescent="0.25">
      <c r="A23" t="s">
        <v>387</v>
      </c>
      <c r="B23" s="1">
        <v>56.562835960203778</v>
      </c>
      <c r="C23" s="1">
        <v>59.705721586779518</v>
      </c>
      <c r="D23" s="1">
        <v>59.792787835477966</v>
      </c>
      <c r="E23" s="1">
        <v>62.852988134679912</v>
      </c>
      <c r="F23" s="1">
        <v>57.263788887072067</v>
      </c>
    </row>
    <row r="24" spans="1:37" x14ac:dyDescent="0.25">
      <c r="A24" t="s">
        <v>388</v>
      </c>
      <c r="B24" s="1">
        <v>4726.2862653958264</v>
      </c>
      <c r="C24" s="1">
        <v>4384.5670085090842</v>
      </c>
      <c r="D24" s="1">
        <v>4395.999823809293</v>
      </c>
      <c r="E24" s="1">
        <v>4353.1032043288806</v>
      </c>
      <c r="F24" s="1">
        <v>4283.3984924561237</v>
      </c>
    </row>
    <row r="25" spans="1:37" x14ac:dyDescent="0.25">
      <c r="A25" t="s">
        <v>389</v>
      </c>
      <c r="B25" s="1">
        <v>728.70210994380875</v>
      </c>
      <c r="C25" s="1">
        <v>786.84301433457119</v>
      </c>
      <c r="D25" s="1">
        <v>843.04264603836918</v>
      </c>
      <c r="E25" s="1">
        <v>881.54509975772839</v>
      </c>
      <c r="F25" s="1">
        <v>825.16098370784596</v>
      </c>
    </row>
    <row r="27" spans="1:37" x14ac:dyDescent="0.25">
      <c r="A27" t="s">
        <v>391</v>
      </c>
      <c r="B27">
        <f>AVERAGE(F17/F16,E17/E16,D17/D16,C17/C16,B17/B16)</f>
        <v>2.8528990872357912E-2</v>
      </c>
    </row>
    <row r="28" spans="1:37" x14ac:dyDescent="0.25">
      <c r="A28" t="s">
        <v>392</v>
      </c>
      <c r="B28">
        <f>B27*A2/A6</f>
        <v>2.7118536175814222E-8</v>
      </c>
    </row>
    <row r="31" spans="1:37" s="7" customFormat="1" x14ac:dyDescent="0.25">
      <c r="A31" s="6" t="s">
        <v>393</v>
      </c>
    </row>
    <row r="32" spans="1:37" x14ac:dyDescent="0.25">
      <c r="B32">
        <v>2015</v>
      </c>
      <c r="C32">
        <v>2016</v>
      </c>
      <c r="D32">
        <v>2017</v>
      </c>
      <c r="E32">
        <v>2018</v>
      </c>
      <c r="F32">
        <v>2019</v>
      </c>
      <c r="G32">
        <v>2020</v>
      </c>
      <c r="H32">
        <v>2021</v>
      </c>
      <c r="I32">
        <v>2022</v>
      </c>
      <c r="J32">
        <v>2023</v>
      </c>
      <c r="K32">
        <v>2024</v>
      </c>
      <c r="L32">
        <v>2025</v>
      </c>
      <c r="M32">
        <v>2026</v>
      </c>
      <c r="N32">
        <v>2027</v>
      </c>
      <c r="O32">
        <v>2028</v>
      </c>
      <c r="P32">
        <v>2029</v>
      </c>
      <c r="Q32">
        <v>2030</v>
      </c>
      <c r="R32">
        <v>2031</v>
      </c>
      <c r="S32">
        <v>2032</v>
      </c>
      <c r="T32">
        <v>2033</v>
      </c>
      <c r="U32">
        <v>2034</v>
      </c>
      <c r="V32">
        <v>2035</v>
      </c>
      <c r="W32">
        <v>2036</v>
      </c>
      <c r="X32">
        <v>2037</v>
      </c>
      <c r="Y32">
        <v>2038</v>
      </c>
      <c r="Z32">
        <v>2039</v>
      </c>
      <c r="AA32">
        <v>2040</v>
      </c>
      <c r="AB32">
        <v>2041</v>
      </c>
      <c r="AC32">
        <v>2042</v>
      </c>
      <c r="AD32">
        <v>2043</v>
      </c>
      <c r="AE32">
        <v>2044</v>
      </c>
      <c r="AF32">
        <v>2045</v>
      </c>
      <c r="AG32">
        <v>2046</v>
      </c>
      <c r="AH32">
        <v>2047</v>
      </c>
      <c r="AI32">
        <v>2048</v>
      </c>
      <c r="AJ32">
        <v>2049</v>
      </c>
      <c r="AK32">
        <v>2050</v>
      </c>
    </row>
    <row r="33" spans="1:37" x14ac:dyDescent="0.25">
      <c r="A33" t="s">
        <v>57</v>
      </c>
      <c r="B33" s="61">
        <f>Table117[2015]*365*'Natural Gas Systems'!$A$12</f>
        <v>3118.4140000000002</v>
      </c>
      <c r="C33" s="61">
        <f>Table117[2016]*365*'Natural Gas Systems'!$A$12</f>
        <v>3117.3920000000003</v>
      </c>
      <c r="D33" s="61">
        <f>Table117[2017]*365*'Natural Gas Systems'!$A$12</f>
        <v>3154.6220000000003</v>
      </c>
      <c r="E33" s="61">
        <f>Table117[2018]*365*'Natural Gas Systems'!$A$12</f>
        <v>3186.6689999999999</v>
      </c>
      <c r="F33" s="61">
        <f>Table117[2019]*365*'Natural Gas Systems'!$A$12</f>
        <v>3240.835</v>
      </c>
      <c r="G33" s="61">
        <f>Table117[2020]*365*'Natural Gas Systems'!$A$12</f>
        <v>3322.1569999999997</v>
      </c>
      <c r="H33" s="61">
        <f>Table117[2021]*365*'Natural Gas Systems'!$A$12</f>
        <v>3421.2180000000008</v>
      </c>
      <c r="I33" s="61">
        <f>Table117[2022]*365*'Natural Gas Systems'!$A$12</f>
        <v>3514.4390000000003</v>
      </c>
      <c r="J33" s="61">
        <f>Table117[2023]*365*'Natural Gas Systems'!$A$12</f>
        <v>3589.337</v>
      </c>
      <c r="K33" s="61">
        <f>Table117[2024]*365*'Natural Gas Systems'!$A$12</f>
        <v>3638.32</v>
      </c>
      <c r="L33" s="61">
        <f>Table117[2025]*365*'Natural Gas Systems'!$A$12</f>
        <v>3660.6579999999999</v>
      </c>
      <c r="M33" s="61">
        <f>Table117[2026]*365*'Natural Gas Systems'!$A$12</f>
        <v>3673.2870000000003</v>
      </c>
      <c r="N33" s="61">
        <f>Table117[2027]*365*'Natural Gas Systems'!$A$12</f>
        <v>3673.0680000000007</v>
      </c>
      <c r="O33" s="61">
        <f>Table117[2028]*365*'Natural Gas Systems'!$A$12</f>
        <v>3659.4170000000004</v>
      </c>
      <c r="P33" s="61">
        <f>Table117[2029]*365*'Natural Gas Systems'!$A$12</f>
        <v>3650.9490000000005</v>
      </c>
      <c r="Q33" s="61">
        <f>Table117[2030]*365*'Natural Gas Systems'!$A$12</f>
        <v>3650.73</v>
      </c>
      <c r="R33" s="61">
        <f>Table117[2031]*365*'Natural Gas Systems'!$A$12</f>
        <v>3655.913</v>
      </c>
      <c r="S33" s="61">
        <f>Table117[2032]*365*'Natural Gas Systems'!$A$12</f>
        <v>3665.4029999999998</v>
      </c>
      <c r="T33" s="61">
        <f>Table117[2033]*365*'Natural Gas Systems'!$A$12</f>
        <v>3673.5060000000003</v>
      </c>
      <c r="U33" s="61">
        <f>Table117[2034]*365*'Natural Gas Systems'!$A$12</f>
        <v>3678.2509999999997</v>
      </c>
      <c r="V33" s="61">
        <f>Table117[2035]*365*'Natural Gas Systems'!$A$12</f>
        <v>3682.558</v>
      </c>
      <c r="W33" s="61">
        <f>Table117[2036]*365*'Natural Gas Systems'!$A$12</f>
        <v>3685.8430000000008</v>
      </c>
      <c r="X33" s="61">
        <f>Table117[2037]*365*'Natural Gas Systems'!$A$12</f>
        <v>3688.1790000000001</v>
      </c>
      <c r="Y33" s="61">
        <f>Table117[2038]*365*'Natural Gas Systems'!$A$12</f>
        <v>3690.223</v>
      </c>
      <c r="Z33" s="61">
        <f>Table117[2039]*365*'Natural Gas Systems'!$A$12</f>
        <v>3692.0479999999998</v>
      </c>
      <c r="AA33" s="61">
        <f>Table117[2040]*365*'Natural Gas Systems'!$A$12</f>
        <v>3695.1870000000004</v>
      </c>
      <c r="AB33" s="10">
        <f>(1+(($AA$33-$R$33)/$R$33)/10)*AA33</f>
        <v>3699.1565904754302</v>
      </c>
      <c r="AC33" s="10">
        <f t="shared" ref="AC33:AK33" si="1">(1+(($AA$33-$R$33)/$R$33)/10)*AB33</f>
        <v>3703.1304453219304</v>
      </c>
      <c r="AD33" s="10">
        <f t="shared" si="1"/>
        <v>3707.1085691205431</v>
      </c>
      <c r="AE33" s="10">
        <f t="shared" si="1"/>
        <v>3711.0909664572314</v>
      </c>
      <c r="AF33" s="10">
        <f t="shared" si="1"/>
        <v>3715.0776419228851</v>
      </c>
      <c r="AG33" s="10">
        <f t="shared" si="1"/>
        <v>3719.0686001133258</v>
      </c>
      <c r="AH33" s="10">
        <f t="shared" si="1"/>
        <v>3723.0638456293123</v>
      </c>
      <c r="AI33" s="10">
        <f t="shared" si="1"/>
        <v>3727.0633830765451</v>
      </c>
      <c r="AJ33" s="10">
        <f t="shared" si="1"/>
        <v>3731.067217065673</v>
      </c>
      <c r="AK33" s="10">
        <f t="shared" si="1"/>
        <v>3735.0753522122982</v>
      </c>
    </row>
    <row r="34" spans="1:37" x14ac:dyDescent="0.25">
      <c r="A34" t="s">
        <v>58</v>
      </c>
      <c r="B34" s="12">
        <f>$B$28*Table117[2015]*10^6*365/10^3</f>
        <v>4.2283411435082767</v>
      </c>
      <c r="C34" s="12">
        <f>$B$28*Table117[2016]*10^6*365/10^3</f>
        <v>4.2269553863096929</v>
      </c>
      <c r="D34" s="12">
        <f>$B$28*Table117[2017]*10^6*365/10^3</f>
        <v>4.277436541400971</v>
      </c>
      <c r="E34" s="12">
        <f>$B$28*Table117[2018]*10^6*365/10^3</f>
        <v>4.3208899278422859</v>
      </c>
      <c r="F34" s="12">
        <f>$B$28*Table117[2019]*10^6*365/10^3</f>
        <v>4.3943350593672443</v>
      </c>
      <c r="G34" s="12">
        <f>$B$28*Table117[2020]*10^6*365/10^3</f>
        <v>4.5046017393117221</v>
      </c>
      <c r="H34" s="12">
        <f>$B$28*Table117[2021]*10^6*365/10^3</f>
        <v>4.6389212049173389</v>
      </c>
      <c r="I34" s="12">
        <f>$B$28*Table117[2022]*10^6*365/10^3</f>
        <v>4.7653220579596178</v>
      </c>
      <c r="J34" s="12">
        <f>$B$28*Table117[2023]*10^6*365/10^3</f>
        <v>4.8668782640844244</v>
      </c>
      <c r="K34" s="12">
        <f>$B$28*Table117[2024]*10^6*365/10^3</f>
        <v>4.9332956269594197</v>
      </c>
      <c r="L34" s="12">
        <f>$B$28*Table117[2025]*10^6*365/10^3</f>
        <v>4.9635843200141867</v>
      </c>
      <c r="M34" s="12">
        <f>$B$28*Table117[2026]*10^6*365/10^3</f>
        <v>4.9807083196824049</v>
      </c>
      <c r="N34" s="12">
        <f>$B$28*Table117[2027]*10^6*365/10^3</f>
        <v>4.9804113717112797</v>
      </c>
      <c r="O34" s="12">
        <f>$B$28*Table117[2028]*10^6*365/10^3</f>
        <v>4.9619016148444777</v>
      </c>
      <c r="P34" s="12">
        <f>$B$28*Table117[2029]*10^6*365/10^3</f>
        <v>4.9504196266276379</v>
      </c>
      <c r="Q34" s="12">
        <f>$B$28*Table117[2030]*10^6*365/10^3</f>
        <v>4.9501226786565127</v>
      </c>
      <c r="R34" s="12">
        <f>$B$28*Table117[2031]*10^6*365/10^3</f>
        <v>4.9571504473064749</v>
      </c>
      <c r="S34" s="12">
        <f>$B$28*Table117[2032]*10^6*365/10^3</f>
        <v>4.9700181927218994</v>
      </c>
      <c r="T34" s="12">
        <f>$B$28*Table117[2033]*10^6*365/10^3</f>
        <v>4.981005267653531</v>
      </c>
      <c r="U34" s="12">
        <f>$B$28*Table117[2034]*10^6*365/10^3</f>
        <v>4.9874391403612419</v>
      </c>
      <c r="V34" s="12">
        <f>$B$28*Table117[2035]*10^6*365/10^3</f>
        <v>4.9932791171267032</v>
      </c>
      <c r="W34" s="12">
        <f>$B$28*Table117[2036]*10^6*365/10^3</f>
        <v>4.9977333366935817</v>
      </c>
      <c r="X34" s="12">
        <f>$B$28*Table117[2037]*10^6*365/10^3</f>
        <v>5.0009007817189168</v>
      </c>
      <c r="Y34" s="12">
        <f>$B$28*Table117[2038]*10^6*365/10^3</f>
        <v>5.0036722961160844</v>
      </c>
      <c r="Z34" s="12">
        <f>$B$28*Table117[2039]*10^6*365/10^3</f>
        <v>5.0061468625421277</v>
      </c>
      <c r="AA34" s="12">
        <f>$B$28*Table117[2040]*10^6*365/10^3</f>
        <v>5.0104031167949215</v>
      </c>
      <c r="AB34" s="61">
        <f>(1+(($AA$34-$R$34)/$R$34)/10)*AA34</f>
        <v>5.0157855909404772</v>
      </c>
      <c r="AC34" s="61">
        <f t="shared" ref="AC34:AK34" si="2">(1+(($AA$34-$R$34)/$R$34)/10)*AB34</f>
        <v>5.0211738472610898</v>
      </c>
      <c r="AD34" s="61">
        <f t="shared" si="2"/>
        <v>5.026567891968317</v>
      </c>
      <c r="AE34" s="61">
        <f t="shared" si="2"/>
        <v>5.0319677312803899</v>
      </c>
      <c r="AF34" s="61">
        <f t="shared" si="2"/>
        <v>5.037373371422218</v>
      </c>
      <c r="AG34" s="61">
        <f t="shared" si="2"/>
        <v>5.0427848186253996</v>
      </c>
      <c r="AH34" s="61">
        <f t="shared" si="2"/>
        <v>5.0482020791282265</v>
      </c>
      <c r="AI34" s="61">
        <f t="shared" si="2"/>
        <v>5.0536251591756916</v>
      </c>
      <c r="AJ34" s="61">
        <f t="shared" si="2"/>
        <v>5.0590540650194979</v>
      </c>
      <c r="AK34" s="61">
        <f t="shared" si="2"/>
        <v>5.0644888029180635</v>
      </c>
    </row>
    <row r="37" spans="1:37" s="7" customFormat="1" x14ac:dyDescent="0.25">
      <c r="A37" s="6" t="s">
        <v>915</v>
      </c>
    </row>
    <row r="38" spans="1:37" x14ac:dyDescent="0.25">
      <c r="A38" t="s">
        <v>916</v>
      </c>
    </row>
    <row r="39" spans="1:37" x14ac:dyDescent="0.25">
      <c r="A39" t="s">
        <v>922</v>
      </c>
    </row>
    <row r="40" spans="1:37" s="308" customFormat="1" x14ac:dyDescent="0.25">
      <c r="A40" s="308" t="s">
        <v>923</v>
      </c>
    </row>
    <row r="41" spans="1:37" s="308" customFormat="1" x14ac:dyDescent="0.25">
      <c r="A41" s="308" t="s">
        <v>925</v>
      </c>
    </row>
    <row r="43" spans="1:37" x14ac:dyDescent="0.25">
      <c r="A43" s="5" t="s">
        <v>921</v>
      </c>
    </row>
    <row r="44" spans="1:37" x14ac:dyDescent="0.25">
      <c r="A44" t="s">
        <v>924</v>
      </c>
    </row>
    <row r="45" spans="1:37" x14ac:dyDescent="0.25">
      <c r="A45" t="s">
        <v>917</v>
      </c>
    </row>
    <row r="46" spans="1:37" x14ac:dyDescent="0.25">
      <c r="A46" t="s">
        <v>918</v>
      </c>
    </row>
    <row r="47" spans="1:37" x14ac:dyDescent="0.25">
      <c r="A47" t="s">
        <v>919</v>
      </c>
    </row>
    <row r="48" spans="1:37" x14ac:dyDescent="0.25">
      <c r="A48" t="s">
        <v>920</v>
      </c>
    </row>
  </sheetData>
  <hyperlinks>
    <hyperlink ref="C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52"/>
  <sheetViews>
    <sheetView topLeftCell="A31" workbookViewId="0">
      <selection activeCell="B53" sqref="B53"/>
    </sheetView>
  </sheetViews>
  <sheetFormatPr defaultColWidth="8.85546875" defaultRowHeight="15" x14ac:dyDescent="0.25"/>
  <cols>
    <col min="1" max="1" width="47.42578125" customWidth="1"/>
    <col min="2" max="2" width="12.140625" bestFit="1" customWidth="1"/>
    <col min="3" max="6" width="10.42578125" bestFit="1" customWidth="1"/>
    <col min="7" max="7" width="12.28515625" bestFit="1" customWidth="1"/>
    <col min="8" max="37" width="10.28515625" bestFit="1" customWidth="1"/>
  </cols>
  <sheetData>
    <row r="1" spans="1:7" x14ac:dyDescent="0.25">
      <c r="A1" s="17" t="s">
        <v>42</v>
      </c>
      <c r="B1" s="17"/>
      <c r="C1" s="17"/>
      <c r="D1" s="17"/>
      <c r="E1" s="17"/>
      <c r="F1" s="17"/>
      <c r="G1" s="60"/>
    </row>
    <row r="2" spans="1:7" x14ac:dyDescent="0.25">
      <c r="A2" s="63" t="s">
        <v>186</v>
      </c>
      <c r="B2" s="63"/>
      <c r="C2" s="63"/>
      <c r="D2" s="63"/>
      <c r="E2" s="63"/>
      <c r="F2" s="63"/>
      <c r="G2" s="64"/>
    </row>
    <row r="3" spans="1:7" x14ac:dyDescent="0.25">
      <c r="A3" s="5"/>
      <c r="B3" s="9">
        <v>2011</v>
      </c>
      <c r="C3" s="9">
        <v>2012</v>
      </c>
      <c r="D3" s="9">
        <v>2013</v>
      </c>
      <c r="E3" s="9">
        <v>2014</v>
      </c>
      <c r="F3" s="9">
        <v>2015</v>
      </c>
      <c r="G3" s="65"/>
    </row>
    <row r="4" spans="1:7" x14ac:dyDescent="0.25">
      <c r="A4" t="s">
        <v>34</v>
      </c>
      <c r="B4" s="23">
        <v>233.51351186048586</v>
      </c>
      <c r="C4" s="23">
        <v>259.75180861027002</v>
      </c>
      <c r="D4" s="23">
        <v>274.04902033885077</v>
      </c>
      <c r="E4" s="23">
        <v>285.47638601611516</v>
      </c>
      <c r="F4" s="23">
        <v>291.6083753455884</v>
      </c>
    </row>
    <row r="5" spans="1:7" x14ac:dyDescent="0.25">
      <c r="A5" t="s">
        <v>37</v>
      </c>
      <c r="B5" s="23">
        <v>8.7600747711700008E-3</v>
      </c>
      <c r="C5" s="23">
        <v>9.8611602303500002E-3</v>
      </c>
      <c r="D5" s="23">
        <v>1.068565396954E-2</v>
      </c>
      <c r="E5" s="23">
        <v>1.197462062467E-2</v>
      </c>
      <c r="F5" s="23">
        <v>1.265686198411E-2</v>
      </c>
    </row>
    <row r="6" spans="1:7" x14ac:dyDescent="0.25">
      <c r="A6" t="s">
        <v>38</v>
      </c>
      <c r="B6" s="23">
        <v>3.9201712294437798</v>
      </c>
      <c r="C6" s="23">
        <v>3.9381183223735601</v>
      </c>
      <c r="D6" s="23">
        <v>3.7189483683808602</v>
      </c>
      <c r="E6" s="23">
        <v>3.5673365455922998</v>
      </c>
      <c r="F6" s="23">
        <v>3.4974827404786502</v>
      </c>
    </row>
    <row r="7" spans="1:7" x14ac:dyDescent="0.25">
      <c r="A7" t="s">
        <v>380</v>
      </c>
      <c r="B7" s="23">
        <v>591.13371377772853</v>
      </c>
      <c r="C7" s="23">
        <v>647.61368266617876</v>
      </c>
      <c r="D7" s="23">
        <v>664.6790593211955</v>
      </c>
      <c r="E7" s="23">
        <v>679.64274284183989</v>
      </c>
      <c r="F7" s="23">
        <v>622.82243942621335</v>
      </c>
    </row>
    <row r="8" spans="1:7" x14ac:dyDescent="0.25">
      <c r="A8" t="s">
        <v>381</v>
      </c>
      <c r="B8" s="23">
        <v>11.893025905032131</v>
      </c>
      <c r="C8" s="23">
        <v>12.37797762407552</v>
      </c>
      <c r="D8" s="23">
        <v>13.53557292318906</v>
      </c>
      <c r="E8" s="23">
        <v>13.190350473717711</v>
      </c>
      <c r="F8" s="23">
        <v>11.812294909918659</v>
      </c>
    </row>
    <row r="10" spans="1:7" x14ac:dyDescent="0.25">
      <c r="A10" s="63" t="s">
        <v>187</v>
      </c>
      <c r="B10" s="63"/>
      <c r="C10" s="63"/>
      <c r="D10" s="63"/>
      <c r="E10" s="63"/>
      <c r="F10" s="63"/>
      <c r="G10" s="64"/>
    </row>
    <row r="11" spans="1:7" x14ac:dyDescent="0.25">
      <c r="A11" s="5"/>
      <c r="B11" s="9">
        <v>2011</v>
      </c>
      <c r="C11" s="9">
        <v>2012</v>
      </c>
      <c r="D11" s="9">
        <v>2013</v>
      </c>
      <c r="E11" s="9">
        <v>2014</v>
      </c>
      <c r="F11" s="9">
        <v>2015</v>
      </c>
      <c r="G11" s="2"/>
    </row>
    <row r="12" spans="1:7" x14ac:dyDescent="0.25">
      <c r="A12" t="s">
        <v>34</v>
      </c>
      <c r="B12" s="23">
        <v>212.35868044007069</v>
      </c>
      <c r="C12" s="23">
        <v>218.4280865001657</v>
      </c>
      <c r="D12" s="23">
        <v>212.15760412880331</v>
      </c>
      <c r="E12" s="23">
        <v>209.77563967471295</v>
      </c>
      <c r="F12" s="23">
        <v>209.20228125400951</v>
      </c>
    </row>
    <row r="13" spans="1:7" x14ac:dyDescent="0.25">
      <c r="A13" t="s">
        <v>37</v>
      </c>
      <c r="B13" s="23">
        <v>1.6247620888149999E-2</v>
      </c>
      <c r="C13" s="23">
        <v>1.819794300725E-2</v>
      </c>
      <c r="D13" s="23">
        <v>1.860343942836E-2</v>
      </c>
      <c r="E13" s="23">
        <v>1.9418739283699998E-2</v>
      </c>
      <c r="F13" s="23">
        <v>1.833922232541E-2</v>
      </c>
    </row>
    <row r="14" spans="1:7" x14ac:dyDescent="0.25">
      <c r="A14" t="s">
        <v>38</v>
      </c>
      <c r="B14" s="23">
        <v>0.91657493842336002</v>
      </c>
      <c r="C14" s="23">
        <v>0.92077114686278005</v>
      </c>
      <c r="D14" s="23">
        <v>0.86952703650956997</v>
      </c>
      <c r="E14" s="23">
        <v>0.83407868769946003</v>
      </c>
      <c r="F14" s="23">
        <v>0.81774617481334</v>
      </c>
    </row>
    <row r="15" spans="1:7" x14ac:dyDescent="0.25">
      <c r="A15" t="s">
        <v>380</v>
      </c>
      <c r="B15" s="23">
        <v>3719.7205899564738</v>
      </c>
      <c r="C15" s="23">
        <v>3814.1308046360436</v>
      </c>
      <c r="D15" s="23">
        <v>3661.1717308440484</v>
      </c>
      <c r="E15" s="23">
        <v>3463.9595872178925</v>
      </c>
      <c r="F15" s="23">
        <v>3420.4849455547414</v>
      </c>
    </row>
    <row r="16" spans="1:7" x14ac:dyDescent="0.25">
      <c r="A16" t="s">
        <v>381</v>
      </c>
      <c r="B16" s="23">
        <v>3480.067079520275</v>
      </c>
      <c r="C16" s="23">
        <v>3598.2827840230948</v>
      </c>
      <c r="D16" s="23">
        <v>3794.5308992915034</v>
      </c>
      <c r="E16" s="23">
        <v>3820.28476358844</v>
      </c>
      <c r="F16" s="23">
        <v>3590.1566687474947</v>
      </c>
    </row>
    <row r="18" spans="1:7" x14ac:dyDescent="0.25">
      <c r="A18" s="6" t="s">
        <v>322</v>
      </c>
      <c r="B18" s="7"/>
      <c r="C18" s="7"/>
      <c r="D18" s="7"/>
      <c r="E18" s="7"/>
      <c r="F18" s="7"/>
      <c r="G18" s="7"/>
    </row>
    <row r="19" spans="1:7" x14ac:dyDescent="0.25">
      <c r="B19" s="9">
        <v>2011</v>
      </c>
      <c r="C19" s="9">
        <v>2012</v>
      </c>
      <c r="D19" s="9">
        <v>2013</v>
      </c>
      <c r="E19" s="9">
        <v>2014</v>
      </c>
      <c r="F19" s="9">
        <v>2015</v>
      </c>
      <c r="G19" s="2"/>
    </row>
    <row r="20" spans="1:7" x14ac:dyDescent="0.25">
      <c r="A20" t="s">
        <v>39</v>
      </c>
      <c r="B20" s="10">
        <f>'Crude Oil Production'!H9*365</f>
        <v>1148698.8</v>
      </c>
      <c r="C20" s="10">
        <f>'Crude Oil Production'!I9*365</f>
        <v>1232532</v>
      </c>
      <c r="D20" s="10">
        <f>'Crude Oil Production'!J9*365</f>
        <v>1324471.8500000001</v>
      </c>
      <c r="E20" s="10">
        <f>'Crude Oil Production'!K9*365</f>
        <v>1418915.6</v>
      </c>
      <c r="F20" s="10">
        <f>'Crude Oil Production'!L9*365</f>
        <v>1493966.9</v>
      </c>
    </row>
    <row r="22" spans="1:7" x14ac:dyDescent="0.25">
      <c r="A22" s="6" t="s">
        <v>342</v>
      </c>
      <c r="B22" s="7"/>
      <c r="C22" s="7"/>
      <c r="D22" s="7"/>
      <c r="E22" s="7"/>
      <c r="F22" s="7"/>
      <c r="G22" s="7"/>
    </row>
    <row r="23" spans="1:7" x14ac:dyDescent="0.25">
      <c r="B23" s="9">
        <v>2011</v>
      </c>
      <c r="C23" s="9">
        <v>2012</v>
      </c>
      <c r="D23" s="9">
        <v>2013</v>
      </c>
      <c r="E23" s="9">
        <v>2014</v>
      </c>
      <c r="F23" s="9">
        <v>2015</v>
      </c>
      <c r="G23" s="2"/>
    </row>
    <row r="24" spans="1:7" x14ac:dyDescent="0.25">
      <c r="A24" t="s">
        <v>43</v>
      </c>
      <c r="B24" s="1">
        <f>'Refinery Balances'!H19*365</f>
        <v>697646.39999999991</v>
      </c>
      <c r="C24" s="1">
        <f>'Refinery Balances'!I19*365</f>
        <v>708037.95</v>
      </c>
      <c r="D24" s="1">
        <f>'Refinery Balances'!J19*365</f>
        <v>692237.1</v>
      </c>
      <c r="E24" s="1">
        <f>'Refinery Balances'!K19*365</f>
        <v>684072.05</v>
      </c>
      <c r="F24" s="1">
        <f>'Refinery Balances'!L19*365</f>
        <v>718141.15</v>
      </c>
    </row>
    <row r="26" spans="1:7" x14ac:dyDescent="0.25">
      <c r="A26" s="6" t="s">
        <v>49</v>
      </c>
      <c r="B26" s="7"/>
      <c r="C26" s="7"/>
      <c r="D26" s="7"/>
      <c r="E26" s="7"/>
      <c r="F26" s="7"/>
      <c r="G26" s="7"/>
    </row>
    <row r="27" spans="1:7" x14ac:dyDescent="0.25">
      <c r="A27" s="9" t="s">
        <v>188</v>
      </c>
      <c r="B27" s="9">
        <v>2011</v>
      </c>
      <c r="C27" s="9">
        <v>2012</v>
      </c>
      <c r="D27" s="9">
        <v>2013</v>
      </c>
      <c r="E27" s="9">
        <v>2014</v>
      </c>
      <c r="F27" s="9">
        <v>2015</v>
      </c>
      <c r="G27" s="9" t="s">
        <v>50</v>
      </c>
    </row>
    <row r="28" spans="1:7" x14ac:dyDescent="0.25">
      <c r="A28" t="s">
        <v>44</v>
      </c>
      <c r="B28" s="82">
        <f>B4/B20</f>
        <v>2.0328524053519153E-4</v>
      </c>
      <c r="C28" s="82">
        <f t="shared" ref="C28:F28" si="0">C4/C20</f>
        <v>2.1074650281718447E-4</v>
      </c>
      <c r="D28" s="82">
        <f t="shared" si="0"/>
        <v>2.0691192518651925E-4</v>
      </c>
      <c r="E28" s="82">
        <f t="shared" si="0"/>
        <v>2.0119335217409347E-4</v>
      </c>
      <c r="F28" s="82">
        <f t="shared" si="0"/>
        <v>1.9519065338434769E-4</v>
      </c>
      <c r="G28" s="11">
        <f>AVERAGE(B28:F28)</f>
        <v>2.0346553481946731E-4</v>
      </c>
    </row>
    <row r="29" spans="1:7" x14ac:dyDescent="0.25">
      <c r="A29" t="s">
        <v>45</v>
      </c>
      <c r="B29" s="82">
        <f>B12/B20</f>
        <v>1.8486889726016139E-4</v>
      </c>
      <c r="C29" s="82">
        <f t="shared" ref="C29:F29" si="1">C12/C20</f>
        <v>1.7721899837096783E-4</v>
      </c>
      <c r="D29" s="82">
        <f t="shared" si="1"/>
        <v>1.6018279597924509E-4</v>
      </c>
      <c r="E29" s="82">
        <f t="shared" si="1"/>
        <v>1.4784222519980254E-4</v>
      </c>
      <c r="F29" s="82">
        <f t="shared" si="1"/>
        <v>1.4003140314153514E-4</v>
      </c>
      <c r="G29" s="11">
        <f t="shared" ref="G29:G32" si="2">AVERAGE(B29:F29)</f>
        <v>1.6202886399034239E-4</v>
      </c>
    </row>
    <row r="30" spans="1:7" x14ac:dyDescent="0.25">
      <c r="A30" t="s">
        <v>46</v>
      </c>
      <c r="B30" s="82">
        <f>B5</f>
        <v>8.7600747711700008E-3</v>
      </c>
      <c r="C30" s="82">
        <f t="shared" ref="C30:F30" si="3">C5</f>
        <v>9.8611602303500002E-3</v>
      </c>
      <c r="D30" s="82">
        <f t="shared" si="3"/>
        <v>1.068565396954E-2</v>
      </c>
      <c r="E30" s="82">
        <f t="shared" si="3"/>
        <v>1.197462062467E-2</v>
      </c>
      <c r="F30" s="82">
        <f t="shared" si="3"/>
        <v>1.265686198411E-2</v>
      </c>
      <c r="G30" s="11">
        <f t="shared" si="2"/>
        <v>1.0787674315968001E-2</v>
      </c>
    </row>
    <row r="31" spans="1:7" x14ac:dyDescent="0.25">
      <c r="A31" t="s">
        <v>47</v>
      </c>
      <c r="B31" s="82">
        <f>SUM(B6:B8)/B24</f>
        <v>8.699921778600227E-4</v>
      </c>
      <c r="C31" s="82">
        <f t="shared" ref="C31:F31" si="4">SUM(C6:C8)/C24</f>
        <v>9.3770366208849104E-4</v>
      </c>
      <c r="D31" s="82">
        <f t="shared" si="4"/>
        <v>9.8511562095236651E-4</v>
      </c>
      <c r="E31" s="82">
        <f t="shared" si="4"/>
        <v>1.018022048790255E-3</v>
      </c>
      <c r="F31" s="82">
        <f t="shared" si="4"/>
        <v>8.885888478561779E-4</v>
      </c>
      <c r="G31" s="11">
        <f t="shared" si="2"/>
        <v>9.3988447150946254E-4</v>
      </c>
    </row>
    <row r="32" spans="1:7" x14ac:dyDescent="0.25">
      <c r="A32" t="s">
        <v>48</v>
      </c>
      <c r="B32" s="82">
        <f>SUM(B14:B16)/B24</f>
        <v>1.0321423925379925E-2</v>
      </c>
      <c r="C32" s="82">
        <f t="shared" ref="C32:F32" si="5">SUM(C14:C16)/C24</f>
        <v>1.0470250019516613E-2</v>
      </c>
      <c r="D32" s="82">
        <f t="shared" si="5"/>
        <v>1.0771702581632885E-2</v>
      </c>
      <c r="E32" s="82">
        <f t="shared" si="5"/>
        <v>1.0649577671670742E-2</v>
      </c>
      <c r="F32" s="82">
        <f t="shared" si="5"/>
        <v>9.7633443794121096E-3</v>
      </c>
      <c r="G32" s="11">
        <f t="shared" si="2"/>
        <v>1.0395259715522454E-2</v>
      </c>
    </row>
    <row r="34" spans="1:37" x14ac:dyDescent="0.25">
      <c r="A34" s="17" t="s">
        <v>51</v>
      </c>
      <c r="B34" s="17"/>
      <c r="C34" s="17"/>
      <c r="D34" s="17"/>
      <c r="E34" s="17"/>
      <c r="F34" s="17"/>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row>
    <row r="35" spans="1:37" x14ac:dyDescent="0.25">
      <c r="A35" s="6" t="s">
        <v>189</v>
      </c>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row>
    <row r="36" spans="1:37" x14ac:dyDescent="0.25">
      <c r="A36" t="s">
        <v>52</v>
      </c>
      <c r="B36" s="10">
        <f>F20</f>
        <v>1493966.9</v>
      </c>
    </row>
    <row r="37" spans="1:37" x14ac:dyDescent="0.25">
      <c r="A37" t="s">
        <v>53</v>
      </c>
      <c r="B37">
        <f>F24</f>
        <v>718141.15</v>
      </c>
    </row>
    <row r="38" spans="1:37" x14ac:dyDescent="0.25">
      <c r="A38" t="s">
        <v>54</v>
      </c>
      <c r="B38" s="9">
        <v>2015</v>
      </c>
      <c r="C38" s="9">
        <v>2016</v>
      </c>
      <c r="D38" s="9">
        <v>2017</v>
      </c>
      <c r="E38" s="9">
        <v>2018</v>
      </c>
      <c r="F38" s="9">
        <v>2019</v>
      </c>
      <c r="G38" s="9">
        <v>2020</v>
      </c>
      <c r="H38" s="9">
        <v>2021</v>
      </c>
      <c r="I38" s="9">
        <v>2022</v>
      </c>
      <c r="J38" s="9">
        <v>2023</v>
      </c>
      <c r="K38" s="9">
        <v>2024</v>
      </c>
      <c r="L38" s="9">
        <v>2025</v>
      </c>
      <c r="M38" s="9">
        <v>2026</v>
      </c>
      <c r="N38" s="9">
        <v>2027</v>
      </c>
      <c r="O38" s="9">
        <v>2028</v>
      </c>
      <c r="P38" s="9">
        <v>2029</v>
      </c>
      <c r="Q38" s="9">
        <v>2030</v>
      </c>
      <c r="R38" s="9">
        <v>2031</v>
      </c>
      <c r="S38" s="9">
        <v>2032</v>
      </c>
      <c r="T38" s="9">
        <v>2033</v>
      </c>
      <c r="U38" s="9">
        <v>2034</v>
      </c>
      <c r="V38" s="9">
        <v>2035</v>
      </c>
      <c r="W38" s="9">
        <v>2036</v>
      </c>
      <c r="X38" s="9">
        <v>2037</v>
      </c>
      <c r="Y38" s="9">
        <v>2038</v>
      </c>
      <c r="Z38" s="9">
        <v>2039</v>
      </c>
      <c r="AA38" s="9">
        <v>2040</v>
      </c>
      <c r="AB38" s="9">
        <v>2041</v>
      </c>
      <c r="AC38" s="9">
        <v>2042</v>
      </c>
      <c r="AD38" s="9">
        <v>2043</v>
      </c>
      <c r="AE38" s="9">
        <v>2044</v>
      </c>
      <c r="AF38" s="9">
        <v>2045</v>
      </c>
      <c r="AG38" s="9">
        <v>2046</v>
      </c>
      <c r="AH38" s="9">
        <v>2047</v>
      </c>
      <c r="AI38" s="9">
        <v>2048</v>
      </c>
      <c r="AJ38" s="9">
        <v>2049</v>
      </c>
      <c r="AK38" s="9">
        <v>2050</v>
      </c>
    </row>
    <row r="39" spans="1:37" x14ac:dyDescent="0.25">
      <c r="A39" t="s">
        <v>55</v>
      </c>
      <c r="B39" s="10">
        <f>'Crude Oil Production'!L9*365</f>
        <v>1493966.9</v>
      </c>
      <c r="C39" s="10">
        <f>'Crude Oil Production'!M9*365</f>
        <v>1595980.75</v>
      </c>
      <c r="D39" s="10">
        <f>'Crude Oil Production'!N9*365</f>
        <v>1681620.7000000002</v>
      </c>
      <c r="E39" s="10">
        <f>'Crude Oil Production'!O9*365</f>
        <v>1744112.35</v>
      </c>
      <c r="F39" s="10">
        <f>'Crude Oil Production'!P9*365</f>
        <v>1775104.5</v>
      </c>
      <c r="G39" s="10">
        <f>'Crude Oil Production'!Q9*365</f>
        <v>1782200.0999999999</v>
      </c>
      <c r="H39" s="10">
        <f>'Crude Oil Production'!R9*365</f>
        <v>1799891.65</v>
      </c>
      <c r="I39" s="10">
        <f>'Crude Oil Production'!S9*365</f>
        <v>1838107.15</v>
      </c>
      <c r="J39" s="10">
        <f>'Crude Oil Production'!T9*365</f>
        <v>1885035.2</v>
      </c>
      <c r="K39" s="10">
        <f>'Crude Oil Production'!U9*365</f>
        <v>1932748</v>
      </c>
      <c r="L39" s="10">
        <f>'Crude Oil Production'!V9*365</f>
        <v>1998674.2999999998</v>
      </c>
      <c r="M39" s="10">
        <f>'Crude Oil Production'!W9*365</f>
        <v>2021676.6</v>
      </c>
      <c r="N39" s="10">
        <f>'Crude Oil Production'!X9*365</f>
        <v>2045087.7</v>
      </c>
      <c r="O39" s="10">
        <f>'Crude Oil Production'!Y9*365</f>
        <v>2070312.85</v>
      </c>
      <c r="P39" s="10">
        <f>'Crude Oil Production'!Z9*365</f>
        <v>2092304.1</v>
      </c>
      <c r="Q39" s="10">
        <f>'Crude Oil Production'!AA9*365</f>
        <v>2112039.65</v>
      </c>
      <c r="R39" s="10">
        <f>'Crude Oil Production'!AB9*365</f>
        <v>2129369.85</v>
      </c>
      <c r="S39" s="10">
        <f>'Crude Oil Production'!AC9*365</f>
        <v>2143958.9</v>
      </c>
      <c r="T39" s="10">
        <f>'Crude Oil Production'!AD9*365</f>
        <v>2155503.85</v>
      </c>
      <c r="U39" s="10">
        <f>'Crude Oil Production'!AE9*365</f>
        <v>2168534.3499999996</v>
      </c>
      <c r="V39" s="10">
        <f>'Crude Oil Production'!AF9*365</f>
        <v>2178327.3000000003</v>
      </c>
      <c r="W39" s="10">
        <f>'Crude Oil Production'!AG9*365</f>
        <v>2190073</v>
      </c>
      <c r="X39" s="10">
        <f>'Crude Oil Production'!AH9*365</f>
        <v>2197230.6500000004</v>
      </c>
      <c r="Y39" s="10">
        <f>'Crude Oil Production'!AI9*365</f>
        <v>2201822.35</v>
      </c>
      <c r="Z39" s="10">
        <f>'Crude Oil Production'!AJ9*365</f>
        <v>2205337.3000000003</v>
      </c>
      <c r="AA39" s="10">
        <f>'Crude Oil Production'!AK9*365</f>
        <v>2210487.4500000002</v>
      </c>
      <c r="AB39" s="10">
        <f>(1+(($AA$39-$R$39)/$R$39)/10)*AA39</f>
        <v>2218908.2246612981</v>
      </c>
      <c r="AC39" s="10">
        <f t="shared" ref="AC39:AJ39" si="6">(1+(($AA$39-$R$39)/$R$39)/10)*AB39</f>
        <v>2227361.0779692749</v>
      </c>
      <c r="AD39" s="10">
        <f t="shared" si="6"/>
        <v>2235846.1321264133</v>
      </c>
      <c r="AE39" s="10">
        <f t="shared" si="6"/>
        <v>2244363.5098007228</v>
      </c>
      <c r="AF39" s="10">
        <f t="shared" si="6"/>
        <v>2252913.3341275118</v>
      </c>
      <c r="AG39" s="10">
        <f t="shared" si="6"/>
        <v>2261495.7287111687</v>
      </c>
      <c r="AH39" s="10">
        <f t="shared" si="6"/>
        <v>2270110.817626948</v>
      </c>
      <c r="AI39" s="10">
        <f t="shared" si="6"/>
        <v>2278758.7254227651</v>
      </c>
      <c r="AJ39" s="10">
        <f t="shared" si="6"/>
        <v>2287439.5771209965</v>
      </c>
      <c r="AK39" s="10">
        <f>(1+(($AA$39-$R$39)/$R$39)/10)*AJ39</f>
        <v>2296153.4982202863</v>
      </c>
    </row>
    <row r="40" spans="1:37" x14ac:dyDescent="0.25">
      <c r="A40" t="s">
        <v>56</v>
      </c>
      <c r="B40" s="10">
        <f>'Refinery Balances'!L19*365</f>
        <v>718141.15</v>
      </c>
      <c r="C40" s="10">
        <f>'Refinery Balances'!M19*365</f>
        <v>720845.8</v>
      </c>
      <c r="D40" s="10">
        <f>'Refinery Balances'!N19*365</f>
        <v>727463.25</v>
      </c>
      <c r="E40" s="10">
        <f>'Refinery Balances'!O19*365</f>
        <v>726707.7</v>
      </c>
      <c r="F40" s="10">
        <f>'Refinery Balances'!P19*365</f>
        <v>731427.15</v>
      </c>
      <c r="G40" s="10">
        <f>'Refinery Balances'!Q19*365</f>
        <v>727718.75</v>
      </c>
      <c r="H40" s="10">
        <f>'Refinery Balances'!R19*365</f>
        <v>728715.2</v>
      </c>
      <c r="I40" s="10">
        <f>'Refinery Balances'!S19*365</f>
        <v>726663.89999999991</v>
      </c>
      <c r="J40" s="10">
        <f>'Refinery Balances'!T19*365</f>
        <v>725630.95</v>
      </c>
      <c r="K40" s="10">
        <f>'Refinery Balances'!U19*365</f>
        <v>722433.55</v>
      </c>
      <c r="L40" s="10">
        <f>'Refinery Balances'!V19*365</f>
        <v>723565.04999999993</v>
      </c>
      <c r="M40" s="10">
        <f>'Refinery Balances'!W19*365</f>
        <v>721897</v>
      </c>
      <c r="N40" s="10">
        <f>'Refinery Balances'!X19*365</f>
        <v>722867.9</v>
      </c>
      <c r="O40" s="10">
        <f>'Refinery Balances'!Y19*365</f>
        <v>719926</v>
      </c>
      <c r="P40" s="10">
        <f>'Refinery Balances'!Z19*365</f>
        <v>723357</v>
      </c>
      <c r="Q40" s="10">
        <f>'Refinery Balances'!AA19*365</f>
        <v>724590.70000000007</v>
      </c>
      <c r="R40" s="10">
        <f>'Refinery Balances'!AB19*365</f>
        <v>725988.65</v>
      </c>
      <c r="S40" s="10">
        <f>'Refinery Balances'!AC19*365</f>
        <v>724397.25</v>
      </c>
      <c r="T40" s="10">
        <f>'Refinery Balances'!AD19*365</f>
        <v>728014.4</v>
      </c>
      <c r="U40" s="10">
        <f>'Refinery Balances'!AE19*365</f>
        <v>729091.15</v>
      </c>
      <c r="V40" s="10">
        <f>'Refinery Balances'!AF19*365</f>
        <v>730193.45</v>
      </c>
      <c r="W40" s="10">
        <f>'Refinery Balances'!AG19*365</f>
        <v>732277.6</v>
      </c>
      <c r="X40" s="10">
        <f>'Refinery Balances'!AH19*365</f>
        <v>738851.25</v>
      </c>
      <c r="Y40" s="10">
        <f>'Refinery Balances'!AI19*365</f>
        <v>743260.45</v>
      </c>
      <c r="Z40" s="10">
        <f>'Refinery Balances'!AJ19*365</f>
        <v>747676.95</v>
      </c>
      <c r="AA40" s="10">
        <f>'Refinery Balances'!AK19*365</f>
        <v>750487.45000000007</v>
      </c>
      <c r="AB40" s="10">
        <f>(1+(($AA$40-$R$40)/$R$40)/10)*AA40</f>
        <v>753020.00225685141</v>
      </c>
      <c r="AC40" s="10">
        <f t="shared" ref="AC40:AK40" si="7">(1+(($AA$40-$R$40)/$R$40)/10)*AB40</f>
        <v>755561.10072048299</v>
      </c>
      <c r="AD40" s="10">
        <f t="shared" si="7"/>
        <v>758110.77423043805</v>
      </c>
      <c r="AE40" s="10">
        <f t="shared" si="7"/>
        <v>760669.05172358023</v>
      </c>
      <c r="AF40" s="10">
        <f t="shared" si="7"/>
        <v>763235.96223442163</v>
      </c>
      <c r="AG40" s="10">
        <f t="shared" si="7"/>
        <v>765811.53489545267</v>
      </c>
      <c r="AH40" s="10">
        <f t="shared" si="7"/>
        <v>768395.79893747263</v>
      </c>
      <c r="AI40" s="10">
        <f t="shared" si="7"/>
        <v>770988.78368992149</v>
      </c>
      <c r="AJ40" s="10">
        <f t="shared" si="7"/>
        <v>773590.5185812125</v>
      </c>
      <c r="AK40" s="10">
        <f t="shared" si="7"/>
        <v>776201.03313906642</v>
      </c>
    </row>
    <row r="42" spans="1:37" x14ac:dyDescent="0.25">
      <c r="A42" s="6" t="s">
        <v>51</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row>
    <row r="43" spans="1:37" x14ac:dyDescent="0.25">
      <c r="A43" t="s">
        <v>64</v>
      </c>
      <c r="B43" s="9">
        <v>2015</v>
      </c>
      <c r="C43" s="9">
        <v>2016</v>
      </c>
      <c r="D43" s="9">
        <v>2017</v>
      </c>
      <c r="E43" s="9">
        <v>2018</v>
      </c>
      <c r="F43" s="9">
        <v>2019</v>
      </c>
      <c r="G43" s="9">
        <v>2020</v>
      </c>
      <c r="H43" s="9">
        <v>2021</v>
      </c>
      <c r="I43" s="9">
        <v>2022</v>
      </c>
      <c r="J43" s="9">
        <v>2023</v>
      </c>
      <c r="K43" s="9">
        <v>2024</v>
      </c>
      <c r="L43" s="9">
        <v>2025</v>
      </c>
      <c r="M43" s="9">
        <v>2026</v>
      </c>
      <c r="N43" s="9">
        <v>2027</v>
      </c>
      <c r="O43" s="9">
        <v>2028</v>
      </c>
      <c r="P43" s="9">
        <v>2029</v>
      </c>
      <c r="Q43" s="9">
        <v>2030</v>
      </c>
      <c r="R43" s="9">
        <v>2031</v>
      </c>
      <c r="S43" s="9">
        <v>2032</v>
      </c>
      <c r="T43" s="9">
        <v>2033</v>
      </c>
      <c r="U43" s="9">
        <v>2034</v>
      </c>
      <c r="V43" s="9">
        <v>2035</v>
      </c>
      <c r="W43" s="9">
        <v>2036</v>
      </c>
      <c r="X43" s="9">
        <v>2037</v>
      </c>
      <c r="Y43" s="9">
        <v>2038</v>
      </c>
      <c r="Z43" s="9">
        <v>2039</v>
      </c>
      <c r="AA43" s="9">
        <v>2040</v>
      </c>
      <c r="AB43" s="9">
        <v>2041</v>
      </c>
      <c r="AC43" s="9">
        <v>2042</v>
      </c>
      <c r="AD43" s="9">
        <v>2043</v>
      </c>
      <c r="AE43" s="9">
        <v>2044</v>
      </c>
      <c r="AF43" s="9">
        <v>2045</v>
      </c>
      <c r="AG43" s="9">
        <v>2046</v>
      </c>
      <c r="AH43" s="9">
        <v>2047</v>
      </c>
      <c r="AI43" s="9">
        <v>2048</v>
      </c>
      <c r="AJ43" s="9">
        <v>2049</v>
      </c>
      <c r="AK43" s="9">
        <v>2050</v>
      </c>
    </row>
    <row r="44" spans="1:37" x14ac:dyDescent="0.25">
      <c r="A44" t="s">
        <v>59</v>
      </c>
      <c r="B44" s="74">
        <f>F4</f>
        <v>291.6083753455884</v>
      </c>
      <c r="C44" s="74">
        <f t="shared" ref="C44:AK44" si="8">$G$28*$B$36*(C39/$B$39)</f>
        <v>324.72707686032459</v>
      </c>
      <c r="D44" s="74">
        <f t="shared" si="8"/>
        <v>342.15185508898708</v>
      </c>
      <c r="E44" s="74">
        <f t="shared" si="8"/>
        <v>354.86675207798805</v>
      </c>
      <c r="F44" s="74">
        <f t="shared" si="8"/>
        <v>361.17258645294311</v>
      </c>
      <c r="G44" s="74">
        <f t="shared" si="8"/>
        <v>362.61629650180811</v>
      </c>
      <c r="H44" s="74">
        <f t="shared" si="8"/>
        <v>366.21591718434348</v>
      </c>
      <c r="I44" s="74">
        <f t="shared" si="8"/>
        <v>373.99145433023682</v>
      </c>
      <c r="J44" s="74">
        <f t="shared" si="8"/>
        <v>383.53969512152156</v>
      </c>
      <c r="K44" s="74">
        <f t="shared" si="8"/>
        <v>393.24760549125585</v>
      </c>
      <c r="L44" s="74">
        <f t="shared" si="8"/>
        <v>406.66133537942443</v>
      </c>
      <c r="M44" s="74">
        <f t="shared" si="8"/>
        <v>411.34151065100235</v>
      </c>
      <c r="N44" s="74">
        <f t="shared" si="8"/>
        <v>416.10486263321434</v>
      </c>
      <c r="O44" s="74">
        <f t="shared" si="8"/>
        <v>421.23731126886571</v>
      </c>
      <c r="P44" s="74">
        <f t="shared" si="8"/>
        <v>425.71177271146428</v>
      </c>
      <c r="Q44" s="74">
        <f t="shared" si="8"/>
        <v>429.72727694717059</v>
      </c>
      <c r="R44" s="74">
        <f t="shared" si="8"/>
        <v>433.25337535869892</v>
      </c>
      <c r="S44" s="74">
        <f t="shared" si="8"/>
        <v>436.22174421945681</v>
      </c>
      <c r="T44" s="74">
        <f t="shared" si="8"/>
        <v>438.57074364567086</v>
      </c>
      <c r="U44" s="74">
        <f t="shared" si="8"/>
        <v>441.22200129713588</v>
      </c>
      <c r="V44" s="74">
        <f t="shared" si="8"/>
        <v>443.21452910634633</v>
      </c>
      <c r="W44" s="74">
        <f t="shared" si="8"/>
        <v>445.60437423867523</v>
      </c>
      <c r="X44" s="74">
        <f t="shared" si="8"/>
        <v>447.06070932397591</v>
      </c>
      <c r="Y44" s="74">
        <f t="shared" si="8"/>
        <v>447.99496202020634</v>
      </c>
      <c r="Z44" s="74">
        <f t="shared" si="8"/>
        <v>448.71013320182016</v>
      </c>
      <c r="AA44" s="74">
        <f t="shared" si="8"/>
        <v>449.75801122597056</v>
      </c>
      <c r="AB44" s="74">
        <f t="shared" si="8"/>
        <v>451.47134864602577</v>
      </c>
      <c r="AC44" s="74">
        <f t="shared" si="8"/>
        <v>453.19121296508382</v>
      </c>
      <c r="AD44" s="74">
        <f t="shared" si="8"/>
        <v>454.91762904713806</v>
      </c>
      <c r="AE44" s="74">
        <f t="shared" si="8"/>
        <v>456.65062185090085</v>
      </c>
      <c r="AF44" s="74">
        <f t="shared" si="8"/>
        <v>458.39021643016349</v>
      </c>
      <c r="AG44" s="74">
        <f t="shared" si="8"/>
        <v>460.13643793415895</v>
      </c>
      <c r="AH44" s="74">
        <f t="shared" si="8"/>
        <v>461.88931160792521</v>
      </c>
      <c r="AI44" s="74">
        <f t="shared" si="8"/>
        <v>463.64886279267063</v>
      </c>
      <c r="AJ44" s="74">
        <f t="shared" si="8"/>
        <v>465.41511692613977</v>
      </c>
      <c r="AK44" s="74">
        <f t="shared" si="8"/>
        <v>467.18809954298138</v>
      </c>
    </row>
    <row r="45" spans="1:37" x14ac:dyDescent="0.25">
      <c r="A45" t="s">
        <v>60</v>
      </c>
      <c r="B45" s="74">
        <f>F5</f>
        <v>1.265686198411E-2</v>
      </c>
      <c r="C45" s="74">
        <f>B45</f>
        <v>1.265686198411E-2</v>
      </c>
      <c r="D45" s="74">
        <f t="shared" ref="D45:AK45" si="9">C45</f>
        <v>1.265686198411E-2</v>
      </c>
      <c r="E45" s="74">
        <f t="shared" si="9"/>
        <v>1.265686198411E-2</v>
      </c>
      <c r="F45" s="74">
        <f t="shared" si="9"/>
        <v>1.265686198411E-2</v>
      </c>
      <c r="G45" s="74">
        <f t="shared" si="9"/>
        <v>1.265686198411E-2</v>
      </c>
      <c r="H45" s="74">
        <f t="shared" si="9"/>
        <v>1.265686198411E-2</v>
      </c>
      <c r="I45" s="74">
        <f t="shared" si="9"/>
        <v>1.265686198411E-2</v>
      </c>
      <c r="J45" s="74">
        <f t="shared" si="9"/>
        <v>1.265686198411E-2</v>
      </c>
      <c r="K45" s="74">
        <f t="shared" si="9"/>
        <v>1.265686198411E-2</v>
      </c>
      <c r="L45" s="74">
        <f t="shared" si="9"/>
        <v>1.265686198411E-2</v>
      </c>
      <c r="M45" s="74">
        <f t="shared" si="9"/>
        <v>1.265686198411E-2</v>
      </c>
      <c r="N45" s="74">
        <f t="shared" si="9"/>
        <v>1.265686198411E-2</v>
      </c>
      <c r="O45" s="74">
        <f t="shared" si="9"/>
        <v>1.265686198411E-2</v>
      </c>
      <c r="P45" s="74">
        <f t="shared" si="9"/>
        <v>1.265686198411E-2</v>
      </c>
      <c r="Q45" s="74">
        <f t="shared" si="9"/>
        <v>1.265686198411E-2</v>
      </c>
      <c r="R45" s="74">
        <f t="shared" si="9"/>
        <v>1.265686198411E-2</v>
      </c>
      <c r="S45" s="74">
        <f t="shared" si="9"/>
        <v>1.265686198411E-2</v>
      </c>
      <c r="T45" s="74">
        <f t="shared" si="9"/>
        <v>1.265686198411E-2</v>
      </c>
      <c r="U45" s="74">
        <f t="shared" si="9"/>
        <v>1.265686198411E-2</v>
      </c>
      <c r="V45" s="74">
        <f t="shared" si="9"/>
        <v>1.265686198411E-2</v>
      </c>
      <c r="W45" s="74">
        <f t="shared" si="9"/>
        <v>1.265686198411E-2</v>
      </c>
      <c r="X45" s="74">
        <f t="shared" si="9"/>
        <v>1.265686198411E-2</v>
      </c>
      <c r="Y45" s="74">
        <f t="shared" si="9"/>
        <v>1.265686198411E-2</v>
      </c>
      <c r="Z45" s="74">
        <f t="shared" si="9"/>
        <v>1.265686198411E-2</v>
      </c>
      <c r="AA45" s="74">
        <f t="shared" si="9"/>
        <v>1.265686198411E-2</v>
      </c>
      <c r="AB45" s="74">
        <f t="shared" si="9"/>
        <v>1.265686198411E-2</v>
      </c>
      <c r="AC45" s="74">
        <f t="shared" si="9"/>
        <v>1.265686198411E-2</v>
      </c>
      <c r="AD45" s="74">
        <f t="shared" si="9"/>
        <v>1.265686198411E-2</v>
      </c>
      <c r="AE45" s="74">
        <f t="shared" si="9"/>
        <v>1.265686198411E-2</v>
      </c>
      <c r="AF45" s="74">
        <f t="shared" si="9"/>
        <v>1.265686198411E-2</v>
      </c>
      <c r="AG45" s="74">
        <f t="shared" si="9"/>
        <v>1.265686198411E-2</v>
      </c>
      <c r="AH45" s="74">
        <f t="shared" si="9"/>
        <v>1.265686198411E-2</v>
      </c>
      <c r="AI45" s="74">
        <f t="shared" si="9"/>
        <v>1.265686198411E-2</v>
      </c>
      <c r="AJ45" s="74">
        <f t="shared" si="9"/>
        <v>1.265686198411E-2</v>
      </c>
      <c r="AK45" s="74">
        <f t="shared" si="9"/>
        <v>1.265686198411E-2</v>
      </c>
    </row>
    <row r="46" spans="1:37" x14ac:dyDescent="0.25">
      <c r="A46" t="s">
        <v>61</v>
      </c>
      <c r="B46" s="74">
        <f>SUM(F6:F8)</f>
        <v>638.13221707661069</v>
      </c>
      <c r="C46" s="74">
        <f>$G$31*$B$37*(C40/$B$40)</f>
        <v>677.51177377281567</v>
      </c>
      <c r="D46" s="74">
        <f t="shared" ref="D46:AK46" si="10">$G$31*$B$37*(D40/$B$40)</f>
        <v>683.73141226880603</v>
      </c>
      <c r="E46" s="74">
        <f t="shared" si="10"/>
        <v>683.02128255635694</v>
      </c>
      <c r="F46" s="74">
        <f t="shared" si="10"/>
        <v>687.45702032542238</v>
      </c>
      <c r="G46" s="74">
        <f t="shared" si="10"/>
        <v>683.9715527512767</v>
      </c>
      <c r="H46" s="74">
        <f t="shared" si="10"/>
        <v>684.90810063291224</v>
      </c>
      <c r="I46" s="74">
        <f t="shared" si="10"/>
        <v>682.9801156165048</v>
      </c>
      <c r="J46" s="74">
        <f t="shared" si="10"/>
        <v>682.00926195165914</v>
      </c>
      <c r="K46" s="74">
        <f t="shared" si="10"/>
        <v>679.00407534245483</v>
      </c>
      <c r="L46" s="74">
        <f t="shared" si="10"/>
        <v>680.0675546219677</v>
      </c>
      <c r="M46" s="74">
        <f t="shared" si="10"/>
        <v>678.4997803292664</v>
      </c>
      <c r="N46" s="74">
        <f t="shared" si="10"/>
        <v>679.41231416265509</v>
      </c>
      <c r="O46" s="74">
        <f t="shared" si="10"/>
        <v>676.64726803592123</v>
      </c>
      <c r="P46" s="74">
        <f t="shared" si="10"/>
        <v>679.87201165767033</v>
      </c>
      <c r="Q46" s="74">
        <f t="shared" si="10"/>
        <v>681.03154713017159</v>
      </c>
      <c r="R46" s="74">
        <f t="shared" si="10"/>
        <v>682.34545862711809</v>
      </c>
      <c r="S46" s="74">
        <f t="shared" si="10"/>
        <v>680.84972647915799</v>
      </c>
      <c r="T46" s="74">
        <f t="shared" si="10"/>
        <v>684.24942959527857</v>
      </c>
      <c r="U46" s="74">
        <f t="shared" si="10"/>
        <v>685.26145019997625</v>
      </c>
      <c r="V46" s="74">
        <f t="shared" si="10"/>
        <v>686.297484852921</v>
      </c>
      <c r="W46" s="74">
        <f t="shared" si="10"/>
        <v>688.25634507421751</v>
      </c>
      <c r="X46" s="74">
        <f t="shared" si="10"/>
        <v>694.43481663035584</v>
      </c>
      <c r="Y46" s="74">
        <f t="shared" si="10"/>
        <v>698.57895524213518</v>
      </c>
      <c r="Z46" s="74">
        <f t="shared" si="10"/>
        <v>702.72995501055686</v>
      </c>
      <c r="AA46" s="74">
        <f t="shared" si="10"/>
        <v>705.37150031773422</v>
      </c>
      <c r="AB46" s="74">
        <f t="shared" si="10"/>
        <v>707.75180685723501</v>
      </c>
      <c r="AC46" s="74">
        <f t="shared" si="10"/>
        <v>710.14014584377901</v>
      </c>
      <c r="AD46" s="74">
        <f t="shared" si="10"/>
        <v>712.53654438320473</v>
      </c>
      <c r="AE46" s="74">
        <f t="shared" si="10"/>
        <v>714.94102967282117</v>
      </c>
      <c r="AF46" s="74">
        <f t="shared" si="10"/>
        <v>717.35362900171549</v>
      </c>
      <c r="AG46" s="74">
        <f t="shared" si="10"/>
        <v>719.77436975106275</v>
      </c>
      <c r="AH46" s="74">
        <f t="shared" si="10"/>
        <v>722.20327939443769</v>
      </c>
      <c r="AI46" s="74">
        <f t="shared" si="10"/>
        <v>724.64038549812506</v>
      </c>
      <c r="AJ46" s="74">
        <f t="shared" si="10"/>
        <v>727.08571572143398</v>
      </c>
      <c r="AK46" s="74">
        <f t="shared" si="10"/>
        <v>729.53929781701027</v>
      </c>
    </row>
    <row r="47" spans="1:37" x14ac:dyDescent="0.25">
      <c r="A47" t="s">
        <v>63</v>
      </c>
      <c r="B47" s="74">
        <f>F12/1000</f>
        <v>0.2092022812540095</v>
      </c>
      <c r="C47" s="74">
        <f t="shared" ref="C47:AK47" si="11">$G$29*$B$36*(C39/$B$39)/1000</f>
        <v>0.25859494787295462</v>
      </c>
      <c r="D47" s="74">
        <f t="shared" si="11"/>
        <v>0.27247109168364436</v>
      </c>
      <c r="E47" s="74">
        <f t="shared" si="11"/>
        <v>0.2825965427420265</v>
      </c>
      <c r="F47" s="74">
        <f t="shared" si="11"/>
        <v>0.28761816559914472</v>
      </c>
      <c r="G47" s="74">
        <f t="shared" si="11"/>
        <v>0.28876785760647461</v>
      </c>
      <c r="H47" s="74">
        <f t="shared" si="11"/>
        <v>0.29163439935520297</v>
      </c>
      <c r="I47" s="74">
        <f t="shared" si="11"/>
        <v>0.29782641340702587</v>
      </c>
      <c r="J47" s="74">
        <f t="shared" si="11"/>
        <v>0.3054301120378079</v>
      </c>
      <c r="K47" s="74">
        <f t="shared" si="11"/>
        <v>0.31316096281960626</v>
      </c>
      <c r="L47" s="74">
        <f t="shared" si="11"/>
        <v>0.32384292631569273</v>
      </c>
      <c r="M47" s="74">
        <f t="shared" si="11"/>
        <v>0.32756996285385787</v>
      </c>
      <c r="N47" s="74">
        <f t="shared" si="11"/>
        <v>0.33136323679162211</v>
      </c>
      <c r="O47" s="74">
        <f t="shared" si="11"/>
        <v>0.3354504391901082</v>
      </c>
      <c r="P47" s="74">
        <f t="shared" si="11"/>
        <v>0.33901365644533576</v>
      </c>
      <c r="Q47" s="74">
        <f t="shared" si="11"/>
        <v>0.34221138519206035</v>
      </c>
      <c r="R47" s="74">
        <f t="shared" si="11"/>
        <v>0.34501937781078579</v>
      </c>
      <c r="S47" s="74">
        <f t="shared" si="11"/>
        <v>0.34738322500898405</v>
      </c>
      <c r="T47" s="74">
        <f t="shared" si="11"/>
        <v>0.34925384014230942</v>
      </c>
      <c r="U47" s="74">
        <f t="shared" si="11"/>
        <v>0.35136515725453554</v>
      </c>
      <c r="V47" s="74">
        <f t="shared" si="11"/>
        <v>0.35295189781814978</v>
      </c>
      <c r="W47" s="74">
        <f t="shared" si="11"/>
        <v>0.35485504024592113</v>
      </c>
      <c r="X47" s="74">
        <f t="shared" si="11"/>
        <v>0.35601478614426169</v>
      </c>
      <c r="Y47" s="74">
        <f t="shared" si="11"/>
        <v>0.35675877407904599</v>
      </c>
      <c r="Z47" s="74">
        <f t="shared" si="11"/>
        <v>0.35732829743452899</v>
      </c>
      <c r="AA47" s="74">
        <f t="shared" si="11"/>
        <v>0.35816277038840877</v>
      </c>
      <c r="AB47" s="74">
        <f t="shared" si="11"/>
        <v>0.35952717894069752</v>
      </c>
      <c r="AC47" s="74">
        <f t="shared" si="11"/>
        <v>0.36089678515966606</v>
      </c>
      <c r="AD47" s="74">
        <f t="shared" si="11"/>
        <v>0.36227160884564369</v>
      </c>
      <c r="AE47" s="74">
        <f t="shared" si="11"/>
        <v>0.36365166987438879</v>
      </c>
      <c r="AF47" s="74">
        <f t="shared" si="11"/>
        <v>0.3650369881973754</v>
      </c>
      <c r="AG47" s="74">
        <f t="shared" si="11"/>
        <v>0.36642758384208224</v>
      </c>
      <c r="AH47" s="74">
        <f t="shared" si="11"/>
        <v>0.36782347691228173</v>
      </c>
      <c r="AI47" s="74">
        <f t="shared" si="11"/>
        <v>0.36922468758833121</v>
      </c>
      <c r="AJ47" s="74">
        <f t="shared" si="11"/>
        <v>0.37063123612746424</v>
      </c>
      <c r="AK47" s="74">
        <f t="shared" si="11"/>
        <v>0.37204314286408363</v>
      </c>
    </row>
    <row r="48" spans="1:37" x14ac:dyDescent="0.25">
      <c r="A48" t="s">
        <v>62</v>
      </c>
      <c r="B48" s="74">
        <f>SUM(F14:F16)/1000</f>
        <v>7.0114593604770485</v>
      </c>
      <c r="C48" s="74">
        <f t="shared" ref="C48:AK48" si="12">$G$32*$B$37*(C40/$B$40)/1000</f>
        <v>7.4933793058435558</v>
      </c>
      <c r="D48" s="74">
        <f t="shared" si="12"/>
        <v>7.5621694172480405</v>
      </c>
      <c r="E48" s="74">
        <f t="shared" si="12"/>
        <v>7.5543152787699768</v>
      </c>
      <c r="F48" s="74">
        <f t="shared" si="12"/>
        <v>7.6033751872344011</v>
      </c>
      <c r="G48" s="74">
        <f t="shared" si="12"/>
        <v>7.5648254061053564</v>
      </c>
      <c r="H48" s="74">
        <f t="shared" si="12"/>
        <v>7.575183762648888</v>
      </c>
      <c r="I48" s="74">
        <f t="shared" si="12"/>
        <v>7.5538599663944357</v>
      </c>
      <c r="J48" s="74">
        <f t="shared" si="12"/>
        <v>7.5431221828712891</v>
      </c>
      <c r="K48" s="74">
        <f t="shared" si="12"/>
        <v>7.509884379456877</v>
      </c>
      <c r="L48" s="74">
        <f t="shared" si="12"/>
        <v>7.5216466158249897</v>
      </c>
      <c r="M48" s="74">
        <f t="shared" si="12"/>
        <v>7.5043068028565134</v>
      </c>
      <c r="N48" s="74">
        <f t="shared" si="12"/>
        <v>7.5143995605143141</v>
      </c>
      <c r="O48" s="74">
        <f t="shared" si="12"/>
        <v>7.4838177459572179</v>
      </c>
      <c r="P48" s="74">
        <f t="shared" si="12"/>
        <v>7.5194838820411771</v>
      </c>
      <c r="Q48" s="74">
        <f t="shared" si="12"/>
        <v>7.5323085139522163</v>
      </c>
      <c r="R48" s="74">
        <f t="shared" si="12"/>
        <v>7.5468405672715306</v>
      </c>
      <c r="S48" s="74">
        <f t="shared" si="12"/>
        <v>7.5302975509602481</v>
      </c>
      <c r="T48" s="74">
        <f t="shared" si="12"/>
        <v>7.5678987646402511</v>
      </c>
      <c r="U48" s="74">
        <f t="shared" si="12"/>
        <v>7.5790918605389397</v>
      </c>
      <c r="V48" s="74">
        <f t="shared" si="12"/>
        <v>7.5905505553233592</v>
      </c>
      <c r="W48" s="74">
        <f t="shared" si="12"/>
        <v>7.6122158358594652</v>
      </c>
      <c r="X48" s="74">
        <f t="shared" si="12"/>
        <v>7.6805506348884114</v>
      </c>
      <c r="Y48" s="74">
        <f t="shared" si="12"/>
        <v>7.7263854140260912</v>
      </c>
      <c r="Z48" s="74">
        <f t="shared" si="12"/>
        <v>7.7722960785596973</v>
      </c>
      <c r="AA48" s="74">
        <f t="shared" si="12"/>
        <v>7.801511955990172</v>
      </c>
      <c r="AB48" s="74">
        <f t="shared" si="12"/>
        <v>7.8278384944432755</v>
      </c>
      <c r="AC48" s="74">
        <f t="shared" si="12"/>
        <v>7.8542538729354412</v>
      </c>
      <c r="AD48" s="74">
        <f t="shared" si="12"/>
        <v>7.880758391261212</v>
      </c>
      <c r="AE48" s="74">
        <f t="shared" si="12"/>
        <v>7.9073523502267991</v>
      </c>
      <c r="AF48" s="74">
        <f t="shared" si="12"/>
        <v>7.9340360516535009</v>
      </c>
      <c r="AG48" s="74">
        <f t="shared" si="12"/>
        <v>7.9608097983811179</v>
      </c>
      <c r="AH48" s="74">
        <f t="shared" si="12"/>
        <v>7.9876738942714018</v>
      </c>
      <c r="AI48" s="74">
        <f t="shared" si="12"/>
        <v>8.0146286442114967</v>
      </c>
      <c r="AJ48" s="74">
        <f t="shared" si="12"/>
        <v>8.0416743541174025</v>
      </c>
      <c r="AK48" s="74">
        <f t="shared" si="12"/>
        <v>8.0688113309374483</v>
      </c>
    </row>
    <row r="50" spans="1:37" x14ac:dyDescent="0.25">
      <c r="A50" t="s">
        <v>41</v>
      </c>
      <c r="B50" s="9">
        <v>2015</v>
      </c>
      <c r="C50" s="9">
        <v>2016</v>
      </c>
      <c r="D50" s="9">
        <v>2017</v>
      </c>
      <c r="E50" s="9">
        <v>2018</v>
      </c>
      <c r="F50" s="9">
        <v>2019</v>
      </c>
      <c r="G50" s="9">
        <v>2020</v>
      </c>
      <c r="H50" s="9">
        <v>2021</v>
      </c>
      <c r="I50" s="9">
        <v>2022</v>
      </c>
      <c r="J50" s="9">
        <v>2023</v>
      </c>
      <c r="K50" s="9">
        <v>2024</v>
      </c>
      <c r="L50" s="9">
        <v>2025</v>
      </c>
      <c r="M50" s="9">
        <v>2026</v>
      </c>
      <c r="N50" s="9">
        <v>2027</v>
      </c>
      <c r="O50" s="9">
        <v>2028</v>
      </c>
      <c r="P50" s="9">
        <v>2029</v>
      </c>
      <c r="Q50" s="9">
        <v>2030</v>
      </c>
      <c r="R50" s="9">
        <v>2031</v>
      </c>
      <c r="S50" s="9">
        <v>2032</v>
      </c>
      <c r="T50" s="9">
        <v>2033</v>
      </c>
      <c r="U50" s="9">
        <v>2034</v>
      </c>
      <c r="V50" s="9">
        <v>2035</v>
      </c>
      <c r="W50" s="9">
        <v>2036</v>
      </c>
      <c r="X50" s="9">
        <v>2037</v>
      </c>
      <c r="Y50" s="9">
        <v>2038</v>
      </c>
      <c r="Z50" s="9">
        <v>2039</v>
      </c>
      <c r="AA50" s="9">
        <v>2040</v>
      </c>
      <c r="AB50" s="9">
        <v>2041</v>
      </c>
      <c r="AC50" s="9">
        <v>2042</v>
      </c>
      <c r="AD50" s="9">
        <v>2043</v>
      </c>
      <c r="AE50" s="9">
        <v>2044</v>
      </c>
      <c r="AF50" s="9">
        <v>2045</v>
      </c>
      <c r="AG50" s="9">
        <v>2046</v>
      </c>
      <c r="AH50" s="9">
        <v>2047</v>
      </c>
      <c r="AI50" s="9">
        <v>2048</v>
      </c>
      <c r="AJ50" s="9">
        <v>2049</v>
      </c>
      <c r="AK50" s="9">
        <v>2050</v>
      </c>
    </row>
    <row r="51" spans="1:37" x14ac:dyDescent="0.25">
      <c r="A51" t="s">
        <v>57</v>
      </c>
      <c r="B51" s="12">
        <f>SUM(B44:B46)</f>
        <v>929.7532492841832</v>
      </c>
      <c r="C51" s="12">
        <f t="shared" ref="C51:AK51" si="13">SUM(C44:C46)</f>
        <v>1002.2515074951243</v>
      </c>
      <c r="D51" s="12">
        <f t="shared" si="13"/>
        <v>1025.8959242197773</v>
      </c>
      <c r="E51" s="12">
        <f t="shared" si="13"/>
        <v>1037.900691496329</v>
      </c>
      <c r="F51" s="12">
        <f t="shared" si="13"/>
        <v>1048.6422636403495</v>
      </c>
      <c r="G51" s="12">
        <f t="shared" si="13"/>
        <v>1046.600506115069</v>
      </c>
      <c r="H51" s="12">
        <f t="shared" si="13"/>
        <v>1051.1366746792398</v>
      </c>
      <c r="I51" s="12">
        <f t="shared" si="13"/>
        <v>1056.9842268087257</v>
      </c>
      <c r="J51" s="12">
        <f t="shared" si="13"/>
        <v>1065.5616139351648</v>
      </c>
      <c r="K51" s="12">
        <f t="shared" si="13"/>
        <v>1072.2643376956948</v>
      </c>
      <c r="L51" s="12">
        <f t="shared" si="13"/>
        <v>1086.7415468633762</v>
      </c>
      <c r="M51" s="12">
        <f t="shared" si="13"/>
        <v>1089.8539478422529</v>
      </c>
      <c r="N51" s="12">
        <f t="shared" si="13"/>
        <v>1095.5298336578535</v>
      </c>
      <c r="O51" s="12">
        <f t="shared" si="13"/>
        <v>1097.8972361667711</v>
      </c>
      <c r="P51" s="12">
        <f t="shared" si="13"/>
        <v>1105.5964412311187</v>
      </c>
      <c r="Q51" s="12">
        <f t="shared" si="13"/>
        <v>1110.7714809393262</v>
      </c>
      <c r="R51" s="12">
        <f t="shared" si="13"/>
        <v>1115.6114908478012</v>
      </c>
      <c r="S51" s="12">
        <f t="shared" si="13"/>
        <v>1117.084127560599</v>
      </c>
      <c r="T51" s="12">
        <f t="shared" si="13"/>
        <v>1122.8328301029335</v>
      </c>
      <c r="U51" s="12">
        <f t="shared" si="13"/>
        <v>1126.4961083590963</v>
      </c>
      <c r="V51" s="12">
        <f t="shared" si="13"/>
        <v>1129.5246708212514</v>
      </c>
      <c r="W51" s="12">
        <f t="shared" si="13"/>
        <v>1133.8733761748767</v>
      </c>
      <c r="X51" s="12">
        <f t="shared" si="13"/>
        <v>1141.5081828163159</v>
      </c>
      <c r="Y51" s="12">
        <f t="shared" si="13"/>
        <v>1146.5865741243256</v>
      </c>
      <c r="Z51" s="12">
        <f t="shared" si="13"/>
        <v>1151.4527450743612</v>
      </c>
      <c r="AA51" s="12">
        <f t="shared" si="13"/>
        <v>1155.1421684056888</v>
      </c>
      <c r="AB51" s="12">
        <f t="shared" si="13"/>
        <v>1159.2358123652448</v>
      </c>
      <c r="AC51" s="12">
        <f t="shared" si="13"/>
        <v>1163.3440156708471</v>
      </c>
      <c r="AD51" s="12">
        <f t="shared" si="13"/>
        <v>1167.4668302923269</v>
      </c>
      <c r="AE51" s="12">
        <f t="shared" si="13"/>
        <v>1171.6043083857062</v>
      </c>
      <c r="AF51" s="12">
        <f t="shared" si="13"/>
        <v>1175.7565022938632</v>
      </c>
      <c r="AG51" s="12">
        <f t="shared" si="13"/>
        <v>1179.9234645472059</v>
      </c>
      <c r="AH51" s="12">
        <f t="shared" si="13"/>
        <v>1184.1052478643469</v>
      </c>
      <c r="AI51" s="12">
        <f t="shared" si="13"/>
        <v>1188.3019051527799</v>
      </c>
      <c r="AJ51" s="12">
        <f t="shared" si="13"/>
        <v>1192.513489509558</v>
      </c>
      <c r="AK51" s="12">
        <f t="shared" si="13"/>
        <v>1196.7400542219757</v>
      </c>
    </row>
    <row r="52" spans="1:37" x14ac:dyDescent="0.25">
      <c r="A52" t="s">
        <v>58</v>
      </c>
      <c r="B52" s="12">
        <f>SUM(B47:B48)</f>
        <v>7.2206616417310583</v>
      </c>
      <c r="C52" s="12">
        <f t="shared" ref="C52:AK52" si="14">SUM(C47:C48)</f>
        <v>7.7519742537165106</v>
      </c>
      <c r="D52" s="12">
        <f t="shared" si="14"/>
        <v>7.8346405089316846</v>
      </c>
      <c r="E52" s="12">
        <f t="shared" si="14"/>
        <v>7.8369118215120031</v>
      </c>
      <c r="F52" s="12">
        <f t="shared" si="14"/>
        <v>7.8909933528335454</v>
      </c>
      <c r="G52" s="12">
        <f t="shared" si="14"/>
        <v>7.8535932637118311</v>
      </c>
      <c r="H52" s="12">
        <f t="shared" si="14"/>
        <v>7.8668181620040913</v>
      </c>
      <c r="I52" s="12">
        <f t="shared" si="14"/>
        <v>7.8516863798014613</v>
      </c>
      <c r="J52" s="12">
        <f t="shared" si="14"/>
        <v>7.8485522949090969</v>
      </c>
      <c r="K52" s="12">
        <f t="shared" si="14"/>
        <v>7.8230453422764832</v>
      </c>
      <c r="L52" s="12">
        <f t="shared" si="14"/>
        <v>7.8454895421406823</v>
      </c>
      <c r="M52" s="12">
        <f t="shared" si="14"/>
        <v>7.8318767657103709</v>
      </c>
      <c r="N52" s="12">
        <f t="shared" si="14"/>
        <v>7.8457627973059365</v>
      </c>
      <c r="O52" s="12">
        <f t="shared" si="14"/>
        <v>7.819268185147326</v>
      </c>
      <c r="P52" s="12">
        <f t="shared" si="14"/>
        <v>7.858497538486513</v>
      </c>
      <c r="Q52" s="12">
        <f t="shared" si="14"/>
        <v>7.8745198991442766</v>
      </c>
      <c r="R52" s="12">
        <f t="shared" si="14"/>
        <v>7.8918599450823166</v>
      </c>
      <c r="S52" s="12">
        <f t="shared" si="14"/>
        <v>7.8776807759692318</v>
      </c>
      <c r="T52" s="12">
        <f t="shared" si="14"/>
        <v>7.9171526047825607</v>
      </c>
      <c r="U52" s="12">
        <f t="shared" si="14"/>
        <v>7.9304570177934757</v>
      </c>
      <c r="V52" s="12">
        <f t="shared" si="14"/>
        <v>7.9435024531415088</v>
      </c>
      <c r="W52" s="12">
        <f t="shared" si="14"/>
        <v>7.9670708761053861</v>
      </c>
      <c r="X52" s="12">
        <f t="shared" si="14"/>
        <v>8.0365654210326731</v>
      </c>
      <c r="Y52" s="12">
        <f t="shared" si="14"/>
        <v>8.0831441881051376</v>
      </c>
      <c r="Z52" s="12">
        <f t="shared" si="14"/>
        <v>8.1296243759942257</v>
      </c>
      <c r="AA52" s="12">
        <f t="shared" si="14"/>
        <v>8.1596747263785812</v>
      </c>
      <c r="AB52" s="12">
        <f t="shared" si="14"/>
        <v>8.1873656733839724</v>
      </c>
      <c r="AC52" s="12">
        <f t="shared" si="14"/>
        <v>8.2151506580951068</v>
      </c>
      <c r="AD52" s="12">
        <f t="shared" si="14"/>
        <v>8.2430300001068559</v>
      </c>
      <c r="AE52" s="12">
        <f t="shared" si="14"/>
        <v>8.2710040201011878</v>
      </c>
      <c r="AF52" s="12">
        <f t="shared" si="14"/>
        <v>8.2990730398508763</v>
      </c>
      <c r="AG52" s="12">
        <f t="shared" si="14"/>
        <v>8.3272373822232009</v>
      </c>
      <c r="AH52" s="12">
        <f t="shared" si="14"/>
        <v>8.3554973711836844</v>
      </c>
      <c r="AI52" s="12">
        <f t="shared" si="14"/>
        <v>8.3838533317998287</v>
      </c>
      <c r="AJ52" s="12">
        <f t="shared" si="14"/>
        <v>8.4123055902448662</v>
      </c>
      <c r="AK52" s="12">
        <f t="shared" si="14"/>
        <v>8.4408544738015312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2"/>
  <sheetViews>
    <sheetView workbookViewId="0">
      <selection activeCell="U14" sqref="U14"/>
    </sheetView>
  </sheetViews>
  <sheetFormatPr defaultColWidth="8.85546875" defaultRowHeight="15" x14ac:dyDescent="0.25"/>
  <cols>
    <col min="1" max="1" width="17.28515625" customWidth="1"/>
    <col min="2" max="2" width="12" bestFit="1" customWidth="1"/>
    <col min="4" max="4" width="14.42578125" bestFit="1" customWidth="1"/>
  </cols>
  <sheetData>
    <row r="1" spans="1:37" x14ac:dyDescent="0.25">
      <c r="A1" t="s">
        <v>68</v>
      </c>
      <c r="B1">
        <f>0</f>
        <v>0</v>
      </c>
      <c r="C1">
        <f>0</f>
        <v>0</v>
      </c>
      <c r="D1">
        <f>0</f>
        <v>0</v>
      </c>
      <c r="E1">
        <f>0</f>
        <v>0</v>
      </c>
      <c r="F1">
        <f>0</f>
        <v>0</v>
      </c>
      <c r="G1">
        <f>0</f>
        <v>0</v>
      </c>
      <c r="H1">
        <f>0</f>
        <v>0</v>
      </c>
      <c r="I1">
        <f>0</f>
        <v>0</v>
      </c>
      <c r="J1">
        <f>0</f>
        <v>0</v>
      </c>
      <c r="K1">
        <f>0</f>
        <v>0</v>
      </c>
      <c r="L1">
        <f>0</f>
        <v>0</v>
      </c>
      <c r="M1">
        <f>0</f>
        <v>0</v>
      </c>
      <c r="N1">
        <f>0</f>
        <v>0</v>
      </c>
      <c r="O1">
        <f>0</f>
        <v>0</v>
      </c>
      <c r="P1">
        <f>0</f>
        <v>0</v>
      </c>
      <c r="Q1">
        <f>0</f>
        <v>0</v>
      </c>
      <c r="R1">
        <f>0</f>
        <v>0</v>
      </c>
      <c r="S1">
        <f>0</f>
        <v>0</v>
      </c>
      <c r="T1">
        <f>0</f>
        <v>0</v>
      </c>
      <c r="U1">
        <f>0</f>
        <v>0</v>
      </c>
      <c r="V1">
        <f>0</f>
        <v>0</v>
      </c>
      <c r="W1">
        <f>0</f>
        <v>0</v>
      </c>
      <c r="X1">
        <f>0</f>
        <v>0</v>
      </c>
      <c r="Y1">
        <f>0</f>
        <v>0</v>
      </c>
      <c r="Z1">
        <f>0</f>
        <v>0</v>
      </c>
      <c r="AA1">
        <f>0</f>
        <v>0</v>
      </c>
      <c r="AB1">
        <f>0</f>
        <v>0</v>
      </c>
      <c r="AC1">
        <f>0</f>
        <v>0</v>
      </c>
      <c r="AD1">
        <f>0</f>
        <v>0</v>
      </c>
      <c r="AE1">
        <f>0</f>
        <v>0</v>
      </c>
      <c r="AF1">
        <f>0</f>
        <v>0</v>
      </c>
      <c r="AG1">
        <f>0</f>
        <v>0</v>
      </c>
      <c r="AH1">
        <f>0</f>
        <v>0</v>
      </c>
      <c r="AI1">
        <f>0</f>
        <v>0</v>
      </c>
      <c r="AJ1">
        <f>0</f>
        <v>0</v>
      </c>
      <c r="AK1">
        <f>0</f>
        <v>0</v>
      </c>
    </row>
    <row r="2" spans="1:37" x14ac:dyDescent="0.25">
      <c r="A2" t="s">
        <v>69</v>
      </c>
      <c r="B2">
        <f>B1*12400/1000</f>
        <v>0</v>
      </c>
      <c r="C2">
        <f t="shared" ref="C2:AK2" si="0">C1*12400/1000</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K37"/>
  <sheetViews>
    <sheetView workbookViewId="0">
      <pane xSplit="2" topLeftCell="E1" activePane="topRight" state="frozen"/>
      <selection pane="topRight" activeCell="I32" sqref="I32"/>
    </sheetView>
  </sheetViews>
  <sheetFormatPr defaultColWidth="8.85546875" defaultRowHeight="15" x14ac:dyDescent="0.25"/>
  <cols>
    <col min="1" max="1" width="38.28515625" customWidth="1"/>
    <col min="2" max="2" width="31.28515625" customWidth="1"/>
    <col min="3" max="3" width="18.7109375" customWidth="1"/>
    <col min="4" max="4" width="24.140625" customWidth="1"/>
    <col min="5" max="5" width="21.85546875" customWidth="1"/>
    <col min="6" max="6" width="14.28515625" customWidth="1"/>
    <col min="7" max="7" width="22" customWidth="1"/>
    <col min="8" max="8" width="12" bestFit="1" customWidth="1"/>
    <col min="9" max="9" width="14.42578125" customWidth="1"/>
    <col min="10" max="10" width="24" customWidth="1"/>
    <col min="11" max="11" width="12" bestFit="1" customWidth="1"/>
    <col min="12" max="12" width="12.85546875" customWidth="1"/>
    <col min="13" max="13" width="22" customWidth="1"/>
    <col min="14" max="16" width="12" bestFit="1" customWidth="1"/>
    <col min="17" max="17" width="12" customWidth="1"/>
    <col min="18" max="18" width="12" bestFit="1" customWidth="1"/>
    <col min="19" max="19" width="12" customWidth="1"/>
    <col min="20" max="37" width="12" bestFit="1" customWidth="1"/>
    <col min="38" max="38" width="10.7109375" customWidth="1"/>
  </cols>
  <sheetData>
    <row r="1" spans="1:37" x14ac:dyDescent="0.25">
      <c r="A1" s="6" t="s">
        <v>564</v>
      </c>
      <c r="B1" s="7"/>
    </row>
    <row r="2" spans="1:37" x14ac:dyDescent="0.25">
      <c r="A2" s="23">
        <f>'15'!K66</f>
        <v>11010.9823328047</v>
      </c>
      <c r="B2" t="s">
        <v>582</v>
      </c>
    </row>
    <row r="4" spans="1:37" x14ac:dyDescent="0.25">
      <c r="B4">
        <v>2015</v>
      </c>
      <c r="C4">
        <v>2016</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c r="AC4">
        <v>2042</v>
      </c>
      <c r="AD4">
        <v>2043</v>
      </c>
      <c r="AE4">
        <v>2044</v>
      </c>
      <c r="AF4">
        <v>2045</v>
      </c>
      <c r="AG4">
        <v>2046</v>
      </c>
      <c r="AH4">
        <v>2047</v>
      </c>
      <c r="AI4">
        <v>2048</v>
      </c>
      <c r="AJ4">
        <v>2049</v>
      </c>
      <c r="AK4">
        <v>2050</v>
      </c>
    </row>
    <row r="5" spans="1:37" x14ac:dyDescent="0.25">
      <c r="A5" t="s">
        <v>583</v>
      </c>
      <c r="B5" s="11">
        <f>A2*10^3</f>
        <v>11010982.3328047</v>
      </c>
      <c r="C5" s="11">
        <f>($E$5-$B$5)/COUNT($C$4:$E$4)+B5</f>
        <v>12340654.888536466</v>
      </c>
      <c r="D5" s="11">
        <f>($E$5-$B$5)/COUNT($C$4:$E$4)+C5</f>
        <v>13670327.444268232</v>
      </c>
      <c r="E5" s="11">
        <f t="shared" ref="E5:AA5" si="0">INDEX($H$14:$H$36,MATCH(E4,$G$14:$G$36,0),1)*10^6</f>
        <v>15000000</v>
      </c>
      <c r="F5" s="11">
        <f t="shared" si="0"/>
        <v>14800000</v>
      </c>
      <c r="G5" s="11">
        <f t="shared" si="0"/>
        <v>15100000</v>
      </c>
      <c r="H5" s="11">
        <f t="shared" si="0"/>
        <v>15100000</v>
      </c>
      <c r="I5" s="11">
        <f t="shared" si="0"/>
        <v>15700000</v>
      </c>
      <c r="J5" s="11">
        <f t="shared" si="0"/>
        <v>16000000</v>
      </c>
      <c r="K5" s="11">
        <f t="shared" si="0"/>
        <v>16200000</v>
      </c>
      <c r="L5" s="11">
        <f t="shared" si="0"/>
        <v>16500000</v>
      </c>
      <c r="M5" s="11">
        <f t="shared" si="0"/>
        <v>16399999.999999998</v>
      </c>
      <c r="N5" s="11">
        <f t="shared" si="0"/>
        <v>17300000</v>
      </c>
      <c r="O5" s="11">
        <f t="shared" si="0"/>
        <v>16700000</v>
      </c>
      <c r="P5" s="11">
        <f t="shared" si="0"/>
        <v>15900000</v>
      </c>
      <c r="Q5" s="11">
        <f t="shared" si="0"/>
        <v>14800000</v>
      </c>
      <c r="R5" s="11">
        <f t="shared" si="0"/>
        <v>15300000</v>
      </c>
      <c r="S5" s="11">
        <f t="shared" si="0"/>
        <v>15800000</v>
      </c>
      <c r="T5" s="11">
        <f t="shared" si="0"/>
        <v>15200000</v>
      </c>
      <c r="U5" s="11">
        <f t="shared" si="0"/>
        <v>14300000</v>
      </c>
      <c r="V5" s="11">
        <f t="shared" si="0"/>
        <v>13400000</v>
      </c>
      <c r="W5" s="11">
        <f t="shared" si="0"/>
        <v>12900000</v>
      </c>
      <c r="X5" s="11">
        <f t="shared" si="0"/>
        <v>12700000</v>
      </c>
      <c r="Y5" s="11">
        <f t="shared" si="0"/>
        <v>9800000</v>
      </c>
      <c r="Z5" s="11">
        <f t="shared" si="0"/>
        <v>9500000</v>
      </c>
      <c r="AA5" s="11">
        <f t="shared" si="0"/>
        <v>9100000</v>
      </c>
      <c r="AB5" s="11">
        <f>AA5</f>
        <v>9100000</v>
      </c>
      <c r="AC5" s="11">
        <f t="shared" ref="AC5:AK5" si="1">AB5</f>
        <v>9100000</v>
      </c>
      <c r="AD5" s="11">
        <f t="shared" si="1"/>
        <v>9100000</v>
      </c>
      <c r="AE5" s="11">
        <f t="shared" si="1"/>
        <v>9100000</v>
      </c>
      <c r="AF5" s="11">
        <f t="shared" si="1"/>
        <v>9100000</v>
      </c>
      <c r="AG5" s="11">
        <f t="shared" si="1"/>
        <v>9100000</v>
      </c>
      <c r="AH5" s="11">
        <f t="shared" si="1"/>
        <v>9100000</v>
      </c>
      <c r="AI5" s="11">
        <f t="shared" si="1"/>
        <v>9100000</v>
      </c>
      <c r="AJ5" s="11">
        <f t="shared" si="1"/>
        <v>9100000</v>
      </c>
      <c r="AK5" s="11">
        <f t="shared" si="1"/>
        <v>9100000</v>
      </c>
    </row>
    <row r="12" spans="1:37" x14ac:dyDescent="0.25">
      <c r="H12" t="s">
        <v>911</v>
      </c>
      <c r="I12" t="s">
        <v>912</v>
      </c>
    </row>
    <row r="13" spans="1:37" x14ac:dyDescent="0.25">
      <c r="G13">
        <v>2017</v>
      </c>
    </row>
    <row r="14" spans="1:37" x14ac:dyDescent="0.25">
      <c r="G14">
        <v>2018</v>
      </c>
      <c r="H14">
        <v>15</v>
      </c>
      <c r="I14">
        <v>15</v>
      </c>
    </row>
    <row r="15" spans="1:37" x14ac:dyDescent="0.25">
      <c r="G15">
        <v>2019</v>
      </c>
      <c r="H15">
        <v>14.8</v>
      </c>
      <c r="I15">
        <v>15.6</v>
      </c>
    </row>
    <row r="16" spans="1:37" x14ac:dyDescent="0.25">
      <c r="G16">
        <v>2020</v>
      </c>
      <c r="H16">
        <v>15.1</v>
      </c>
      <c r="I16">
        <v>16.3</v>
      </c>
    </row>
    <row r="17" spans="7:9" x14ac:dyDescent="0.25">
      <c r="G17">
        <v>2021</v>
      </c>
      <c r="H17">
        <v>15.1</v>
      </c>
      <c r="I17">
        <v>16.8</v>
      </c>
    </row>
    <row r="18" spans="7:9" x14ac:dyDescent="0.25">
      <c r="G18">
        <v>2022</v>
      </c>
      <c r="H18">
        <v>15.7</v>
      </c>
      <c r="I18">
        <v>17.399999999999999</v>
      </c>
    </row>
    <row r="19" spans="7:9" x14ac:dyDescent="0.25">
      <c r="G19">
        <v>2023</v>
      </c>
      <c r="H19">
        <v>16</v>
      </c>
      <c r="I19">
        <v>18</v>
      </c>
    </row>
    <row r="20" spans="7:9" x14ac:dyDescent="0.25">
      <c r="G20">
        <v>2024</v>
      </c>
      <c r="H20">
        <v>16.2</v>
      </c>
      <c r="I20">
        <v>18.600000000000001</v>
      </c>
    </row>
    <row r="21" spans="7:9" x14ac:dyDescent="0.25">
      <c r="G21">
        <v>2025</v>
      </c>
      <c r="H21">
        <v>16.5</v>
      </c>
      <c r="I21">
        <v>19.399999999999999</v>
      </c>
    </row>
    <row r="22" spans="7:9" x14ac:dyDescent="0.25">
      <c r="G22">
        <v>2026</v>
      </c>
      <c r="H22">
        <v>16.399999999999999</v>
      </c>
      <c r="I22">
        <v>19.8</v>
      </c>
    </row>
    <row r="23" spans="7:9" x14ac:dyDescent="0.25">
      <c r="G23">
        <v>2027</v>
      </c>
      <c r="H23">
        <v>17.3</v>
      </c>
      <c r="I23">
        <v>21</v>
      </c>
    </row>
    <row r="24" spans="7:9" x14ac:dyDescent="0.25">
      <c r="G24">
        <v>2028</v>
      </c>
      <c r="H24">
        <v>16.7</v>
      </c>
      <c r="I24">
        <v>21.1</v>
      </c>
    </row>
    <row r="25" spans="7:9" x14ac:dyDescent="0.25">
      <c r="G25">
        <v>2029</v>
      </c>
      <c r="H25">
        <v>15.9</v>
      </c>
      <c r="I25">
        <v>21.7</v>
      </c>
    </row>
    <row r="26" spans="7:9" x14ac:dyDescent="0.25">
      <c r="G26">
        <v>2030</v>
      </c>
      <c r="H26">
        <v>14.8</v>
      </c>
      <c r="I26">
        <v>22.2</v>
      </c>
    </row>
    <row r="27" spans="7:9" x14ac:dyDescent="0.25">
      <c r="G27">
        <v>2031</v>
      </c>
      <c r="H27">
        <v>15.3</v>
      </c>
      <c r="I27">
        <v>23.6</v>
      </c>
    </row>
    <row r="28" spans="7:9" x14ac:dyDescent="0.25">
      <c r="G28">
        <v>2032</v>
      </c>
      <c r="H28">
        <v>15.8</v>
      </c>
      <c r="I28">
        <v>25.2</v>
      </c>
    </row>
    <row r="29" spans="7:9" x14ac:dyDescent="0.25">
      <c r="G29">
        <v>2033</v>
      </c>
      <c r="H29">
        <v>15.2</v>
      </c>
      <c r="I29">
        <v>25.5</v>
      </c>
    </row>
    <row r="30" spans="7:9" x14ac:dyDescent="0.25">
      <c r="G30">
        <v>2034</v>
      </c>
      <c r="H30">
        <v>14.3</v>
      </c>
      <c r="I30">
        <v>25.9</v>
      </c>
    </row>
    <row r="31" spans="7:9" x14ac:dyDescent="0.25">
      <c r="G31">
        <v>2035</v>
      </c>
      <c r="H31">
        <v>13.4</v>
      </c>
      <c r="I31">
        <v>26.4</v>
      </c>
    </row>
    <row r="32" spans="7:9" x14ac:dyDescent="0.25">
      <c r="G32">
        <v>2036</v>
      </c>
      <c r="H32">
        <v>12.9</v>
      </c>
      <c r="I32">
        <v>27</v>
      </c>
    </row>
    <row r="33" spans="7:9" x14ac:dyDescent="0.25">
      <c r="G33">
        <v>2037</v>
      </c>
      <c r="H33">
        <v>12.7</v>
      </c>
      <c r="I33">
        <v>27.7</v>
      </c>
    </row>
    <row r="34" spans="7:9" x14ac:dyDescent="0.25">
      <c r="G34">
        <v>2038</v>
      </c>
      <c r="H34">
        <v>9.8000000000000007</v>
      </c>
      <c r="I34">
        <v>25.7</v>
      </c>
    </row>
    <row r="35" spans="7:9" x14ac:dyDescent="0.25">
      <c r="G35">
        <v>2039</v>
      </c>
      <c r="H35">
        <v>9.5</v>
      </c>
      <c r="I35">
        <v>26.3</v>
      </c>
    </row>
    <row r="36" spans="7:9" x14ac:dyDescent="0.25">
      <c r="G36">
        <v>2040</v>
      </c>
      <c r="H36">
        <v>9.1</v>
      </c>
      <c r="I36">
        <v>26.8</v>
      </c>
    </row>
    <row r="37" spans="7:9" x14ac:dyDescent="0.25">
      <c r="G37">
        <v>2041</v>
      </c>
    </row>
  </sheetData>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4"/>
  <sheetViews>
    <sheetView workbookViewId="0">
      <selection activeCell="C3" sqref="C3"/>
    </sheetView>
  </sheetViews>
  <sheetFormatPr defaultColWidth="8.85546875" defaultRowHeight="15" x14ac:dyDescent="0.25"/>
  <cols>
    <col min="1" max="1" width="30" bestFit="1" customWidth="1"/>
    <col min="2" max="2" width="12.42578125" customWidth="1"/>
  </cols>
  <sheetData>
    <row r="1" spans="1:37" x14ac:dyDescent="0.25">
      <c r="A1" s="6" t="s">
        <v>67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x14ac:dyDescent="0.25">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x14ac:dyDescent="0.25">
      <c r="A3" t="s">
        <v>114</v>
      </c>
      <c r="B3">
        <f>5051.89/10^3</f>
        <v>5.0518900000000002</v>
      </c>
      <c r="C3">
        <f>B3*1.025</f>
        <v>5.1781872499999997</v>
      </c>
      <c r="D3">
        <f t="shared" ref="D3:AK3" si="0">C3*1.025</f>
        <v>5.3076419312499992</v>
      </c>
      <c r="E3">
        <f t="shared" si="0"/>
        <v>5.4403329795312487</v>
      </c>
      <c r="F3">
        <f t="shared" si="0"/>
        <v>5.5763413040195298</v>
      </c>
      <c r="G3">
        <f t="shared" si="0"/>
        <v>5.7157498366200175</v>
      </c>
      <c r="H3">
        <f t="shared" si="0"/>
        <v>5.8586435825355174</v>
      </c>
      <c r="I3">
        <f t="shared" si="0"/>
        <v>6.0051096720989046</v>
      </c>
      <c r="J3">
        <f t="shared" si="0"/>
        <v>6.1552374139013768</v>
      </c>
      <c r="K3">
        <f t="shared" si="0"/>
        <v>6.3091183492489105</v>
      </c>
      <c r="L3">
        <f t="shared" si="0"/>
        <v>6.4668463079801324</v>
      </c>
      <c r="M3">
        <f t="shared" si="0"/>
        <v>6.6285174656796348</v>
      </c>
      <c r="N3">
        <f t="shared" si="0"/>
        <v>6.7942304023216256</v>
      </c>
      <c r="O3">
        <f t="shared" si="0"/>
        <v>6.9640861623796653</v>
      </c>
      <c r="P3">
        <f t="shared" si="0"/>
        <v>7.1381883164391562</v>
      </c>
      <c r="Q3">
        <f t="shared" si="0"/>
        <v>7.3166430243501344</v>
      </c>
      <c r="R3">
        <f t="shared" si="0"/>
        <v>7.499559099958887</v>
      </c>
      <c r="S3">
        <f t="shared" si="0"/>
        <v>7.6870480774578587</v>
      </c>
      <c r="T3">
        <f t="shared" si="0"/>
        <v>7.8792242793943048</v>
      </c>
      <c r="U3">
        <f t="shared" si="0"/>
        <v>8.0762048863791609</v>
      </c>
      <c r="V3">
        <f t="shared" si="0"/>
        <v>8.2781100085386399</v>
      </c>
      <c r="W3">
        <f t="shared" si="0"/>
        <v>8.4850627587521057</v>
      </c>
      <c r="X3">
        <f t="shared" si="0"/>
        <v>8.697189327720908</v>
      </c>
      <c r="Y3">
        <f t="shared" si="0"/>
        <v>8.91461906091393</v>
      </c>
      <c r="Z3">
        <f t="shared" si="0"/>
        <v>9.1374845374367766</v>
      </c>
      <c r="AA3">
        <f t="shared" si="0"/>
        <v>9.3659216508726946</v>
      </c>
      <c r="AB3">
        <f t="shared" si="0"/>
        <v>9.6000696921445119</v>
      </c>
      <c r="AC3">
        <f t="shared" si="0"/>
        <v>9.8400714344481237</v>
      </c>
      <c r="AD3">
        <f t="shared" si="0"/>
        <v>10.086073220309325</v>
      </c>
      <c r="AE3">
        <f t="shared" si="0"/>
        <v>10.338225050817057</v>
      </c>
      <c r="AF3">
        <f t="shared" si="0"/>
        <v>10.596680677087482</v>
      </c>
      <c r="AG3">
        <f t="shared" si="0"/>
        <v>10.861597694014668</v>
      </c>
      <c r="AH3">
        <f t="shared" si="0"/>
        <v>11.133137636365033</v>
      </c>
      <c r="AI3">
        <f t="shared" si="0"/>
        <v>11.411466077274158</v>
      </c>
      <c r="AJ3">
        <f t="shared" si="0"/>
        <v>11.696752729206011</v>
      </c>
      <c r="AK3">
        <f t="shared" si="0"/>
        <v>11.989171547436161</v>
      </c>
    </row>
    <row r="4" spans="1:37" x14ac:dyDescent="0.25">
      <c r="A4" t="s">
        <v>113</v>
      </c>
      <c r="B4">
        <f>953.619613/10^3</f>
        <v>0.95361961299999998</v>
      </c>
      <c r="C4">
        <f>B4*1.025</f>
        <v>0.97746010332499988</v>
      </c>
      <c r="D4">
        <f t="shared" ref="D4:AK4" si="1">C4*1.025</f>
        <v>1.0018966059081249</v>
      </c>
      <c r="E4">
        <f t="shared" si="1"/>
        <v>1.0269440210558278</v>
      </c>
      <c r="F4">
        <f t="shared" si="1"/>
        <v>1.0526176215822234</v>
      </c>
      <c r="G4">
        <f t="shared" si="1"/>
        <v>1.078933062121779</v>
      </c>
      <c r="H4">
        <f t="shared" si="1"/>
        <v>1.1059063886748233</v>
      </c>
      <c r="I4">
        <f t="shared" si="1"/>
        <v>1.1335540483916937</v>
      </c>
      <c r="J4">
        <f t="shared" si="1"/>
        <v>1.1618928996014859</v>
      </c>
      <c r="K4">
        <f t="shared" si="1"/>
        <v>1.1909402220915228</v>
      </c>
      <c r="L4">
        <f t="shared" si="1"/>
        <v>1.2207137276438107</v>
      </c>
      <c r="M4">
        <f t="shared" si="1"/>
        <v>1.2512315708349058</v>
      </c>
      <c r="N4">
        <f t="shared" si="1"/>
        <v>1.2825123601057784</v>
      </c>
      <c r="O4">
        <f t="shared" si="1"/>
        <v>1.3145751691084226</v>
      </c>
      <c r="P4">
        <f t="shared" si="1"/>
        <v>1.347439548336133</v>
      </c>
      <c r="Q4">
        <f t="shared" si="1"/>
        <v>1.3811255370445361</v>
      </c>
      <c r="R4">
        <f t="shared" si="1"/>
        <v>1.4156536754706495</v>
      </c>
      <c r="S4">
        <f t="shared" si="1"/>
        <v>1.4510450173574156</v>
      </c>
      <c r="T4">
        <f t="shared" si="1"/>
        <v>1.4873211427913509</v>
      </c>
      <c r="U4">
        <f t="shared" si="1"/>
        <v>1.5245041713611345</v>
      </c>
      <c r="V4">
        <f t="shared" si="1"/>
        <v>1.5626167756451628</v>
      </c>
      <c r="W4">
        <f t="shared" si="1"/>
        <v>1.6016821950362916</v>
      </c>
      <c r="X4">
        <f t="shared" si="1"/>
        <v>1.6417242499121987</v>
      </c>
      <c r="Y4">
        <f t="shared" si="1"/>
        <v>1.6827673561600034</v>
      </c>
      <c r="Z4">
        <f t="shared" si="1"/>
        <v>1.7248365400640033</v>
      </c>
      <c r="AA4">
        <f t="shared" si="1"/>
        <v>1.7679574535656033</v>
      </c>
      <c r="AB4">
        <f t="shared" si="1"/>
        <v>1.8121563899047433</v>
      </c>
      <c r="AC4">
        <f t="shared" si="1"/>
        <v>1.8574602996523617</v>
      </c>
      <c r="AD4">
        <f t="shared" si="1"/>
        <v>1.9038968071436706</v>
      </c>
      <c r="AE4">
        <f t="shared" si="1"/>
        <v>1.9514942273222622</v>
      </c>
      <c r="AF4">
        <f t="shared" si="1"/>
        <v>2.0002815830053184</v>
      </c>
      <c r="AG4">
        <f t="shared" si="1"/>
        <v>2.0502886225804513</v>
      </c>
      <c r="AH4">
        <f t="shared" si="1"/>
        <v>2.1015458381449625</v>
      </c>
      <c r="AI4">
        <f t="shared" si="1"/>
        <v>2.1540844840985862</v>
      </c>
      <c r="AJ4">
        <f t="shared" si="1"/>
        <v>2.2079365962010509</v>
      </c>
      <c r="AK4">
        <f t="shared" si="1"/>
        <v>2.2631350111060771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4"/>
  <sheetViews>
    <sheetView workbookViewId="0">
      <selection activeCell="D12" sqref="D12"/>
    </sheetView>
  </sheetViews>
  <sheetFormatPr defaultColWidth="8.85546875" defaultRowHeight="15" x14ac:dyDescent="0.25"/>
  <cols>
    <col min="1" max="1" width="31.85546875" customWidth="1"/>
  </cols>
  <sheetData>
    <row r="1" spans="1:41" x14ac:dyDescent="0.25">
      <c r="A1" s="6" t="s">
        <v>116</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x14ac:dyDescent="0.25">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41" x14ac:dyDescent="0.25">
      <c r="A3" t="s">
        <v>58</v>
      </c>
      <c r="B3">
        <v>0</v>
      </c>
      <c r="C3">
        <f>B3</f>
        <v>0</v>
      </c>
      <c r="D3">
        <f t="shared" ref="D3:AK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41" x14ac:dyDescent="0.25">
      <c r="A4" t="s">
        <v>115</v>
      </c>
      <c r="B4">
        <v>0</v>
      </c>
      <c r="C4">
        <f>B4</f>
        <v>0</v>
      </c>
      <c r="D4">
        <f t="shared" ref="D4:AK4" si="1">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N7"/>
  <sheetViews>
    <sheetView workbookViewId="0">
      <selection activeCell="C7" sqref="C7"/>
    </sheetView>
  </sheetViews>
  <sheetFormatPr defaultColWidth="8.85546875" defaultRowHeight="15" x14ac:dyDescent="0.25"/>
  <cols>
    <col min="1" max="1" width="19.42578125" customWidth="1"/>
  </cols>
  <sheetData>
    <row r="1" spans="1:40" x14ac:dyDescent="0.25">
      <c r="A1" s="6" t="s">
        <v>112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row>
    <row r="2" spans="1:40" x14ac:dyDescent="0.25">
      <c r="B2">
        <v>2015</v>
      </c>
    </row>
    <row r="3" spans="1:40" x14ac:dyDescent="0.25">
      <c r="A3" t="s">
        <v>418</v>
      </c>
      <c r="B3">
        <v>1.9212179362886399</v>
      </c>
    </row>
    <row r="5" spans="1:40" x14ac:dyDescent="0.25">
      <c r="A5" s="6" t="s">
        <v>67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row>
    <row r="6" spans="1:40" x14ac:dyDescent="0.25">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40" x14ac:dyDescent="0.25">
      <c r="A7" t="s">
        <v>113</v>
      </c>
      <c r="B7">
        <f>B3/10^3</f>
        <v>1.92121793628864E-3</v>
      </c>
      <c r="C7">
        <f>('Macro Indicators'!$L$9/'Macro Indicators'!$H$9)^(1/(5-1))*B7</f>
        <v>1.9603842390179178E-3</v>
      </c>
      <c r="D7">
        <f>('Macro Indicators'!$L$9/'Macro Indicators'!$H$9)^(1/(5-1))*C7</f>
        <v>2.0003489932088996E-3</v>
      </c>
      <c r="E7">
        <f>('Macro Indicators'!$L$9/'Macro Indicators'!$H$9)^(1/(5-1))*D7</f>
        <v>2.0411284762401546E-3</v>
      </c>
      <c r="F7">
        <f>('Macro Indicators'!$L$9/'Macro Indicators'!$H$9)^(1/(5-1))*E7</f>
        <v>2.0827392973238909E-3</v>
      </c>
      <c r="G7">
        <f>('Macro Indicators'!$L$9/'Macro Indicators'!$H$9)^(1/(5-1))*F7</f>
        <v>2.1251984042707749E-3</v>
      </c>
      <c r="H7">
        <f>('Macro Indicators'!$L$9/'Macro Indicators'!$H$9)^(1/(5-1))*G7</f>
        <v>2.1685230903926633E-3</v>
      </c>
      <c r="I7">
        <f>('Macro Indicators'!$L$9/'Macro Indicators'!$H$9)^(1/(5-1))*H7</f>
        <v>2.2127310015460535E-3</v>
      </c>
      <c r="J7">
        <f>('Macro Indicators'!$L$9/'Macro Indicators'!$H$9)^(1/(5-1))*I7</f>
        <v>2.2578401433191245E-3</v>
      </c>
      <c r="K7">
        <f>('Macro Indicators'!$L$9/'Macro Indicators'!$H$9)^(1/(5-1))*J7</f>
        <v>2.3038688883652916E-3</v>
      </c>
      <c r="L7">
        <f>('Macro Indicators'!$L$9/'Macro Indicators'!$H$9)^(1/(5-1))*K7</f>
        <v>2.3508359838862671E-3</v>
      </c>
      <c r="M7">
        <f>('Macro Indicators'!$L$9/'Macro Indicators'!$H$9)^(1/(5-1))*L7</f>
        <v>2.3987605592676706E-3</v>
      </c>
      <c r="N7">
        <f>('Macro Indicators'!$L$9/'Macro Indicators'!$H$9)^(1/(5-1))*M7</f>
        <v>2.4476621338703005E-3</v>
      </c>
      <c r="O7">
        <f>('Macro Indicators'!$L$9/'Macro Indicators'!$H$9)^(1/(5-1))*N7</f>
        <v>2.4975606249802397E-3</v>
      </c>
      <c r="P7">
        <f>('Macro Indicators'!$L$9/'Macro Indicators'!$H$9)^(1/(5-1))*O7</f>
        <v>2.548476355921034E-3</v>
      </c>
      <c r="Q7">
        <f>('Macro Indicators'!$L$9/'Macro Indicators'!$H$9)^(1/(5-1))*P7</f>
        <v>2.6004300643312464E-3</v>
      </c>
      <c r="R7">
        <f>('Macro Indicators'!$L$9/'Macro Indicators'!$H$9)^(1/(5-1))*Q7</f>
        <v>2.6534429106107593E-3</v>
      </c>
      <c r="S7">
        <f>('Macro Indicators'!$L$9/'Macro Indicators'!$H$9)^(1/(5-1))*R7</f>
        <v>2.7075364865392654E-3</v>
      </c>
      <c r="T7">
        <f>('Macro Indicators'!$L$9/'Macro Indicators'!$H$9)^(1/(5-1))*S7</f>
        <v>2.7627328240704546E-3</v>
      </c>
      <c r="U7">
        <f>('Macro Indicators'!$L$9/'Macro Indicators'!$H$9)^(1/(5-1))*T7</f>
        <v>2.8190544043054828E-3</v>
      </c>
      <c r="V7">
        <f>('Macro Indicators'!$L$9/'Macro Indicators'!$H$9)^(1/(5-1))*U7</f>
        <v>2.8765241666493758E-3</v>
      </c>
      <c r="W7">
        <f>('Macro Indicators'!$L$9/'Macro Indicators'!$H$9)^(1/(5-1))*V7</f>
        <v>2.9351655181540947E-3</v>
      </c>
      <c r="X7">
        <f>('Macro Indicators'!$L$9/'Macro Indicators'!$H$9)^(1/(5-1))*W7</f>
        <v>2.9950023430520742E-3</v>
      </c>
      <c r="Y7">
        <f>('Macro Indicators'!$L$9/'Macro Indicators'!$H$9)^(1/(5-1))*X7</f>
        <v>3.0560590124841104E-3</v>
      </c>
      <c r="Z7">
        <f>('Macro Indicators'!$L$9/'Macro Indicators'!$H$9)^(1/(5-1))*Y7</f>
        <v>3.1183603944255644E-3</v>
      </c>
      <c r="AA7">
        <f>('Macro Indicators'!$L$9/'Macro Indicators'!$H$9)^(1/(5-1))*Z7</f>
        <v>3.1819318638149239E-3</v>
      </c>
      <c r="AB7">
        <f>('Macro Indicators'!$L$9/'Macro Indicators'!$H$9)^(1/(5-1))*AA7</f>
        <v>3.2467993128888466E-3</v>
      </c>
      <c r="AC7">
        <f>('Macro Indicators'!$L$9/'Macro Indicators'!$H$9)^(1/(5-1))*AB7</f>
        <v>3.3129891617278964E-3</v>
      </c>
      <c r="AD7">
        <f>('Macro Indicators'!$L$9/'Macro Indicators'!$H$9)^(1/(5-1))*AC7</f>
        <v>3.3805283690172649E-3</v>
      </c>
      <c r="AE7">
        <f>('Macro Indicators'!$L$9/'Macro Indicators'!$H$9)^(1/(5-1))*AD7</f>
        <v>3.4494444430268668E-3</v>
      </c>
      <c r="AF7">
        <f>('Macro Indicators'!$L$9/'Macro Indicators'!$H$9)^(1/(5-1))*AE7</f>
        <v>3.5197654528152733E-3</v>
      </c>
      <c r="AG7">
        <f>('Macro Indicators'!$L$9/'Macro Indicators'!$H$9)^(1/(5-1))*AF7</f>
        <v>3.5915200396620544E-3</v>
      </c>
      <c r="AH7">
        <f>('Macro Indicators'!$L$9/'Macro Indicators'!$H$9)^(1/(5-1))*AG7</f>
        <v>3.6647374287331808E-3</v>
      </c>
      <c r="AI7">
        <f>('Macro Indicators'!$L$9/'Macro Indicators'!$H$9)^(1/(5-1))*AH7</f>
        <v>3.7394474409842399E-3</v>
      </c>
      <c r="AJ7">
        <f>('Macro Indicators'!$L$9/'Macro Indicators'!$H$9)^(1/(5-1))*AI7</f>
        <v>3.815680505306313E-3</v>
      </c>
      <c r="AK7">
        <f>('Macro Indicators'!$L$9/'Macro Indicators'!$H$9)^(1/(5-1))*AJ7</f>
        <v>3.8934676709194587E-3</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V131"/>
  <sheetViews>
    <sheetView topLeftCell="A73" workbookViewId="0">
      <selection activeCell="C54" sqref="C54:C65"/>
    </sheetView>
  </sheetViews>
  <sheetFormatPr defaultColWidth="8.85546875" defaultRowHeight="15" x14ac:dyDescent="0.25"/>
  <cols>
    <col min="1" max="1" width="52.140625" customWidth="1"/>
    <col min="2" max="2" width="10.85546875" customWidth="1"/>
    <col min="3" max="38" width="11.140625" customWidth="1"/>
    <col min="39" max="48" width="11.42578125" bestFit="1" customWidth="1"/>
  </cols>
  <sheetData>
    <row r="1" spans="1:48" x14ac:dyDescent="0.25">
      <c r="A1" s="299" t="s">
        <v>194</v>
      </c>
      <c r="B1" s="299" t="s">
        <v>195</v>
      </c>
      <c r="C1" s="299" t="s">
        <v>171</v>
      </c>
      <c r="D1" s="25">
        <v>2006</v>
      </c>
      <c r="E1" s="25">
        <v>2007</v>
      </c>
      <c r="F1" s="25">
        <v>2008</v>
      </c>
      <c r="G1" s="25">
        <v>2009</v>
      </c>
      <c r="H1" s="25">
        <v>2010</v>
      </c>
      <c r="I1" s="25">
        <v>2011</v>
      </c>
      <c r="J1" s="25">
        <v>2012</v>
      </c>
      <c r="K1" s="25">
        <v>2013</v>
      </c>
      <c r="L1" s="25">
        <v>2014</v>
      </c>
      <c r="M1" s="25">
        <v>2015</v>
      </c>
      <c r="N1" s="300">
        <v>2016</v>
      </c>
      <c r="O1" s="300">
        <v>2017</v>
      </c>
      <c r="P1" s="300">
        <v>2018</v>
      </c>
      <c r="Q1" s="300">
        <v>2019</v>
      </c>
      <c r="R1" s="300">
        <v>2020</v>
      </c>
      <c r="S1" s="300">
        <v>2021</v>
      </c>
      <c r="T1" s="300">
        <v>2022</v>
      </c>
      <c r="U1" s="300">
        <v>2023</v>
      </c>
      <c r="V1" s="300">
        <v>2024</v>
      </c>
      <c r="W1" s="300">
        <v>2025</v>
      </c>
      <c r="X1" s="300">
        <v>2026</v>
      </c>
      <c r="Y1" s="300">
        <v>2027</v>
      </c>
      <c r="Z1" s="300">
        <v>2028</v>
      </c>
      <c r="AA1" s="300">
        <v>2029</v>
      </c>
      <c r="AB1" s="300">
        <v>2030</v>
      </c>
      <c r="AC1" s="300">
        <v>2031</v>
      </c>
      <c r="AD1" s="300">
        <v>2032</v>
      </c>
      <c r="AE1" s="300">
        <v>2033</v>
      </c>
      <c r="AF1" s="300">
        <v>2034</v>
      </c>
      <c r="AG1" s="300">
        <v>2035</v>
      </c>
      <c r="AH1" s="300">
        <v>2036</v>
      </c>
      <c r="AI1" s="300">
        <v>2037</v>
      </c>
      <c r="AJ1" s="300">
        <v>2038</v>
      </c>
      <c r="AK1" s="300">
        <v>2039</v>
      </c>
      <c r="AL1" s="300">
        <v>2040</v>
      </c>
      <c r="AM1" s="300">
        <v>2041</v>
      </c>
      <c r="AN1" s="300">
        <v>2042</v>
      </c>
      <c r="AO1" s="300">
        <v>2043</v>
      </c>
      <c r="AP1" s="300">
        <v>2044</v>
      </c>
      <c r="AQ1" s="300">
        <v>2045</v>
      </c>
      <c r="AR1" s="300">
        <v>2046</v>
      </c>
      <c r="AS1" s="300">
        <v>2047</v>
      </c>
      <c r="AT1" s="300">
        <v>2048</v>
      </c>
      <c r="AU1" s="300">
        <v>2049</v>
      </c>
      <c r="AV1" s="300">
        <v>2050</v>
      </c>
    </row>
    <row r="2" spans="1:48" x14ac:dyDescent="0.25">
      <c r="A2" s="25" t="s">
        <v>192</v>
      </c>
      <c r="B2" t="s">
        <v>4</v>
      </c>
      <c r="C2" s="25" t="s">
        <v>159</v>
      </c>
      <c r="D2" s="25">
        <f ca="1">INDEX(INDIRECT(CONCATENATE("'",RIGHT(D$1,2),"'!$F$8:$N$88")),MATCH($A2,INDIRECT(CONCATENATE("'",RIGHT(D$1,2),IF($B2="chemicals","'!$C$8:$C$88","'!$B$8:$B$88"))),0),MATCH('Other Industrial Processes'!$C2,INDIRECT(CONCATENATE("'",RIGHT(D$1,2),"'!$F$4:$N$4")),0))</f>
        <v>2782.9837384538</v>
      </c>
      <c r="E2" s="25">
        <f ca="1">INDEX(INDIRECT(CONCATENATE("'",RIGHT(E$1,2),"'!$F$8:$N$88")),MATCH($A2,INDIRECT(CONCATENATE("'",RIGHT(E$1,2),IF($B2="chemicals","'!$C$8:$C$88","'!$B$8:$B$88"))),0),MATCH('Other Industrial Processes'!$C2,INDIRECT(CONCATENATE("'",RIGHT(E$1,2),"'!$F$4:$N$4")),0))</f>
        <v>2574.83286387421</v>
      </c>
      <c r="F2" s="25">
        <f ca="1">INDEX(INDIRECT(CONCATENATE("'",RIGHT(F$1,2),"'!$F$8:$N$88")),MATCH($A2,INDIRECT(CONCATENATE("'",RIGHT(F$1,2),IF($B2="chemicals","'!$C$8:$C$88","'!$B$8:$B$88"))),0),MATCH('Other Industrial Processes'!$C2,INDIRECT(CONCATENATE("'",RIGHT(F$1,2),"'!$F$4:$N$4")),0))</f>
        <v>2805.04440098547</v>
      </c>
      <c r="G2" s="25">
        <f ca="1">INDEX(INDIRECT(CONCATENATE("'",RIGHT(G$1,2),"'!$F$8:$N$88")),MATCH($A2,INDIRECT(CONCATENATE("'",RIGHT(G$1,2),IF($B2="chemicals","'!$C$8:$C$88","'!$B$8:$B$88"))),0),MATCH('Other Industrial Processes'!$C2,INDIRECT(CONCATENATE("'",RIGHT(G$1,2),"'!$F$4:$N$4")),0))</f>
        <v>2400.66202738946</v>
      </c>
      <c r="H2" s="25">
        <f ca="1">INDEX(INDIRECT(CONCATENATE("'",RIGHT(H$1,2),"'!$F$8:$N$88")),MATCH($A2,INDIRECT(CONCATENATE("'",RIGHT(H$1,2),IF($B2="chemicals","'!$C$8:$C$88","'!$B$8:$B$88"))),0),MATCH('Other Industrial Processes'!$C2,INDIRECT(CONCATENATE("'",RIGHT(H$1,2),"'!$F$4:$N$4")),0))</f>
        <v>2491.2036086005501</v>
      </c>
      <c r="I2" s="25">
        <f ca="1">INDEX(INDIRECT(CONCATENATE("'",RIGHT(I$1,2),"'!$F$8:$N$88")),MATCH($A2,INDIRECT(CONCATENATE("'",RIGHT(I$1,2),IF($B2="chemicals","'!$C$8:$C$88","'!$B$8:$B$88"))),0),MATCH('Other Industrial Processes'!$C2,INDIRECT(CONCATENATE("'",RIGHT(I$1,2),"'!$F$4:$N$4")),0))</f>
        <v>2881.1580168077799</v>
      </c>
      <c r="J2" s="25">
        <f ca="1">INDEX(INDIRECT(CONCATENATE("'",RIGHT(J$1,2),"'!$F$8:$N$88")),MATCH($A2,INDIRECT(CONCATENATE("'",RIGHT(J$1,2),IF($B2="chemicals","'!$C$8:$C$88","'!$B$8:$B$88"))),0),MATCH('Other Industrial Processes'!$C2,INDIRECT(CONCATENATE("'",RIGHT(J$1,2),"'!$F$4:$N$4")),0))</f>
        <v>3002.3836115117401</v>
      </c>
      <c r="K2" s="25">
        <f ca="1">INDEX(INDIRECT(CONCATENATE("'",RIGHT(K$1,2),"'!$F$8:$N$88")),MATCH($A2,INDIRECT(CONCATENATE("'",RIGHT(K$1,2),IF($B2="chemicals","'!$C$8:$C$88","'!$B$8:$B$88"))),0),MATCH('Other Industrial Processes'!$C2,INDIRECT(CONCATENATE("'",RIGHT(K$1,2),"'!$F$4:$N$4")),0))</f>
        <v>2949.9646226688501</v>
      </c>
      <c r="L2" s="25">
        <f ca="1">INDEX(INDIRECT(CONCATENATE("'",RIGHT(L$1,2),"'!$F$8:$N$88")),MATCH($A2,INDIRECT(CONCATENATE("'",RIGHT(L$1,2),IF($B2="chemicals","'!$C$8:$C$88","'!$B$8:$B$88"))),0),MATCH('Other Industrial Processes'!$C2,INDIRECT(CONCATENATE("'",RIGHT(L$1,2),"'!$F$4:$N$4")),0))</f>
        <v>2535.5448819287499</v>
      </c>
      <c r="M2" s="25">
        <f ca="1">INDEX(INDIRECT(CONCATENATE("'",RIGHT(M$1,2),"'!$F$8:$N$88")),MATCH($A2,INDIRECT(CONCATENATE("'",RIGHT(M$1,2),IF($B2="chemicals","'!$C$8:$C$88","'!$B$8:$B$88"))),0),MATCH('Other Industrial Processes'!$C2,INDIRECT(CONCATENATE("'",RIGHT(M$1,2),"'!$F$4:$N$4")),0))</f>
        <v>2850.8286025819598</v>
      </c>
      <c r="N2" s="25">
        <f t="shared" ref="N2:AV2" ca="1" si="0">IFERROR(IF($M2-$D2&gt;=0,($M2-$D2)/COUNT($E$1:$M$1)+M2,$F63*$E63^N$1),0)</f>
        <v>2858.3669208184219</v>
      </c>
      <c r="O2" s="25">
        <f t="shared" ca="1" si="0"/>
        <v>2865.9052390548841</v>
      </c>
      <c r="P2" s="25">
        <f t="shared" ca="1" si="0"/>
        <v>2873.4435572913462</v>
      </c>
      <c r="Q2" s="25">
        <f t="shared" ca="1" si="0"/>
        <v>2880.9818755278084</v>
      </c>
      <c r="R2" s="25">
        <f t="shared" ca="1" si="0"/>
        <v>2888.5201937642705</v>
      </c>
      <c r="S2" s="25">
        <f t="shared" ca="1" si="0"/>
        <v>2896.0585120007327</v>
      </c>
      <c r="T2" s="25">
        <f t="shared" ca="1" si="0"/>
        <v>2903.5968302371948</v>
      </c>
      <c r="U2" s="25">
        <f t="shared" ca="1" si="0"/>
        <v>2911.135148473657</v>
      </c>
      <c r="V2" s="25">
        <f t="shared" ca="1" si="0"/>
        <v>2918.6734667101191</v>
      </c>
      <c r="W2" s="25">
        <f t="shared" ca="1" si="0"/>
        <v>2926.2117849465812</v>
      </c>
      <c r="X2" s="25">
        <f t="shared" ca="1" si="0"/>
        <v>2933.7501031830434</v>
      </c>
      <c r="Y2" s="25">
        <f t="shared" ca="1" si="0"/>
        <v>2941.2884214195055</v>
      </c>
      <c r="Z2" s="25">
        <f t="shared" ca="1" si="0"/>
        <v>2948.8267396559677</v>
      </c>
      <c r="AA2" s="25">
        <f t="shared" ca="1" si="0"/>
        <v>2956.3650578924298</v>
      </c>
      <c r="AB2" s="25">
        <f t="shared" ca="1" si="0"/>
        <v>2963.903376128892</v>
      </c>
      <c r="AC2" s="25">
        <f t="shared" ca="1" si="0"/>
        <v>2971.4416943653541</v>
      </c>
      <c r="AD2" s="25">
        <f t="shared" ca="1" si="0"/>
        <v>2978.9800126018163</v>
      </c>
      <c r="AE2" s="25">
        <f t="shared" ca="1" si="0"/>
        <v>2986.5183308382784</v>
      </c>
      <c r="AF2" s="25">
        <f t="shared" ca="1" si="0"/>
        <v>2994.0566490747406</v>
      </c>
      <c r="AG2" s="25">
        <f t="shared" ca="1" si="0"/>
        <v>3001.5949673112027</v>
      </c>
      <c r="AH2" s="25">
        <f t="shared" ca="1" si="0"/>
        <v>3009.1332855476649</v>
      </c>
      <c r="AI2" s="25">
        <f t="shared" ca="1" si="0"/>
        <v>3016.671603784127</v>
      </c>
      <c r="AJ2" s="25">
        <f t="shared" ca="1" si="0"/>
        <v>3024.2099220205891</v>
      </c>
      <c r="AK2" s="25">
        <f t="shared" ca="1" si="0"/>
        <v>3031.7482402570513</v>
      </c>
      <c r="AL2" s="25">
        <f t="shared" ca="1" si="0"/>
        <v>3039.2865584935134</v>
      </c>
      <c r="AM2" s="25">
        <f t="shared" ca="1" si="0"/>
        <v>3046.8248767299756</v>
      </c>
      <c r="AN2" s="25">
        <f t="shared" ca="1" si="0"/>
        <v>3054.3631949664377</v>
      </c>
      <c r="AO2" s="25">
        <f t="shared" ca="1" si="0"/>
        <v>3061.9015132028999</v>
      </c>
      <c r="AP2" s="25">
        <f t="shared" ca="1" si="0"/>
        <v>3069.439831439362</v>
      </c>
      <c r="AQ2" s="25">
        <f t="shared" ca="1" si="0"/>
        <v>3076.9781496758242</v>
      </c>
      <c r="AR2" s="25">
        <f t="shared" ca="1" si="0"/>
        <v>3084.5164679122863</v>
      </c>
      <c r="AS2" s="25">
        <f t="shared" ca="1" si="0"/>
        <v>3092.0547861487485</v>
      </c>
      <c r="AT2" s="25">
        <f t="shared" ca="1" si="0"/>
        <v>3099.5931043852106</v>
      </c>
      <c r="AU2" s="25">
        <f t="shared" ca="1" si="0"/>
        <v>3107.1314226216728</v>
      </c>
      <c r="AV2" s="25">
        <f t="shared" ca="1" si="0"/>
        <v>3114.6697408581349</v>
      </c>
    </row>
    <row r="3" spans="1:48" x14ac:dyDescent="0.25">
      <c r="A3" s="25" t="s">
        <v>190</v>
      </c>
      <c r="B3" t="s">
        <v>4</v>
      </c>
      <c r="C3" s="25" t="s">
        <v>159</v>
      </c>
      <c r="D3" s="25">
        <f ca="1">INDEX(INDIRECT(CONCATENATE("'",RIGHT(D$1,2),"'!$F$8:$N$88")),MATCH($A3,INDIRECT(CONCATENATE("'",RIGHT(D$1,2),IF($B3="chemicals","'!$C$8:$C$88","'!$B$8:$B$88"))),0),MATCH('Other Industrial Processes'!$C3,INDIRECT(CONCATENATE("'",RIGHT(D$1,2),"'!$F$4:$N$4")),0))</f>
        <v>0</v>
      </c>
      <c r="E3" s="25">
        <f ca="1">INDEX(INDIRECT(CONCATENATE("'",RIGHT(E$1,2),"'!$F$8:$N$88")),MATCH($A3,INDIRECT(CONCATENATE("'",RIGHT(E$1,2),IF($B3="chemicals","'!$C$8:$C$88","'!$B$8:$B$88"))),0),MATCH('Other Industrial Processes'!$C3,INDIRECT(CONCATENATE("'",RIGHT(E$1,2),"'!$F$4:$N$4")),0))</f>
        <v>0</v>
      </c>
      <c r="F3" s="25">
        <f ca="1">INDEX(INDIRECT(CONCATENATE("'",RIGHT(F$1,2),"'!$F$8:$N$88")),MATCH($A3,INDIRECT(CONCATENATE("'",RIGHT(F$1,2),IF($B3="chemicals","'!$C$8:$C$88","'!$B$8:$B$88"))),0),MATCH('Other Industrial Processes'!$C3,INDIRECT(CONCATENATE("'",RIGHT(F$1,2),"'!$F$4:$N$4")),0))</f>
        <v>0</v>
      </c>
      <c r="G3" s="25">
        <f ca="1">INDEX(INDIRECT(CONCATENATE("'",RIGHT(G$1,2),"'!$F$8:$N$88")),MATCH($A3,INDIRECT(CONCATENATE("'",RIGHT(G$1,2),IF($B3="chemicals","'!$C$8:$C$88","'!$B$8:$B$88"))),0),MATCH('Other Industrial Processes'!$C3,INDIRECT(CONCATENATE("'",RIGHT(G$1,2),"'!$F$4:$N$4")),0))</f>
        <v>0</v>
      </c>
      <c r="H3" s="25">
        <f ca="1">INDEX(INDIRECT(CONCATENATE("'",RIGHT(H$1,2),"'!$F$8:$N$88")),MATCH($A3,INDIRECT(CONCATENATE("'",RIGHT(H$1,2),IF($B3="chemicals","'!$C$8:$C$88","'!$B$8:$B$88"))),0),MATCH('Other Industrial Processes'!$C3,INDIRECT(CONCATENATE("'",RIGHT(H$1,2),"'!$F$4:$N$4")),0))</f>
        <v>0</v>
      </c>
      <c r="I3" s="25">
        <f ca="1">INDEX(INDIRECT(CONCATENATE("'",RIGHT(I$1,2),"'!$F$8:$N$88")),MATCH($A3,INDIRECT(CONCATENATE("'",RIGHT(I$1,2),IF($B3="chemicals","'!$C$8:$C$88","'!$B$8:$B$88"))),0),MATCH('Other Industrial Processes'!$C3,INDIRECT(CONCATENATE("'",RIGHT(I$1,2),"'!$F$4:$N$4")),0))</f>
        <v>0</v>
      </c>
      <c r="J3" s="25">
        <f ca="1">INDEX(INDIRECT(CONCATENATE("'",RIGHT(J$1,2),"'!$F$8:$N$88")),MATCH($A3,INDIRECT(CONCATENATE("'",RIGHT(J$1,2),IF($B3="chemicals","'!$C$8:$C$88","'!$B$8:$B$88"))),0),MATCH('Other Industrial Processes'!$C3,INDIRECT(CONCATENATE("'",RIGHT(J$1,2),"'!$F$4:$N$4")),0))</f>
        <v>0</v>
      </c>
      <c r="K3" s="25">
        <f ca="1">INDEX(INDIRECT(CONCATENATE("'",RIGHT(K$1,2),"'!$F$8:$N$88")),MATCH($A3,INDIRECT(CONCATENATE("'",RIGHT(K$1,2),IF($B3="chemicals","'!$C$8:$C$88","'!$B$8:$B$88"))),0),MATCH('Other Industrial Processes'!$C3,INDIRECT(CONCATENATE("'",RIGHT(K$1,2),"'!$F$4:$N$4")),0))</f>
        <v>0</v>
      </c>
      <c r="L3" s="25">
        <f ca="1">INDEX(INDIRECT(CONCATENATE("'",RIGHT(L$1,2),"'!$F$8:$N$88")),MATCH($A3,INDIRECT(CONCATENATE("'",RIGHT(L$1,2),IF($B3="chemicals","'!$C$8:$C$88","'!$B$8:$B$88"))),0),MATCH('Other Industrial Processes'!$C3,INDIRECT(CONCATENATE("'",RIGHT(L$1,2),"'!$F$4:$N$4")),0))</f>
        <v>0</v>
      </c>
      <c r="M3" s="25">
        <f ca="1">INDEX(INDIRECT(CONCATENATE("'",RIGHT(M$1,2),"'!$F$8:$N$88")),MATCH($A3,INDIRECT(CONCATENATE("'",RIGHT(M$1,2),IF($B3="chemicals","'!$C$8:$C$88","'!$B$8:$B$88"))),0),MATCH('Other Industrial Processes'!$C3,INDIRECT(CONCATENATE("'",RIGHT(M$1,2),"'!$F$4:$N$4")),0))</f>
        <v>0</v>
      </c>
      <c r="N3" s="25">
        <f t="shared" ref="N3:AV3" ca="1" si="1">IFERROR(IF($M3-$D3&gt;=0,($M3-$D3)/COUNT($E$1:$M$1)+M3,$F64*$E64^N$1),0)</f>
        <v>0</v>
      </c>
      <c r="O3" s="25">
        <f t="shared" ca="1" si="1"/>
        <v>0</v>
      </c>
      <c r="P3" s="25">
        <f t="shared" ca="1" si="1"/>
        <v>0</v>
      </c>
      <c r="Q3" s="25">
        <f t="shared" ca="1" si="1"/>
        <v>0</v>
      </c>
      <c r="R3" s="25">
        <f t="shared" ca="1" si="1"/>
        <v>0</v>
      </c>
      <c r="S3" s="25">
        <f t="shared" ca="1" si="1"/>
        <v>0</v>
      </c>
      <c r="T3" s="25">
        <f t="shared" ca="1" si="1"/>
        <v>0</v>
      </c>
      <c r="U3" s="25">
        <f t="shared" ca="1" si="1"/>
        <v>0</v>
      </c>
      <c r="V3" s="25">
        <f t="shared" ca="1" si="1"/>
        <v>0</v>
      </c>
      <c r="W3" s="25">
        <f t="shared" ca="1" si="1"/>
        <v>0</v>
      </c>
      <c r="X3" s="25">
        <f t="shared" ca="1" si="1"/>
        <v>0</v>
      </c>
      <c r="Y3" s="25">
        <f t="shared" ca="1" si="1"/>
        <v>0</v>
      </c>
      <c r="Z3" s="25">
        <f t="shared" ca="1" si="1"/>
        <v>0</v>
      </c>
      <c r="AA3" s="25">
        <f t="shared" ca="1" si="1"/>
        <v>0</v>
      </c>
      <c r="AB3" s="25">
        <f t="shared" ca="1" si="1"/>
        <v>0</v>
      </c>
      <c r="AC3" s="25">
        <f t="shared" ca="1" si="1"/>
        <v>0</v>
      </c>
      <c r="AD3" s="25">
        <f t="shared" ca="1" si="1"/>
        <v>0</v>
      </c>
      <c r="AE3" s="25">
        <f t="shared" ca="1" si="1"/>
        <v>0</v>
      </c>
      <c r="AF3" s="25">
        <f t="shared" ca="1" si="1"/>
        <v>0</v>
      </c>
      <c r="AG3" s="25">
        <f t="shared" ca="1" si="1"/>
        <v>0</v>
      </c>
      <c r="AH3" s="25">
        <f t="shared" ca="1" si="1"/>
        <v>0</v>
      </c>
      <c r="AI3" s="25">
        <f t="shared" ca="1" si="1"/>
        <v>0</v>
      </c>
      <c r="AJ3" s="25">
        <f t="shared" ca="1" si="1"/>
        <v>0</v>
      </c>
      <c r="AK3" s="25">
        <f t="shared" ca="1" si="1"/>
        <v>0</v>
      </c>
      <c r="AL3" s="25">
        <f t="shared" ca="1" si="1"/>
        <v>0</v>
      </c>
      <c r="AM3" s="25">
        <f t="shared" ca="1" si="1"/>
        <v>0</v>
      </c>
      <c r="AN3" s="25">
        <f t="shared" ca="1" si="1"/>
        <v>0</v>
      </c>
      <c r="AO3" s="25">
        <f t="shared" ca="1" si="1"/>
        <v>0</v>
      </c>
      <c r="AP3" s="25">
        <f t="shared" ca="1" si="1"/>
        <v>0</v>
      </c>
      <c r="AQ3" s="25">
        <f t="shared" ca="1" si="1"/>
        <v>0</v>
      </c>
      <c r="AR3" s="25">
        <f t="shared" ca="1" si="1"/>
        <v>0</v>
      </c>
      <c r="AS3" s="25">
        <f t="shared" ca="1" si="1"/>
        <v>0</v>
      </c>
      <c r="AT3" s="25">
        <f t="shared" ca="1" si="1"/>
        <v>0</v>
      </c>
      <c r="AU3" s="25">
        <f t="shared" ca="1" si="1"/>
        <v>0</v>
      </c>
      <c r="AV3" s="25">
        <f t="shared" ca="1" si="1"/>
        <v>0</v>
      </c>
    </row>
    <row r="4" spans="1:48" x14ac:dyDescent="0.25">
      <c r="A4" s="25" t="s">
        <v>770</v>
      </c>
      <c r="B4" t="s">
        <v>4</v>
      </c>
      <c r="C4" s="25" t="s">
        <v>159</v>
      </c>
      <c r="D4" s="25">
        <f ca="1">INDEX(INDIRECT(CONCATENATE("'",RIGHT(D$1,2),"'!$F$8:$N$88")),MATCH($A4,INDIRECT(CONCATENATE("'",RIGHT(D$1,2),IF($B4="chemicals","'!$C$8:$C$88","'!$B$8:$B$88"))),0),MATCH('Other Industrial Processes'!$C4,INDIRECT(CONCATENATE("'",RIGHT(D$1,2),"'!$F$4:$N$4")),0))</f>
        <v>0</v>
      </c>
      <c r="E4" s="25">
        <f ca="1">INDEX(INDIRECT(CONCATENATE("'",RIGHT(E$1,2),"'!$F$8:$N$88")),MATCH($A4,INDIRECT(CONCATENATE("'",RIGHT(E$1,2),IF($B4="chemicals","'!$C$8:$C$88","'!$B$8:$B$88"))),0),MATCH('Other Industrial Processes'!$C4,INDIRECT(CONCATENATE("'",RIGHT(E$1,2),"'!$F$4:$N$4")),0))</f>
        <v>0</v>
      </c>
      <c r="F4" s="25">
        <f ca="1">INDEX(INDIRECT(CONCATENATE("'",RIGHT(F$1,2),"'!$F$8:$N$88")),MATCH($A4,INDIRECT(CONCATENATE("'",RIGHT(F$1,2),IF($B4="chemicals","'!$C$8:$C$88","'!$B$8:$B$88"))),0),MATCH('Other Industrial Processes'!$C4,INDIRECT(CONCATENATE("'",RIGHT(F$1,2),"'!$F$4:$N$4")),0))</f>
        <v>0</v>
      </c>
      <c r="G4" s="25">
        <f ca="1">INDEX(INDIRECT(CONCATENATE("'",RIGHT(G$1,2),"'!$F$8:$N$88")),MATCH($A4,INDIRECT(CONCATENATE("'",RIGHT(G$1,2),IF($B4="chemicals","'!$C$8:$C$88","'!$B$8:$B$88"))),0),MATCH('Other Industrial Processes'!$C4,INDIRECT(CONCATENATE("'",RIGHT(G$1,2),"'!$F$4:$N$4")),0))</f>
        <v>0</v>
      </c>
      <c r="H4" s="25">
        <f ca="1">INDEX(INDIRECT(CONCATENATE("'",RIGHT(H$1,2),"'!$F$8:$N$88")),MATCH($A4,INDIRECT(CONCATENATE("'",RIGHT(H$1,2),IF($B4="chemicals","'!$C$8:$C$88","'!$B$8:$B$88"))),0),MATCH('Other Industrial Processes'!$C4,INDIRECT(CONCATENATE("'",RIGHT(H$1,2),"'!$F$4:$N$4")),0))</f>
        <v>0</v>
      </c>
      <c r="I4" s="25">
        <f ca="1">INDEX(INDIRECT(CONCATENATE("'",RIGHT(I$1,2),"'!$F$8:$N$88")),MATCH($A4,INDIRECT(CONCATENATE("'",RIGHT(I$1,2),IF($B4="chemicals","'!$C$8:$C$88","'!$B$8:$B$88"))),0),MATCH('Other Industrial Processes'!$C4,INDIRECT(CONCATENATE("'",RIGHT(I$1,2),"'!$F$4:$N$4")),0))</f>
        <v>0</v>
      </c>
      <c r="J4" s="25">
        <f ca="1">INDEX(INDIRECT(CONCATENATE("'",RIGHT(J$1,2),"'!$F$8:$N$88")),MATCH($A4,INDIRECT(CONCATENATE("'",RIGHT(J$1,2),IF($B4="chemicals","'!$C$8:$C$88","'!$B$8:$B$88"))),0),MATCH('Other Industrial Processes'!$C4,INDIRECT(CONCATENATE("'",RIGHT(J$1,2),"'!$F$4:$N$4")),0))</f>
        <v>0</v>
      </c>
      <c r="K4" s="25">
        <f ca="1">INDEX(INDIRECT(CONCATENATE("'",RIGHT(K$1,2),"'!$F$8:$N$88")),MATCH($A4,INDIRECT(CONCATENATE("'",RIGHT(K$1,2),IF($B4="chemicals","'!$C$8:$C$88","'!$B$8:$B$88"))),0),MATCH('Other Industrial Processes'!$C4,INDIRECT(CONCATENATE("'",RIGHT(K$1,2),"'!$F$4:$N$4")),0))</f>
        <v>0</v>
      </c>
      <c r="L4" s="25">
        <f ca="1">INDEX(INDIRECT(CONCATENATE("'",RIGHT(L$1,2),"'!$F$8:$N$88")),MATCH($A4,INDIRECT(CONCATENATE("'",RIGHT(L$1,2),IF($B4="chemicals","'!$C$8:$C$88","'!$B$8:$B$88"))),0),MATCH('Other Industrial Processes'!$C4,INDIRECT(CONCATENATE("'",RIGHT(L$1,2),"'!$F$4:$N$4")),0))</f>
        <v>0</v>
      </c>
      <c r="M4" s="25">
        <f ca="1">INDEX(INDIRECT(CONCATENATE("'",RIGHT(M$1,2),"'!$F$8:$N$88")),MATCH($A4,INDIRECT(CONCATENATE("'",RIGHT(M$1,2),IF($B4="chemicals","'!$C$8:$C$88","'!$B$8:$B$88"))),0),MATCH('Other Industrial Processes'!$C4,INDIRECT(CONCATENATE("'",RIGHT(M$1,2),"'!$F$4:$N$4")),0))</f>
        <v>0</v>
      </c>
      <c r="N4" s="301">
        <f t="shared" ref="N4:AV4" ca="1" si="2">IFERROR(IF($M4-$D4&gt;=0,($M4-$D4)/COUNT($E$1:$M$1)+M4,$F65*$E65^N$1),0)</f>
        <v>0</v>
      </c>
      <c r="O4" s="301">
        <f t="shared" ca="1" si="2"/>
        <v>0</v>
      </c>
      <c r="P4" s="301">
        <f t="shared" ca="1" si="2"/>
        <v>0</v>
      </c>
      <c r="Q4" s="301">
        <f t="shared" ca="1" si="2"/>
        <v>0</v>
      </c>
      <c r="R4" s="301">
        <f t="shared" ca="1" si="2"/>
        <v>0</v>
      </c>
      <c r="S4" s="301">
        <f t="shared" ca="1" si="2"/>
        <v>0</v>
      </c>
      <c r="T4" s="301">
        <f t="shared" ca="1" si="2"/>
        <v>0</v>
      </c>
      <c r="U4" s="301">
        <f t="shared" ca="1" si="2"/>
        <v>0</v>
      </c>
      <c r="V4" s="301">
        <f t="shared" ca="1" si="2"/>
        <v>0</v>
      </c>
      <c r="W4" s="301">
        <f t="shared" ca="1" si="2"/>
        <v>0</v>
      </c>
      <c r="X4" s="301">
        <f t="shared" ca="1" si="2"/>
        <v>0</v>
      </c>
      <c r="Y4" s="301">
        <f t="shared" ca="1" si="2"/>
        <v>0</v>
      </c>
      <c r="Z4" s="301">
        <f t="shared" ca="1" si="2"/>
        <v>0</v>
      </c>
      <c r="AA4" s="301">
        <f t="shared" ca="1" si="2"/>
        <v>0</v>
      </c>
      <c r="AB4" s="301">
        <f t="shared" ca="1" si="2"/>
        <v>0</v>
      </c>
      <c r="AC4" s="301">
        <f t="shared" ca="1" si="2"/>
        <v>0</v>
      </c>
      <c r="AD4" s="301">
        <f t="shared" ca="1" si="2"/>
        <v>0</v>
      </c>
      <c r="AE4" s="301">
        <f t="shared" ca="1" si="2"/>
        <v>0</v>
      </c>
      <c r="AF4" s="301">
        <f t="shared" ca="1" si="2"/>
        <v>0</v>
      </c>
      <c r="AG4" s="301">
        <f t="shared" ca="1" si="2"/>
        <v>0</v>
      </c>
      <c r="AH4" s="301">
        <f t="shared" ca="1" si="2"/>
        <v>0</v>
      </c>
      <c r="AI4" s="301">
        <f t="shared" ca="1" si="2"/>
        <v>0</v>
      </c>
      <c r="AJ4" s="301">
        <f t="shared" ca="1" si="2"/>
        <v>0</v>
      </c>
      <c r="AK4" s="301">
        <f t="shared" ca="1" si="2"/>
        <v>0</v>
      </c>
      <c r="AL4" s="301">
        <f t="shared" ca="1" si="2"/>
        <v>0</v>
      </c>
      <c r="AM4" s="301">
        <f t="shared" ca="1" si="2"/>
        <v>0</v>
      </c>
      <c r="AN4" s="301">
        <f t="shared" ca="1" si="2"/>
        <v>0</v>
      </c>
      <c r="AO4" s="301">
        <f t="shared" ca="1" si="2"/>
        <v>0</v>
      </c>
      <c r="AP4" s="301">
        <f t="shared" ca="1" si="2"/>
        <v>0</v>
      </c>
      <c r="AQ4" s="301">
        <f t="shared" ca="1" si="2"/>
        <v>0</v>
      </c>
      <c r="AR4" s="301">
        <f t="shared" ca="1" si="2"/>
        <v>0</v>
      </c>
      <c r="AS4" s="301">
        <f t="shared" ca="1" si="2"/>
        <v>0</v>
      </c>
      <c r="AT4" s="301">
        <f t="shared" ca="1" si="2"/>
        <v>0</v>
      </c>
      <c r="AU4" s="301">
        <f t="shared" ca="1" si="2"/>
        <v>0</v>
      </c>
      <c r="AV4" s="301">
        <f t="shared" ca="1" si="2"/>
        <v>0</v>
      </c>
    </row>
    <row r="5" spans="1:48" x14ac:dyDescent="0.25">
      <c r="A5" s="25" t="s">
        <v>771</v>
      </c>
      <c r="B5" t="s">
        <v>4</v>
      </c>
      <c r="C5" s="25" t="s">
        <v>159</v>
      </c>
      <c r="D5" s="25">
        <f ca="1">INDEX(INDIRECT(CONCATENATE("'",RIGHT(D$1,2),"'!$F$8:$N$88")),MATCH($A5,INDIRECT(CONCATENATE("'",RIGHT(D$1,2),IF($B5="chemicals","'!$C$8:$C$88","'!$B$8:$B$88"))),0),MATCH('Other Industrial Processes'!$C5,INDIRECT(CONCATENATE("'",RIGHT(D$1,2),"'!$F$4:$N$4")),0))</f>
        <v>2839.9912561958499</v>
      </c>
      <c r="E5" s="25">
        <f ca="1">INDEX(INDIRECT(CONCATENATE("'",RIGHT(E$1,2),"'!$F$8:$N$88")),MATCH($A5,INDIRECT(CONCATENATE("'",RIGHT(E$1,2),IF($B5="chemicals","'!$C$8:$C$88","'!$B$8:$B$88"))),0),MATCH('Other Industrial Processes'!$C5,INDIRECT(CONCATENATE("'",RIGHT(E$1,2),"'!$F$4:$N$4")),0))</f>
        <v>2322.1804849907498</v>
      </c>
      <c r="F5" s="25">
        <f ca="1">INDEX(INDIRECT(CONCATENATE("'",RIGHT(F$1,2),"'!$F$8:$N$88")),MATCH($A5,INDIRECT(CONCATENATE("'",RIGHT(F$1,2),IF($B5="chemicals","'!$C$8:$C$88","'!$B$8:$B$88"))),0),MATCH('Other Industrial Processes'!$C5,INDIRECT(CONCATENATE("'",RIGHT(F$1,2),"'!$F$4:$N$4")),0))</f>
        <v>1982.2466207165</v>
      </c>
      <c r="G5" s="25">
        <f ca="1">INDEX(INDIRECT(CONCATENATE("'",RIGHT(G$1,2),"'!$F$8:$N$88")),MATCH($A5,INDIRECT(CONCATENATE("'",RIGHT(G$1,2),IF($B5="chemicals","'!$C$8:$C$88","'!$B$8:$B$88"))),0),MATCH('Other Industrial Processes'!$C5,INDIRECT(CONCATENATE("'",RIGHT(G$1,2),"'!$F$4:$N$4")),0))</f>
        <v>1651.9038675642701</v>
      </c>
      <c r="H5" s="25">
        <f ca="1">INDEX(INDIRECT(CONCATENATE("'",RIGHT(H$1,2),"'!$F$8:$N$88")),MATCH($A5,INDIRECT(CONCATENATE("'",RIGHT(H$1,2),IF($B5="chemicals","'!$C$8:$C$88","'!$B$8:$B$88"))),0),MATCH('Other Industrial Processes'!$C5,INDIRECT(CONCATENATE("'",RIGHT(H$1,2),"'!$F$4:$N$4")),0))</f>
        <v>1839.9182354336499</v>
      </c>
      <c r="I5" s="25">
        <f ca="1">INDEX(INDIRECT(CONCATENATE("'",RIGHT(I$1,2),"'!$F$8:$N$88")),MATCH($A5,INDIRECT(CONCATENATE("'",RIGHT(I$1,2),IF($B5="chemicals","'!$C$8:$C$88","'!$B$8:$B$88"))),0),MATCH('Other Industrial Processes'!$C5,INDIRECT(CONCATENATE("'",RIGHT(I$1,2),"'!$F$4:$N$4")),0))</f>
        <v>2012.29543418412</v>
      </c>
      <c r="J5" s="25">
        <f ca="1">INDEX(INDIRECT(CONCATENATE("'",RIGHT(J$1,2),"'!$F$8:$N$88")),MATCH($A5,INDIRECT(CONCATENATE("'",RIGHT(J$1,2),IF($B5="chemicals","'!$C$8:$C$88","'!$B$8:$B$88"))),0),MATCH('Other Industrial Processes'!$C5,INDIRECT(CONCATENATE("'",RIGHT(J$1,2),"'!$F$4:$N$4")),0))</f>
        <v>2250.7953942529798</v>
      </c>
      <c r="K5" s="25">
        <f ca="1">INDEX(INDIRECT(CONCATENATE("'",RIGHT(K$1,2),"'!$F$8:$N$88")),MATCH($A5,INDIRECT(CONCATENATE("'",RIGHT(K$1,2),IF($B5="chemicals","'!$C$8:$C$88","'!$B$8:$B$88"))),0),MATCH('Other Industrial Processes'!$C5,INDIRECT(CONCATENATE("'",RIGHT(K$1,2),"'!$F$4:$N$4")),0))</f>
        <v>2374.4985245625098</v>
      </c>
      <c r="L5" s="25">
        <f ca="1">INDEX(INDIRECT(CONCATENATE("'",RIGHT(L$1,2),"'!$F$8:$N$88")),MATCH($A5,INDIRECT(CONCATENATE("'",RIGHT(L$1,2),IF($B5="chemicals","'!$C$8:$C$88","'!$B$8:$B$88"))),0),MATCH('Other Industrial Processes'!$C5,INDIRECT(CONCATENATE("'",RIGHT(L$1,2),"'!$F$4:$N$4")),0))</f>
        <v>2340.2961357262502</v>
      </c>
      <c r="M5" s="25">
        <f ca="1">INDEX(INDIRECT(CONCATENATE("'",RIGHT(M$1,2),"'!$F$8:$N$88")),MATCH($A5,INDIRECT(CONCATENATE("'",RIGHT(M$1,2),IF($B5="chemicals","'!$C$8:$C$88","'!$B$8:$B$88"))),0),MATCH('Other Industrial Processes'!$C5,INDIRECT(CONCATENATE("'",RIGHT(M$1,2),"'!$F$4:$N$4")),0))</f>
        <v>2459.1634618397802</v>
      </c>
      <c r="N5" s="301">
        <f t="shared" ref="N5:AV5" ca="1" si="3">IFERROR(IF($M5-$D5&gt;=0,($M5-$D5)/COUNT($E$1:$M$1)+M5,$F66*$E66^N$1),0)</f>
        <v>2233.1112878555755</v>
      </c>
      <c r="O5" s="301">
        <f t="shared" ca="1" si="3"/>
        <v>2242.3194867148668</v>
      </c>
      <c r="P5" s="301">
        <f t="shared" ca="1" si="3"/>
        <v>2251.5656554356201</v>
      </c>
      <c r="Q5" s="301">
        <f t="shared" ca="1" si="3"/>
        <v>2260.8499505859568</v>
      </c>
      <c r="R5" s="301">
        <f t="shared" ca="1" si="3"/>
        <v>2270.1725293796021</v>
      </c>
      <c r="S5" s="301">
        <f t="shared" ca="1" si="3"/>
        <v>2279.5335496785506</v>
      </c>
      <c r="T5" s="301">
        <f t="shared" ca="1" si="3"/>
        <v>2288.933169995737</v>
      </c>
      <c r="U5" s="301">
        <f t="shared" ca="1" si="3"/>
        <v>2298.3715494977214</v>
      </c>
      <c r="V5" s="301">
        <f t="shared" ca="1" si="3"/>
        <v>2307.848848007387</v>
      </c>
      <c r="W5" s="301">
        <f t="shared" ca="1" si="3"/>
        <v>2317.3652260066419</v>
      </c>
      <c r="X5" s="301">
        <f t="shared" ca="1" si="3"/>
        <v>2326.9208446391399</v>
      </c>
      <c r="Y5" s="301">
        <f t="shared" ca="1" si="3"/>
        <v>2336.5158657130069</v>
      </c>
      <c r="Z5" s="301">
        <f t="shared" ca="1" si="3"/>
        <v>2346.1504517035842</v>
      </c>
      <c r="AA5" s="301">
        <f t="shared" ca="1" si="3"/>
        <v>2355.8247657561756</v>
      </c>
      <c r="AB5" s="301">
        <f t="shared" ca="1" si="3"/>
        <v>2365.5389716888121</v>
      </c>
      <c r="AC5" s="301">
        <f t="shared" ca="1" si="3"/>
        <v>2375.2932339950262</v>
      </c>
      <c r="AD5" s="301">
        <f t="shared" ca="1" si="3"/>
        <v>2385.0877178466385</v>
      </c>
      <c r="AE5" s="301">
        <f t="shared" ca="1" si="3"/>
        <v>2394.9225890965504</v>
      </c>
      <c r="AF5" s="301">
        <f t="shared" ca="1" si="3"/>
        <v>2404.7980142815545</v>
      </c>
      <c r="AG5" s="301">
        <f t="shared" ca="1" si="3"/>
        <v>2414.7141606251598</v>
      </c>
      <c r="AH5" s="301">
        <f t="shared" ca="1" si="3"/>
        <v>2424.6711960404141</v>
      </c>
      <c r="AI5" s="301">
        <f t="shared" ca="1" si="3"/>
        <v>2434.6692891327539</v>
      </c>
      <c r="AJ5" s="301">
        <f t="shared" ca="1" si="3"/>
        <v>2444.7086092028553</v>
      </c>
      <c r="AK5" s="301">
        <f t="shared" ca="1" si="3"/>
        <v>2454.789326249509</v>
      </c>
      <c r="AL5" s="301">
        <f t="shared" ca="1" si="3"/>
        <v>2464.9116109724878</v>
      </c>
      <c r="AM5" s="301">
        <f t="shared" ca="1" si="3"/>
        <v>2475.0756347754409</v>
      </c>
      <c r="AN5" s="301">
        <f t="shared" ca="1" si="3"/>
        <v>2485.2815697688025</v>
      </c>
      <c r="AO5" s="301">
        <f t="shared" ca="1" si="3"/>
        <v>2495.5295887726993</v>
      </c>
      <c r="AP5" s="301">
        <f t="shared" ca="1" si="3"/>
        <v>2505.8198653198797</v>
      </c>
      <c r="AQ5" s="301">
        <f t="shared" ca="1" si="3"/>
        <v>2516.1525736586495</v>
      </c>
      <c r="AR5" s="301">
        <f t="shared" ca="1" si="3"/>
        <v>2526.5278887558266</v>
      </c>
      <c r="AS5" s="301">
        <f t="shared" ca="1" si="3"/>
        <v>2536.945986299701</v>
      </c>
      <c r="AT5" s="301">
        <f t="shared" ca="1" si="3"/>
        <v>2547.4070427030119</v>
      </c>
      <c r="AU5" s="301">
        <f t="shared" ca="1" si="3"/>
        <v>2557.9112351059316</v>
      </c>
      <c r="AV5" s="301">
        <f t="shared" ca="1" si="3"/>
        <v>2568.4587413790687</v>
      </c>
    </row>
    <row r="6" spans="1:48" x14ac:dyDescent="0.25">
      <c r="A6" s="25" t="s">
        <v>777</v>
      </c>
      <c r="B6" t="s">
        <v>2</v>
      </c>
      <c r="C6" s="25" t="s">
        <v>159</v>
      </c>
      <c r="D6" s="25">
        <f ca="1">INDEX(INDIRECT(CONCATENATE("'",RIGHT(D$1,2),"'!$F$8:$N$88")),MATCH($A6,INDIRECT(CONCATENATE("'",RIGHT(D$1,2),IF($B6="chemicals","'!$C$8:$C$88","'!$B$8:$B$88"))),0),MATCH('Other Industrial Processes'!$C6,INDIRECT(CONCATENATE("'",RIGHT(D$1,2),"'!$F$4:$N$4")),0))</f>
        <v>9901.5583015854208</v>
      </c>
      <c r="E6" s="25">
        <f ca="1">INDEX(INDIRECT(CONCATENATE("'",RIGHT(E$1,2),"'!$F$8:$N$88")),MATCH($A6,INDIRECT(CONCATENATE("'",RIGHT(E$1,2),IF($B6="chemicals","'!$C$8:$C$88","'!$B$8:$B$88"))),0),MATCH('Other Industrial Processes'!$C6,INDIRECT(CONCATENATE("'",RIGHT(E$1,2),"'!$F$4:$N$4")),0))</f>
        <v>9985.3530042505899</v>
      </c>
      <c r="F6" s="25">
        <f ca="1">INDEX(INDIRECT(CONCATENATE("'",RIGHT(F$1,2),"'!$F$8:$N$88")),MATCH($A6,INDIRECT(CONCATENATE("'",RIGHT(F$1,2),IF($B6="chemicals","'!$C$8:$C$88","'!$B$8:$B$88"))),0),MATCH('Other Industrial Processes'!$C6,INDIRECT(CONCATENATE("'",RIGHT(F$1,2),"'!$F$4:$N$4")),0))</f>
        <v>9394.5148099248199</v>
      </c>
      <c r="G6" s="25">
        <f ca="1">INDEX(INDIRECT(CONCATENATE("'",RIGHT(G$1,2),"'!$F$8:$N$88")),MATCH($A6,INDIRECT(CONCATENATE("'",RIGHT(G$1,2),IF($B6="chemicals","'!$C$8:$C$88","'!$B$8:$B$88"))),0),MATCH('Other Industrial Processes'!$C6,INDIRECT(CONCATENATE("'",RIGHT(G$1,2),"'!$F$4:$N$4")),0))</f>
        <v>9645.5195049308804</v>
      </c>
      <c r="H6" s="25">
        <f ca="1">INDEX(INDIRECT(CONCATENATE("'",RIGHT(H$1,2),"'!$F$8:$N$88")),MATCH($A6,INDIRECT(CONCATENATE("'",RIGHT(H$1,2),IF($B6="chemicals","'!$C$8:$C$88","'!$B$8:$B$88"))),0),MATCH('Other Industrial Processes'!$C6,INDIRECT(CONCATENATE("'",RIGHT(H$1,2),"'!$F$4:$N$4")),0))</f>
        <v>10764.7105639969</v>
      </c>
      <c r="I6" s="25">
        <f ca="1">INDEX(INDIRECT(CONCATENATE("'",RIGHT(I$1,2),"'!$F$8:$N$88")),MATCH($A6,INDIRECT(CONCATENATE("'",RIGHT(I$1,2),IF($B6="chemicals","'!$C$8:$C$88","'!$B$8:$B$88"))),0),MATCH('Other Industrial Processes'!$C6,INDIRECT(CONCATENATE("'",RIGHT(I$1,2),"'!$F$4:$N$4")),0))</f>
        <v>12012.5704480963</v>
      </c>
      <c r="J6" s="25">
        <f ca="1">INDEX(INDIRECT(CONCATENATE("'",RIGHT(J$1,2),"'!$F$8:$N$88")),MATCH($A6,INDIRECT(CONCATENATE("'",RIGHT(J$1,2),IF($B6="chemicals","'!$C$8:$C$88","'!$B$8:$B$88"))),0),MATCH('Other Industrial Processes'!$C6,INDIRECT(CONCATENATE("'",RIGHT(J$1,2),"'!$F$4:$N$4")),0))</f>
        <v>15166.498790269499</v>
      </c>
      <c r="K6" s="25">
        <f ca="1">INDEX(INDIRECT(CONCATENATE("'",RIGHT(K$1,2),"'!$F$8:$N$88")),MATCH($A6,INDIRECT(CONCATENATE("'",RIGHT(K$1,2),IF($B6="chemicals","'!$C$8:$C$88","'!$B$8:$B$88"))),0),MATCH('Other Industrial Processes'!$C6,INDIRECT(CONCATENATE("'",RIGHT(K$1,2),"'!$F$4:$N$4")),0))</f>
        <v>14651.4209538672</v>
      </c>
      <c r="L6" s="25">
        <f ca="1">INDEX(INDIRECT(CONCATENATE("'",RIGHT(L$1,2),"'!$F$8:$N$88")),MATCH($A6,INDIRECT(CONCATENATE("'",RIGHT(L$1,2),IF($B6="chemicals","'!$C$8:$C$88","'!$B$8:$B$88"))),0),MATCH('Other Industrial Processes'!$C6,INDIRECT(CONCATENATE("'",RIGHT(L$1,2),"'!$F$4:$N$4")),0))</f>
        <v>11654.132507672601</v>
      </c>
      <c r="M6" s="25">
        <f ca="1">INDEX(INDIRECT(CONCATENATE("'",RIGHT(M$1,2),"'!$F$8:$N$88")),MATCH($A6,INDIRECT(CONCATENATE("'",RIGHT(M$1,2),IF($B6="chemicals","'!$C$8:$C$88","'!$B$8:$B$88"))),0),MATCH('Other Industrial Processes'!$C6,INDIRECT(CONCATENATE("'",RIGHT(M$1,2),"'!$F$4:$N$4")),0))</f>
        <v>10797.8200666047</v>
      </c>
      <c r="N6" s="301">
        <f t="shared" ref="N6:AV6" ca="1" si="4">IFERROR(IF($M6-$D6&gt;=0,($M6-$D6)/COUNT($E$1:$M$1)+M6,$F67*$E67^N$1),0)</f>
        <v>10897.404707162397</v>
      </c>
      <c r="O6" s="301">
        <f t="shared" ca="1" si="4"/>
        <v>10996.989347720095</v>
      </c>
      <c r="P6" s="301">
        <f t="shared" ca="1" si="4"/>
        <v>11096.573988277793</v>
      </c>
      <c r="Q6" s="301">
        <f t="shared" ca="1" si="4"/>
        <v>11196.15862883549</v>
      </c>
      <c r="R6" s="301">
        <f t="shared" ca="1" si="4"/>
        <v>11295.743269393188</v>
      </c>
      <c r="S6" s="301">
        <f t="shared" ca="1" si="4"/>
        <v>11395.327909950885</v>
      </c>
      <c r="T6" s="301">
        <f t="shared" ca="1" si="4"/>
        <v>11494.912550508583</v>
      </c>
      <c r="U6" s="301">
        <f t="shared" ca="1" si="4"/>
        <v>11594.497191066281</v>
      </c>
      <c r="V6" s="301">
        <f t="shared" ca="1" si="4"/>
        <v>11694.081831623978</v>
      </c>
      <c r="W6" s="301">
        <f t="shared" ca="1" si="4"/>
        <v>11793.666472181676</v>
      </c>
      <c r="X6" s="301">
        <f t="shared" ca="1" si="4"/>
        <v>11893.251112739374</v>
      </c>
      <c r="Y6" s="301">
        <f t="shared" ca="1" si="4"/>
        <v>11992.835753297071</v>
      </c>
      <c r="Z6" s="301">
        <f t="shared" ca="1" si="4"/>
        <v>12092.420393854769</v>
      </c>
      <c r="AA6" s="301">
        <f t="shared" ca="1" si="4"/>
        <v>12192.005034412467</v>
      </c>
      <c r="AB6" s="301">
        <f t="shared" ca="1" si="4"/>
        <v>12291.589674970164</v>
      </c>
      <c r="AC6" s="301">
        <f t="shared" ca="1" si="4"/>
        <v>12391.174315527862</v>
      </c>
      <c r="AD6" s="301">
        <f t="shared" ca="1" si="4"/>
        <v>12490.758956085559</v>
      </c>
      <c r="AE6" s="301">
        <f t="shared" ca="1" si="4"/>
        <v>12590.343596643257</v>
      </c>
      <c r="AF6" s="301">
        <f t="shared" ca="1" si="4"/>
        <v>12689.928237200955</v>
      </c>
      <c r="AG6" s="301">
        <f t="shared" ca="1" si="4"/>
        <v>12789.512877758652</v>
      </c>
      <c r="AH6" s="301">
        <f t="shared" ca="1" si="4"/>
        <v>12889.09751831635</v>
      </c>
      <c r="AI6" s="301">
        <f t="shared" ca="1" si="4"/>
        <v>12988.682158874048</v>
      </c>
      <c r="AJ6" s="301">
        <f t="shared" ca="1" si="4"/>
        <v>13088.266799431745</v>
      </c>
      <c r="AK6" s="301">
        <f t="shared" ca="1" si="4"/>
        <v>13187.851439989443</v>
      </c>
      <c r="AL6" s="301">
        <f t="shared" ca="1" si="4"/>
        <v>13287.436080547141</v>
      </c>
      <c r="AM6" s="301">
        <f t="shared" ca="1" si="4"/>
        <v>13387.020721104838</v>
      </c>
      <c r="AN6" s="301">
        <f t="shared" ca="1" si="4"/>
        <v>13486.605361662536</v>
      </c>
      <c r="AO6" s="301">
        <f t="shared" ca="1" si="4"/>
        <v>13586.190002220234</v>
      </c>
      <c r="AP6" s="301">
        <f t="shared" ca="1" si="4"/>
        <v>13685.774642777931</v>
      </c>
      <c r="AQ6" s="301">
        <f t="shared" ca="1" si="4"/>
        <v>13785.359283335629</v>
      </c>
      <c r="AR6" s="301">
        <f t="shared" ca="1" si="4"/>
        <v>13884.943923893326</v>
      </c>
      <c r="AS6" s="301">
        <f t="shared" ca="1" si="4"/>
        <v>13984.528564451024</v>
      </c>
      <c r="AT6" s="301">
        <f t="shared" ca="1" si="4"/>
        <v>14084.113205008722</v>
      </c>
      <c r="AU6" s="301">
        <f t="shared" ca="1" si="4"/>
        <v>14183.697845566419</v>
      </c>
      <c r="AV6" s="301">
        <f t="shared" ca="1" si="4"/>
        <v>14283.282486124117</v>
      </c>
    </row>
    <row r="7" spans="1:48" x14ac:dyDescent="0.25">
      <c r="A7" s="25" t="s">
        <v>779</v>
      </c>
      <c r="B7" t="s">
        <v>835</v>
      </c>
      <c r="C7" s="25" t="s">
        <v>159</v>
      </c>
      <c r="D7" s="25">
        <f ca="1">INDEX(INDIRECT(CONCATENATE("'",RIGHT(D$1,2),"'!$F$8:$N$88")),MATCH($A7,INDIRECT(CONCATENATE("'",RIGHT(D$1,2),IF($B7="chemicals","'!$C$8:$C$88","'!$B$8:$B$88"))),0),MATCH('Other Industrial Processes'!$C7,INDIRECT(CONCATENATE("'",RIGHT(D$1,2),"'!$F$4:$N$4")),0))</f>
        <v>0</v>
      </c>
      <c r="E7" s="25">
        <f ca="1">INDEX(INDIRECT(CONCATENATE("'",RIGHT(E$1,2),"'!$F$8:$N$88")),MATCH($A7,INDIRECT(CONCATENATE("'",RIGHT(E$1,2),IF($B7="chemicals","'!$C$8:$C$88","'!$B$8:$B$88"))),0),MATCH('Other Industrial Processes'!$C7,INDIRECT(CONCATENATE("'",RIGHT(E$1,2),"'!$F$4:$N$4")),0))</f>
        <v>0</v>
      </c>
      <c r="F7" s="25">
        <f ca="1">INDEX(INDIRECT(CONCATENATE("'",RIGHT(F$1,2),"'!$F$8:$N$88")),MATCH($A7,INDIRECT(CONCATENATE("'",RIGHT(F$1,2),IF($B7="chemicals","'!$C$8:$C$88","'!$B$8:$B$88"))),0),MATCH('Other Industrial Processes'!$C7,INDIRECT(CONCATENATE("'",RIGHT(F$1,2),"'!$F$4:$N$4")),0))</f>
        <v>1.2092039699149699E-5</v>
      </c>
      <c r="G7" s="25">
        <f ca="1">INDEX(INDIRECT(CONCATENATE("'",RIGHT(G$1,2),"'!$F$8:$N$88")),MATCH($A7,INDIRECT(CONCATENATE("'",RIGHT(G$1,2),IF($B7="chemicals","'!$C$8:$C$88","'!$B$8:$B$88"))),0),MATCH('Other Industrial Processes'!$C7,INDIRECT(CONCATENATE("'",RIGHT(G$1,2),"'!$F$4:$N$4")),0))</f>
        <v>0.43557985195232102</v>
      </c>
      <c r="H7" s="25">
        <f ca="1">INDEX(INDIRECT(CONCATENATE("'",RIGHT(H$1,2),"'!$F$8:$N$88")),MATCH($A7,INDIRECT(CONCATENATE("'",RIGHT(H$1,2),IF($B7="chemicals","'!$C$8:$C$88","'!$B$8:$B$88"))),0),MATCH('Other Industrial Processes'!$C7,INDIRECT(CONCATENATE("'",RIGHT(H$1,2),"'!$F$4:$N$4")),0))</f>
        <v>3.0184356170623698</v>
      </c>
      <c r="I7" s="25">
        <f ca="1">INDEX(INDIRECT(CONCATENATE("'",RIGHT(I$1,2),"'!$F$8:$N$88")),MATCH($A7,INDIRECT(CONCATENATE("'",RIGHT(I$1,2),IF($B7="chemicals","'!$C$8:$C$88","'!$B$8:$B$88"))),0),MATCH('Other Industrial Processes'!$C7,INDIRECT(CONCATENATE("'",RIGHT(I$1,2),"'!$F$4:$N$4")),0))</f>
        <v>7.9434312381582401</v>
      </c>
      <c r="J7" s="25">
        <f ca="1">INDEX(INDIRECT(CONCATENATE("'",RIGHT(J$1,2),"'!$F$8:$N$88")),MATCH($A7,INDIRECT(CONCATENATE("'",RIGHT(J$1,2),IF($B7="chemicals","'!$C$8:$C$88","'!$B$8:$B$88"))),0),MATCH('Other Industrial Processes'!$C7,INDIRECT(CONCATENATE("'",RIGHT(J$1,2),"'!$F$4:$N$4")),0))</f>
        <v>13.2189631339751</v>
      </c>
      <c r="K7" s="25">
        <f ca="1">INDEX(INDIRECT(CONCATENATE("'",RIGHT(K$1,2),"'!$F$8:$N$88")),MATCH($A7,INDIRECT(CONCATENATE("'",RIGHT(K$1,2),IF($B7="chemicals","'!$C$8:$C$88","'!$B$8:$B$88"))),0),MATCH('Other Industrial Processes'!$C7,INDIRECT(CONCATENATE("'",RIGHT(K$1,2),"'!$F$4:$N$4")),0))</f>
        <v>16.922704482950699</v>
      </c>
      <c r="L7" s="25">
        <f ca="1">INDEX(INDIRECT(CONCATENATE("'",RIGHT(L$1,2),"'!$F$8:$N$88")),MATCH($A7,INDIRECT(CONCATENATE("'",RIGHT(L$1,2),IF($B7="chemicals","'!$C$8:$C$88","'!$B$8:$B$88"))),0),MATCH('Other Industrial Processes'!$C7,INDIRECT(CONCATENATE("'",RIGHT(L$1,2),"'!$F$4:$N$4")),0))</f>
        <v>20.916656315935501</v>
      </c>
      <c r="M7" s="25">
        <f ca="1">INDEX(INDIRECT(CONCATENATE("'",RIGHT(M$1,2),"'!$F$8:$N$88")),MATCH($A7,INDIRECT(CONCATENATE("'",RIGHT(M$1,2),IF($B7="chemicals","'!$C$8:$C$88","'!$B$8:$B$88"))),0),MATCH('Other Industrial Processes'!$C7,INDIRECT(CONCATENATE("'",RIGHT(M$1,2),"'!$F$4:$N$4")),0))</f>
        <v>24.687144672460501</v>
      </c>
      <c r="N7" s="301">
        <f t="shared" ref="N7:AV7" ca="1" si="5">IFERROR(IF($M7-$D7&gt;=0,($M7-$D7)/COUNT($E$1:$M$1)+M7,$F68*$E68^N$1),0)</f>
        <v>27.430160747178334</v>
      </c>
      <c r="O7" s="301">
        <f t="shared" ca="1" si="5"/>
        <v>30.173176821896167</v>
      </c>
      <c r="P7" s="301">
        <f t="shared" ca="1" si="5"/>
        <v>32.916192896614</v>
      </c>
      <c r="Q7" s="301">
        <f t="shared" ca="1" si="5"/>
        <v>35.659208971331836</v>
      </c>
      <c r="R7" s="301">
        <f t="shared" ca="1" si="5"/>
        <v>38.402225046049672</v>
      </c>
      <c r="S7" s="301">
        <f t="shared" ca="1" si="5"/>
        <v>41.145241120767508</v>
      </c>
      <c r="T7" s="301">
        <f t="shared" ca="1" si="5"/>
        <v>43.888257195485345</v>
      </c>
      <c r="U7" s="301">
        <f t="shared" ca="1" si="5"/>
        <v>46.631273270203181</v>
      </c>
      <c r="V7" s="301">
        <f t="shared" ca="1" si="5"/>
        <v>49.374289344921017</v>
      </c>
      <c r="W7" s="301">
        <f t="shared" ca="1" si="5"/>
        <v>52.117305419638853</v>
      </c>
      <c r="X7" s="301">
        <f t="shared" ca="1" si="5"/>
        <v>54.86032149435669</v>
      </c>
      <c r="Y7" s="301">
        <f t="shared" ca="1" si="5"/>
        <v>57.603337569074526</v>
      </c>
      <c r="Z7" s="301">
        <f t="shared" ca="1" si="5"/>
        <v>60.346353643792362</v>
      </c>
      <c r="AA7" s="301">
        <f t="shared" ca="1" si="5"/>
        <v>63.089369718510198</v>
      </c>
      <c r="AB7" s="301">
        <f t="shared" ca="1" si="5"/>
        <v>65.832385793228028</v>
      </c>
      <c r="AC7" s="301">
        <f t="shared" ca="1" si="5"/>
        <v>68.575401867945857</v>
      </c>
      <c r="AD7" s="301">
        <f t="shared" ca="1" si="5"/>
        <v>71.318417942663686</v>
      </c>
      <c r="AE7" s="301">
        <f t="shared" ca="1" si="5"/>
        <v>74.061434017381515</v>
      </c>
      <c r="AF7" s="301">
        <f t="shared" ca="1" si="5"/>
        <v>76.804450092099344</v>
      </c>
      <c r="AG7" s="301">
        <f t="shared" ca="1" si="5"/>
        <v>79.547466166817173</v>
      </c>
      <c r="AH7" s="301">
        <f t="shared" ca="1" si="5"/>
        <v>82.290482241535003</v>
      </c>
      <c r="AI7" s="301">
        <f t="shared" ca="1" si="5"/>
        <v>85.033498316252832</v>
      </c>
      <c r="AJ7" s="301">
        <f t="shared" ca="1" si="5"/>
        <v>87.776514390970661</v>
      </c>
      <c r="AK7" s="301">
        <f t="shared" ca="1" si="5"/>
        <v>90.51953046568849</v>
      </c>
      <c r="AL7" s="301">
        <f t="shared" ca="1" si="5"/>
        <v>93.262546540406319</v>
      </c>
      <c r="AM7" s="301">
        <f t="shared" ca="1" si="5"/>
        <v>96.005562615124148</v>
      </c>
      <c r="AN7" s="301">
        <f t="shared" ca="1" si="5"/>
        <v>98.748578689841978</v>
      </c>
      <c r="AO7" s="301">
        <f t="shared" ca="1" si="5"/>
        <v>101.49159476455981</v>
      </c>
      <c r="AP7" s="301">
        <f t="shared" ca="1" si="5"/>
        <v>104.23461083927764</v>
      </c>
      <c r="AQ7" s="301">
        <f t="shared" ca="1" si="5"/>
        <v>106.97762691399546</v>
      </c>
      <c r="AR7" s="301">
        <f t="shared" ca="1" si="5"/>
        <v>109.72064298871329</v>
      </c>
      <c r="AS7" s="301">
        <f t="shared" ca="1" si="5"/>
        <v>112.46365906343112</v>
      </c>
      <c r="AT7" s="301">
        <f t="shared" ca="1" si="5"/>
        <v>115.20667513814895</v>
      </c>
      <c r="AU7" s="301">
        <f t="shared" ca="1" si="5"/>
        <v>117.94969121286678</v>
      </c>
      <c r="AV7" s="301">
        <f t="shared" ca="1" si="5"/>
        <v>120.69270728758461</v>
      </c>
    </row>
    <row r="8" spans="1:48" x14ac:dyDescent="0.25">
      <c r="A8" s="25" t="s">
        <v>193</v>
      </c>
      <c r="B8" t="s">
        <v>26</v>
      </c>
      <c r="C8" s="25" t="s">
        <v>159</v>
      </c>
      <c r="D8" s="25">
        <f ca="1">INDEX(INDIRECT(CONCATENATE("'",RIGHT(D$1,2),"'!$F$8:$N$88")),MATCH($A8,INDIRECT(CONCATENATE("'",RIGHT(D$1,2),IF($B8="chemicals","'!$C$8:$C$88","'!$B$8:$B$88"))),0),MATCH('Other Industrial Processes'!$C8,INDIRECT(CONCATENATE("'",RIGHT(D$1,2),"'!$F$4:$N$4")),0))</f>
        <v>0</v>
      </c>
      <c r="E8" s="25">
        <f ca="1">INDEX(INDIRECT(CONCATENATE("'",RIGHT(E$1,2),"'!$F$8:$N$88")),MATCH($A8,INDIRECT(CONCATENATE("'",RIGHT(E$1,2),IF($B8="chemicals","'!$C$8:$C$88","'!$B$8:$B$88"))),0),MATCH('Other Industrial Processes'!$C8,INDIRECT(CONCATENATE("'",RIGHT(E$1,2),"'!$F$4:$N$4")),0))</f>
        <v>0</v>
      </c>
      <c r="F8" s="25">
        <f ca="1">INDEX(INDIRECT(CONCATENATE("'",RIGHT(F$1,2),"'!$F$8:$N$88")),MATCH($A8,INDIRECT(CONCATENATE("'",RIGHT(F$1,2),IF($B8="chemicals","'!$C$8:$C$88","'!$B$8:$B$88"))),0),MATCH('Other Industrial Processes'!$C8,INDIRECT(CONCATENATE("'",RIGHT(F$1,2),"'!$F$4:$N$4")),0))</f>
        <v>0</v>
      </c>
      <c r="G8" s="25">
        <f ca="1">INDEX(INDIRECT(CONCATENATE("'",RIGHT(G$1,2),"'!$F$8:$N$88")),MATCH($A8,INDIRECT(CONCATENATE("'",RIGHT(G$1,2),IF($B8="chemicals","'!$C$8:$C$88","'!$B$8:$B$88"))),0),MATCH('Other Industrial Processes'!$C8,INDIRECT(CONCATENATE("'",RIGHT(G$1,2),"'!$F$4:$N$4")),0))</f>
        <v>0</v>
      </c>
      <c r="H8" s="25">
        <f ca="1">INDEX(INDIRECT(CONCATENATE("'",RIGHT(H$1,2),"'!$F$8:$N$88")),MATCH($A8,INDIRECT(CONCATENATE("'",RIGHT(H$1,2),IF($B8="chemicals","'!$C$8:$C$88","'!$B$8:$B$88"))),0),MATCH('Other Industrial Processes'!$C8,INDIRECT(CONCATENATE("'",RIGHT(H$1,2),"'!$F$4:$N$4")),0))</f>
        <v>0</v>
      </c>
      <c r="I8" s="25">
        <f ca="1">INDEX(INDIRECT(CONCATENATE("'",RIGHT(I$1,2),"'!$F$8:$N$88")),MATCH($A8,INDIRECT(CONCATENATE("'",RIGHT(I$1,2),IF($B8="chemicals","'!$C$8:$C$88","'!$B$8:$B$88"))),0),MATCH('Other Industrial Processes'!$C8,INDIRECT(CONCATENATE("'",RIGHT(I$1,2),"'!$F$4:$N$4")),0))</f>
        <v>0</v>
      </c>
      <c r="J8" s="25">
        <f ca="1">INDEX(INDIRECT(CONCATENATE("'",RIGHT(J$1,2),"'!$F$8:$N$88")),MATCH($A8,INDIRECT(CONCATENATE("'",RIGHT(J$1,2),IF($B8="chemicals","'!$C$8:$C$88","'!$B$8:$B$88"))),0),MATCH('Other Industrial Processes'!$C8,INDIRECT(CONCATENATE("'",RIGHT(J$1,2),"'!$F$4:$N$4")),0))</f>
        <v>0</v>
      </c>
      <c r="K8" s="25">
        <f ca="1">INDEX(INDIRECT(CONCATENATE("'",RIGHT(K$1,2),"'!$F$8:$N$88")),MATCH($A8,INDIRECT(CONCATENATE("'",RIGHT(K$1,2),IF($B8="chemicals","'!$C$8:$C$88","'!$B$8:$B$88"))),0),MATCH('Other Industrial Processes'!$C8,INDIRECT(CONCATENATE("'",RIGHT(K$1,2),"'!$F$4:$N$4")),0))</f>
        <v>0</v>
      </c>
      <c r="L8" s="25">
        <f ca="1">INDEX(INDIRECT(CONCATENATE("'",RIGHT(L$1,2),"'!$F$8:$N$88")),MATCH($A8,INDIRECT(CONCATENATE("'",RIGHT(L$1,2),IF($B8="chemicals","'!$C$8:$C$88","'!$B$8:$B$88"))),0),MATCH('Other Industrial Processes'!$C8,INDIRECT(CONCATENATE("'",RIGHT(L$1,2),"'!$F$4:$N$4")),0))</f>
        <v>0</v>
      </c>
      <c r="M8" s="25">
        <f ca="1">INDEX(INDIRECT(CONCATENATE("'",RIGHT(M$1,2),"'!$F$8:$N$88")),MATCH($A8,INDIRECT(CONCATENATE("'",RIGHT(M$1,2),IF($B8="chemicals","'!$C$8:$C$88","'!$B$8:$B$88"))),0),MATCH('Other Industrial Processes'!$C8,INDIRECT(CONCATENATE("'",RIGHT(M$1,2),"'!$F$4:$N$4")),0))</f>
        <v>0</v>
      </c>
      <c r="N8" s="301">
        <f t="shared" ref="N8:AV8" ca="1" si="6">IFERROR(IF($M8-$D8&gt;=0,($M8-$D8)/COUNT($E$1:$M$1)+M8,$F69*$E69^N$1),0)</f>
        <v>0</v>
      </c>
      <c r="O8" s="301">
        <f t="shared" ca="1" si="6"/>
        <v>0</v>
      </c>
      <c r="P8" s="301">
        <f t="shared" ca="1" si="6"/>
        <v>0</v>
      </c>
      <c r="Q8" s="301">
        <f t="shared" ca="1" si="6"/>
        <v>0</v>
      </c>
      <c r="R8" s="301">
        <f t="shared" ca="1" si="6"/>
        <v>0</v>
      </c>
      <c r="S8" s="301">
        <f t="shared" ca="1" si="6"/>
        <v>0</v>
      </c>
      <c r="T8" s="301">
        <f t="shared" ca="1" si="6"/>
        <v>0</v>
      </c>
      <c r="U8" s="301">
        <f t="shared" ca="1" si="6"/>
        <v>0</v>
      </c>
      <c r="V8" s="301">
        <f t="shared" ca="1" si="6"/>
        <v>0</v>
      </c>
      <c r="W8" s="301">
        <f t="shared" ca="1" si="6"/>
        <v>0</v>
      </c>
      <c r="X8" s="301">
        <f t="shared" ca="1" si="6"/>
        <v>0</v>
      </c>
      <c r="Y8" s="301">
        <f t="shared" ca="1" si="6"/>
        <v>0</v>
      </c>
      <c r="Z8" s="301">
        <f t="shared" ca="1" si="6"/>
        <v>0</v>
      </c>
      <c r="AA8" s="301">
        <f t="shared" ca="1" si="6"/>
        <v>0</v>
      </c>
      <c r="AB8" s="301">
        <f t="shared" ca="1" si="6"/>
        <v>0</v>
      </c>
      <c r="AC8" s="301">
        <f t="shared" ca="1" si="6"/>
        <v>0</v>
      </c>
      <c r="AD8" s="301">
        <f t="shared" ca="1" si="6"/>
        <v>0</v>
      </c>
      <c r="AE8" s="301">
        <f t="shared" ca="1" si="6"/>
        <v>0</v>
      </c>
      <c r="AF8" s="301">
        <f t="shared" ca="1" si="6"/>
        <v>0</v>
      </c>
      <c r="AG8" s="301">
        <f t="shared" ca="1" si="6"/>
        <v>0</v>
      </c>
      <c r="AH8" s="301">
        <f t="shared" ca="1" si="6"/>
        <v>0</v>
      </c>
      <c r="AI8" s="301">
        <f t="shared" ca="1" si="6"/>
        <v>0</v>
      </c>
      <c r="AJ8" s="301">
        <f t="shared" ca="1" si="6"/>
        <v>0</v>
      </c>
      <c r="AK8" s="301">
        <f t="shared" ca="1" si="6"/>
        <v>0</v>
      </c>
      <c r="AL8" s="301">
        <f t="shared" ca="1" si="6"/>
        <v>0</v>
      </c>
      <c r="AM8" s="301">
        <f t="shared" ca="1" si="6"/>
        <v>0</v>
      </c>
      <c r="AN8" s="301">
        <f t="shared" ca="1" si="6"/>
        <v>0</v>
      </c>
      <c r="AO8" s="301">
        <f t="shared" ca="1" si="6"/>
        <v>0</v>
      </c>
      <c r="AP8" s="301">
        <f t="shared" ca="1" si="6"/>
        <v>0</v>
      </c>
      <c r="AQ8" s="301">
        <f t="shared" ca="1" si="6"/>
        <v>0</v>
      </c>
      <c r="AR8" s="301">
        <f t="shared" ca="1" si="6"/>
        <v>0</v>
      </c>
      <c r="AS8" s="301">
        <f t="shared" ca="1" si="6"/>
        <v>0</v>
      </c>
      <c r="AT8" s="301">
        <f t="shared" ca="1" si="6"/>
        <v>0</v>
      </c>
      <c r="AU8" s="301">
        <f t="shared" ca="1" si="6"/>
        <v>0</v>
      </c>
      <c r="AV8" s="301">
        <f t="shared" ca="1" si="6"/>
        <v>0</v>
      </c>
    </row>
    <row r="9" spans="1:48" x14ac:dyDescent="0.25">
      <c r="A9" s="25" t="s">
        <v>784</v>
      </c>
      <c r="B9" t="s">
        <v>26</v>
      </c>
      <c r="C9" s="25" t="s">
        <v>159</v>
      </c>
      <c r="D9" s="25">
        <f ca="1">INDEX(INDIRECT(CONCATENATE("'",RIGHT(D$1,2),"'!$F$8:$N$88")),MATCH($A9,INDIRECT(CONCATENATE("'",RIGHT(D$1,2),IF($B9="chemicals","'!$C$8:$C$88","'!$B$8:$B$88"))),0),MATCH('Other Industrial Processes'!$C9,INDIRECT(CONCATENATE("'",RIGHT(D$1,2),"'!$F$4:$N$4")),0))</f>
        <v>1466.8219426666701</v>
      </c>
      <c r="E9" s="25">
        <f ca="1">INDEX(INDIRECT(CONCATENATE("'",RIGHT(E$1,2),"'!$F$8:$N$88")),MATCH($A9,INDIRECT(CONCATENATE("'",RIGHT(E$1,2),IF($B9="chemicals","'!$C$8:$C$88","'!$B$8:$B$88"))),0),MATCH('Other Industrial Processes'!$C9,INDIRECT(CONCATENATE("'",RIGHT(E$1,2),"'!$F$4:$N$4")),0))</f>
        <v>1744.4915957333301</v>
      </c>
      <c r="F9" s="25">
        <f ca="1">INDEX(INDIRECT(CONCATENATE("'",RIGHT(F$1,2),"'!$F$8:$N$88")),MATCH($A9,INDIRECT(CONCATENATE("'",RIGHT(F$1,2),IF($B9="chemicals","'!$C$8:$C$88","'!$B$8:$B$88"))),0),MATCH('Other Industrial Processes'!$C9,INDIRECT(CONCATENATE("'",RIGHT(F$1,2),"'!$F$4:$N$4")),0))</f>
        <v>1722.1991863999999</v>
      </c>
      <c r="G9" s="25">
        <f ca="1">INDEX(INDIRECT(CONCATENATE("'",RIGHT(G$1,2),"'!$F$8:$N$88")),MATCH($A9,INDIRECT(CONCATENATE("'",RIGHT(G$1,2),IF($B9="chemicals","'!$C$8:$C$88","'!$B$8:$B$88"))),0),MATCH('Other Industrial Processes'!$C9,INDIRECT(CONCATENATE("'",RIGHT(G$1,2),"'!$F$4:$N$4")),0))</f>
        <v>1840.0936546666701</v>
      </c>
      <c r="H9" s="25">
        <f ca="1">INDEX(INDIRECT(CONCATENATE("'",RIGHT(H$1,2),"'!$F$8:$N$88")),MATCH($A9,INDIRECT(CONCATENATE("'",RIGHT(H$1,2),IF($B9="chemicals","'!$C$8:$C$88","'!$B$8:$B$88"))),0),MATCH('Other Industrial Processes'!$C9,INDIRECT(CONCATENATE("'",RIGHT(H$1,2),"'!$F$4:$N$4")),0))</f>
        <v>1787.5197648000001</v>
      </c>
      <c r="I9" s="25">
        <f ca="1">INDEX(INDIRECT(CONCATENATE("'",RIGHT(I$1,2),"'!$F$8:$N$88")),MATCH($A9,INDIRECT(CONCATENATE("'",RIGHT(I$1,2),IF($B9="chemicals","'!$C$8:$C$88","'!$B$8:$B$88"))),0),MATCH('Other Industrial Processes'!$C9,INDIRECT(CONCATENATE("'",RIGHT(I$1,2),"'!$F$4:$N$4")),0))</f>
        <v>2004.4332205333301</v>
      </c>
      <c r="J9" s="25">
        <f ca="1">INDEX(INDIRECT(CONCATENATE("'",RIGHT(J$1,2),"'!$F$8:$N$88")),MATCH($A9,INDIRECT(CONCATENATE("'",RIGHT(J$1,2),IF($B9="chemicals","'!$C$8:$C$88","'!$B$8:$B$88"))),0),MATCH('Other Industrial Processes'!$C9,INDIRECT(CONCATENATE("'",RIGHT(J$1,2),"'!$F$4:$N$4")),0))</f>
        <v>2332.6338728000001</v>
      </c>
      <c r="K9" s="25">
        <f ca="1">INDEX(INDIRECT(CONCATENATE("'",RIGHT(K$1,2),"'!$F$8:$N$88")),MATCH($A9,INDIRECT(CONCATENATE("'",RIGHT(K$1,2),IF($B9="chemicals","'!$C$8:$C$88","'!$B$8:$B$88"))),0),MATCH('Other Industrial Processes'!$C9,INDIRECT(CONCATENATE("'",RIGHT(K$1,2),"'!$F$4:$N$4")),0))</f>
        <v>2675.6810666666702</v>
      </c>
      <c r="L9" s="25">
        <f ca="1">INDEX(INDIRECT(CONCATENATE("'",RIGHT(L$1,2),"'!$F$8:$N$88")),MATCH($A9,INDIRECT(CONCATENATE("'",RIGHT(L$1,2),IF($B9="chemicals","'!$C$8:$C$88","'!$B$8:$B$88"))),0),MATCH('Other Industrial Processes'!$C9,INDIRECT(CONCATENATE("'",RIGHT(L$1,2),"'!$F$4:$N$4")),0))</f>
        <v>2499.5447546666701</v>
      </c>
      <c r="M9" s="25">
        <f ca="1">INDEX(INDIRECT(CONCATENATE("'",RIGHT(M$1,2),"'!$F$8:$N$88")),MATCH($A9,INDIRECT(CONCATENATE("'",RIGHT(M$1,2),IF($B9="chemicals","'!$C$8:$C$88","'!$B$8:$B$88"))),0),MATCH('Other Industrial Processes'!$C9,INDIRECT(CONCATENATE("'",RIGHT(M$1,2),"'!$F$4:$N$4")),0))</f>
        <v>2676.35142133407</v>
      </c>
      <c r="N9" s="301">
        <f t="shared" ref="N9:AV9" ca="1" si="7">IFERROR(IF($M9-$D9&gt;=0,($M9-$D9)/COUNT($E$1:$M$1)+M9,$F73*$E73^N$1),0)</f>
        <v>2810.7435856304478</v>
      </c>
      <c r="O9" s="301">
        <f t="shared" ca="1" si="7"/>
        <v>2945.1357499268256</v>
      </c>
      <c r="P9" s="301">
        <f t="shared" ca="1" si="7"/>
        <v>3079.5279142232034</v>
      </c>
      <c r="Q9" s="301">
        <f t="shared" ca="1" si="7"/>
        <v>3213.9200785195812</v>
      </c>
      <c r="R9" s="301">
        <f t="shared" ca="1" si="7"/>
        <v>3348.3122428159591</v>
      </c>
      <c r="S9" s="301">
        <f t="shared" ca="1" si="7"/>
        <v>3482.7044071123369</v>
      </c>
      <c r="T9" s="301">
        <f t="shared" ca="1" si="7"/>
        <v>3617.0965714087147</v>
      </c>
      <c r="U9" s="301">
        <f t="shared" ca="1" si="7"/>
        <v>3751.4887357050925</v>
      </c>
      <c r="V9" s="301">
        <f t="shared" ca="1" si="7"/>
        <v>3885.8809000014703</v>
      </c>
      <c r="W9" s="301">
        <f t="shared" ca="1" si="7"/>
        <v>4020.2730642978481</v>
      </c>
      <c r="X9" s="301">
        <f t="shared" ca="1" si="7"/>
        <v>4154.6652285942255</v>
      </c>
      <c r="Y9" s="301">
        <f t="shared" ca="1" si="7"/>
        <v>4289.0573928906033</v>
      </c>
      <c r="Z9" s="301">
        <f t="shared" ca="1" si="7"/>
        <v>4423.4495571869811</v>
      </c>
      <c r="AA9" s="301">
        <f t="shared" ca="1" si="7"/>
        <v>4557.8417214833589</v>
      </c>
      <c r="AB9" s="301">
        <f t="shared" ca="1" si="7"/>
        <v>4692.2338857797367</v>
      </c>
      <c r="AC9" s="301">
        <f t="shared" ca="1" si="7"/>
        <v>4826.6260500761146</v>
      </c>
      <c r="AD9" s="301">
        <f t="shared" ca="1" si="7"/>
        <v>4961.0182143724924</v>
      </c>
      <c r="AE9" s="301">
        <f t="shared" ca="1" si="7"/>
        <v>5095.4103786688702</v>
      </c>
      <c r="AF9" s="301">
        <f t="shared" ca="1" si="7"/>
        <v>5229.802542965248</v>
      </c>
      <c r="AG9" s="301">
        <f t="shared" ca="1" si="7"/>
        <v>5364.1947072616258</v>
      </c>
      <c r="AH9" s="301">
        <f t="shared" ca="1" si="7"/>
        <v>5498.5868715580036</v>
      </c>
      <c r="AI9" s="301">
        <f t="shared" ca="1" si="7"/>
        <v>5632.9790358543814</v>
      </c>
      <c r="AJ9" s="301">
        <f t="shared" ca="1" si="7"/>
        <v>5767.3712001507593</v>
      </c>
      <c r="AK9" s="301">
        <f t="shared" ca="1" si="7"/>
        <v>5901.7633644471371</v>
      </c>
      <c r="AL9" s="301">
        <f t="shared" ca="1" si="7"/>
        <v>6036.1555287435149</v>
      </c>
      <c r="AM9" s="301">
        <f t="shared" ca="1" si="7"/>
        <v>6170.5476930398927</v>
      </c>
      <c r="AN9" s="301">
        <f t="shared" ca="1" si="7"/>
        <v>6304.9398573362705</v>
      </c>
      <c r="AO9" s="301">
        <f t="shared" ca="1" si="7"/>
        <v>6439.3320216326483</v>
      </c>
      <c r="AP9" s="301">
        <f t="shared" ca="1" si="7"/>
        <v>6573.7241859290261</v>
      </c>
      <c r="AQ9" s="301">
        <f t="shared" ca="1" si="7"/>
        <v>6708.1163502254039</v>
      </c>
      <c r="AR9" s="301">
        <f t="shared" ca="1" si="7"/>
        <v>6842.5085145217818</v>
      </c>
      <c r="AS9" s="301">
        <f t="shared" ca="1" si="7"/>
        <v>6976.9006788181596</v>
      </c>
      <c r="AT9" s="301">
        <f t="shared" ca="1" si="7"/>
        <v>7111.2928431145374</v>
      </c>
      <c r="AU9" s="301">
        <f t="shared" ca="1" si="7"/>
        <v>7245.6850074109152</v>
      </c>
      <c r="AV9" s="301">
        <f t="shared" ca="1" si="7"/>
        <v>7380.077171707293</v>
      </c>
    </row>
    <row r="10" spans="1:48" x14ac:dyDescent="0.25">
      <c r="A10" s="25" t="s">
        <v>192</v>
      </c>
      <c r="B10" t="s">
        <v>4</v>
      </c>
      <c r="C10" s="25" t="s">
        <v>168</v>
      </c>
      <c r="D10" s="25">
        <f ca="1">INDEX(INDIRECT(CONCATENATE("'",RIGHT(D$1,2),"'!$F$8:$N$88")),MATCH($A10,INDIRECT(CONCATENATE("'",RIGHT(D$1,2),IF($B10="chemicals","'!$C$8:$C$88","'!$B$8:$B$88"))),0),MATCH('Other Industrial Processes'!$C10,INDIRECT(CONCATENATE("'",RIGHT(D$1,2),"'!$F$4:$N$4")),0))</f>
        <v>0</v>
      </c>
      <c r="E10" s="25">
        <f ca="1">INDEX(INDIRECT(CONCATENATE("'",RIGHT(E$1,2),"'!$F$8:$N$88")),MATCH($A10,INDIRECT(CONCATENATE("'",RIGHT(E$1,2),IF($B10="chemicals","'!$C$8:$C$88","'!$B$8:$B$88"))),0),MATCH('Other Industrial Processes'!$C10,INDIRECT(CONCATENATE("'",RIGHT(E$1,2),"'!$F$4:$N$4")),0))</f>
        <v>0</v>
      </c>
      <c r="F10" s="25">
        <f ca="1">INDEX(INDIRECT(CONCATENATE("'",RIGHT(F$1,2),"'!$F$8:$N$88")),MATCH($A10,INDIRECT(CONCATENATE("'",RIGHT(F$1,2),IF($B10="chemicals","'!$C$8:$C$88","'!$B$8:$B$88"))),0),MATCH('Other Industrial Processes'!$C10,INDIRECT(CONCATENATE("'",RIGHT(F$1,2),"'!$F$4:$N$4")),0))</f>
        <v>0</v>
      </c>
      <c r="G10" s="25">
        <f ca="1">INDEX(INDIRECT(CONCATENATE("'",RIGHT(G$1,2),"'!$F$8:$N$88")),MATCH($A10,INDIRECT(CONCATENATE("'",RIGHT(G$1,2),IF($B10="chemicals","'!$C$8:$C$88","'!$B$8:$B$88"))),0),MATCH('Other Industrial Processes'!$C10,INDIRECT(CONCATENATE("'",RIGHT(G$1,2),"'!$F$4:$N$4")),0))</f>
        <v>0</v>
      </c>
      <c r="H10" s="25">
        <f ca="1">INDEX(INDIRECT(CONCATENATE("'",RIGHT(H$1,2),"'!$F$8:$N$88")),MATCH($A10,INDIRECT(CONCATENATE("'",RIGHT(H$1,2),IF($B10="chemicals","'!$C$8:$C$88","'!$B$8:$B$88"))),0),MATCH('Other Industrial Processes'!$C10,INDIRECT(CONCATENATE("'",RIGHT(H$1,2),"'!$F$4:$N$4")),0))</f>
        <v>0</v>
      </c>
      <c r="I10" s="25">
        <f ca="1">INDEX(INDIRECT(CONCATENATE("'",RIGHT(I$1,2),"'!$F$8:$N$88")),MATCH($A10,INDIRECT(CONCATENATE("'",RIGHT(I$1,2),IF($B10="chemicals","'!$C$8:$C$88","'!$B$8:$B$88"))),0),MATCH('Other Industrial Processes'!$C10,INDIRECT(CONCATENATE("'",RIGHT(I$1,2),"'!$F$4:$N$4")),0))</f>
        <v>0</v>
      </c>
      <c r="J10" s="25">
        <f ca="1">INDEX(INDIRECT(CONCATENATE("'",RIGHT(J$1,2),"'!$F$8:$N$88")),MATCH($A10,INDIRECT(CONCATENATE("'",RIGHT(J$1,2),IF($B10="chemicals","'!$C$8:$C$88","'!$B$8:$B$88"))),0),MATCH('Other Industrial Processes'!$C10,INDIRECT(CONCATENATE("'",RIGHT(J$1,2),"'!$F$4:$N$4")),0))</f>
        <v>0</v>
      </c>
      <c r="K10" s="25">
        <f ca="1">INDEX(INDIRECT(CONCATENATE("'",RIGHT(K$1,2),"'!$F$8:$N$88")),MATCH($A10,INDIRECT(CONCATENATE("'",RIGHT(K$1,2),IF($B10="chemicals","'!$C$8:$C$88","'!$B$8:$B$88"))),0),MATCH('Other Industrial Processes'!$C10,INDIRECT(CONCATENATE("'",RIGHT(K$1,2),"'!$F$4:$N$4")),0))</f>
        <v>0</v>
      </c>
      <c r="L10" s="25">
        <f ca="1">INDEX(INDIRECT(CONCATENATE("'",RIGHT(L$1,2),"'!$F$8:$N$88")),MATCH($A10,INDIRECT(CONCATENATE("'",RIGHT(L$1,2),IF($B10="chemicals","'!$C$8:$C$88","'!$B$8:$B$88"))),0),MATCH('Other Industrial Processes'!$C10,INDIRECT(CONCATENATE("'",RIGHT(L$1,2),"'!$F$4:$N$4")),0))</f>
        <v>0</v>
      </c>
      <c r="M10" s="25">
        <f ca="1">INDEX(INDIRECT(CONCATENATE("'",RIGHT(M$1,2),"'!$F$8:$N$88")),MATCH($A10,INDIRECT(CONCATENATE("'",RIGHT(M$1,2),IF($B10="chemicals","'!$C$8:$C$88","'!$B$8:$B$88"))),0),MATCH('Other Industrial Processes'!$C10,INDIRECT(CONCATENATE("'",RIGHT(M$1,2),"'!$F$4:$N$4")),0))</f>
        <v>0</v>
      </c>
      <c r="N10" s="301">
        <f t="shared" ref="N10:AV10" ca="1" si="8">IFERROR(IF($M10-$D10&gt;=0,($M10-$D10)/COUNT($E$1:$M$1)+M10,$F74*$E74^N$1),0)</f>
        <v>0</v>
      </c>
      <c r="O10" s="301">
        <f t="shared" ca="1" si="8"/>
        <v>0</v>
      </c>
      <c r="P10" s="301">
        <f t="shared" ca="1" si="8"/>
        <v>0</v>
      </c>
      <c r="Q10" s="301">
        <f t="shared" ca="1" si="8"/>
        <v>0</v>
      </c>
      <c r="R10" s="301">
        <f t="shared" ca="1" si="8"/>
        <v>0</v>
      </c>
      <c r="S10" s="301">
        <f t="shared" ca="1" si="8"/>
        <v>0</v>
      </c>
      <c r="T10" s="301">
        <f t="shared" ca="1" si="8"/>
        <v>0</v>
      </c>
      <c r="U10" s="301">
        <f t="shared" ca="1" si="8"/>
        <v>0</v>
      </c>
      <c r="V10" s="301">
        <f t="shared" ca="1" si="8"/>
        <v>0</v>
      </c>
      <c r="W10" s="301">
        <f t="shared" ca="1" si="8"/>
        <v>0</v>
      </c>
      <c r="X10" s="301">
        <f t="shared" ca="1" si="8"/>
        <v>0</v>
      </c>
      <c r="Y10" s="301">
        <f t="shared" ca="1" si="8"/>
        <v>0</v>
      </c>
      <c r="Z10" s="301">
        <f t="shared" ca="1" si="8"/>
        <v>0</v>
      </c>
      <c r="AA10" s="301">
        <f t="shared" ca="1" si="8"/>
        <v>0</v>
      </c>
      <c r="AB10" s="301">
        <f t="shared" ca="1" si="8"/>
        <v>0</v>
      </c>
      <c r="AC10" s="301">
        <f t="shared" ca="1" si="8"/>
        <v>0</v>
      </c>
      <c r="AD10" s="301">
        <f t="shared" ca="1" si="8"/>
        <v>0</v>
      </c>
      <c r="AE10" s="301">
        <f t="shared" ca="1" si="8"/>
        <v>0</v>
      </c>
      <c r="AF10" s="301">
        <f t="shared" ca="1" si="8"/>
        <v>0</v>
      </c>
      <c r="AG10" s="301">
        <f t="shared" ca="1" si="8"/>
        <v>0</v>
      </c>
      <c r="AH10" s="301">
        <f t="shared" ca="1" si="8"/>
        <v>0</v>
      </c>
      <c r="AI10" s="301">
        <f t="shared" ca="1" si="8"/>
        <v>0</v>
      </c>
      <c r="AJ10" s="301">
        <f t="shared" ca="1" si="8"/>
        <v>0</v>
      </c>
      <c r="AK10" s="301">
        <f t="shared" ca="1" si="8"/>
        <v>0</v>
      </c>
      <c r="AL10" s="301">
        <f t="shared" ca="1" si="8"/>
        <v>0</v>
      </c>
      <c r="AM10" s="301">
        <f t="shared" ca="1" si="8"/>
        <v>0</v>
      </c>
      <c r="AN10" s="301">
        <f t="shared" ca="1" si="8"/>
        <v>0</v>
      </c>
      <c r="AO10" s="301">
        <f t="shared" ca="1" si="8"/>
        <v>0</v>
      </c>
      <c r="AP10" s="301">
        <f t="shared" ca="1" si="8"/>
        <v>0</v>
      </c>
      <c r="AQ10" s="301">
        <f t="shared" ca="1" si="8"/>
        <v>0</v>
      </c>
      <c r="AR10" s="301">
        <f t="shared" ca="1" si="8"/>
        <v>0</v>
      </c>
      <c r="AS10" s="301">
        <f t="shared" ca="1" si="8"/>
        <v>0</v>
      </c>
      <c r="AT10" s="301">
        <f t="shared" ca="1" si="8"/>
        <v>0</v>
      </c>
      <c r="AU10" s="301">
        <f t="shared" ca="1" si="8"/>
        <v>0</v>
      </c>
      <c r="AV10" s="301">
        <f t="shared" ca="1" si="8"/>
        <v>0</v>
      </c>
    </row>
    <row r="11" spans="1:48" x14ac:dyDescent="0.25">
      <c r="A11" s="25" t="s">
        <v>190</v>
      </c>
      <c r="B11" t="s">
        <v>4</v>
      </c>
      <c r="C11" s="25" t="s">
        <v>168</v>
      </c>
      <c r="D11" s="25">
        <f ca="1">INDEX(INDIRECT(CONCATENATE("'",RIGHT(D$1,2),"'!$F$8:$N$88")),MATCH($A11,INDIRECT(CONCATENATE("'",RIGHT(D$1,2),IF($B11="chemicals","'!$C$8:$C$88","'!$B$8:$B$88"))),0),MATCH('Other Industrial Processes'!$C11,INDIRECT(CONCATENATE("'",RIGHT(D$1,2),"'!$F$4:$N$4")),0))</f>
        <v>0</v>
      </c>
      <c r="E11" s="25">
        <f ca="1">INDEX(INDIRECT(CONCATENATE("'",RIGHT(E$1,2),"'!$F$8:$N$88")),MATCH($A11,INDIRECT(CONCATENATE("'",RIGHT(E$1,2),IF($B11="chemicals","'!$C$8:$C$88","'!$B$8:$B$88"))),0),MATCH('Other Industrial Processes'!$C11,INDIRECT(CONCATENATE("'",RIGHT(E$1,2),"'!$F$4:$N$4")),0))</f>
        <v>0</v>
      </c>
      <c r="F11" s="25">
        <f ca="1">INDEX(INDIRECT(CONCATENATE("'",RIGHT(F$1,2),"'!$F$8:$N$88")),MATCH($A11,INDIRECT(CONCATENATE("'",RIGHT(F$1,2),IF($B11="chemicals","'!$C$8:$C$88","'!$B$8:$B$88"))),0),MATCH('Other Industrial Processes'!$C11,INDIRECT(CONCATENATE("'",RIGHT(F$1,2),"'!$F$4:$N$4")),0))</f>
        <v>0</v>
      </c>
      <c r="G11" s="25">
        <f ca="1">INDEX(INDIRECT(CONCATENATE("'",RIGHT(G$1,2),"'!$F$8:$N$88")),MATCH($A11,INDIRECT(CONCATENATE("'",RIGHT(G$1,2),IF($B11="chemicals","'!$C$8:$C$88","'!$B$8:$B$88"))),0),MATCH('Other Industrial Processes'!$C11,INDIRECT(CONCATENATE("'",RIGHT(G$1,2),"'!$F$4:$N$4")),0))</f>
        <v>0</v>
      </c>
      <c r="H11" s="25">
        <f ca="1">INDEX(INDIRECT(CONCATENATE("'",RIGHT(H$1,2),"'!$F$8:$N$88")),MATCH($A11,INDIRECT(CONCATENATE("'",RIGHT(H$1,2),IF($B11="chemicals","'!$C$8:$C$88","'!$B$8:$B$88"))),0),MATCH('Other Industrial Processes'!$C11,INDIRECT(CONCATENATE("'",RIGHT(H$1,2),"'!$F$4:$N$4")),0))</f>
        <v>0</v>
      </c>
      <c r="I11" s="25">
        <f ca="1">INDEX(INDIRECT(CONCATENATE("'",RIGHT(I$1,2),"'!$F$8:$N$88")),MATCH($A11,INDIRECT(CONCATENATE("'",RIGHT(I$1,2),IF($B11="chemicals","'!$C$8:$C$88","'!$B$8:$B$88"))),0),MATCH('Other Industrial Processes'!$C11,INDIRECT(CONCATENATE("'",RIGHT(I$1,2),"'!$F$4:$N$4")),0))</f>
        <v>0</v>
      </c>
      <c r="J11" s="25">
        <f ca="1">INDEX(INDIRECT(CONCATENATE("'",RIGHT(J$1,2),"'!$F$8:$N$88")),MATCH($A11,INDIRECT(CONCATENATE("'",RIGHT(J$1,2),IF($B11="chemicals","'!$C$8:$C$88","'!$B$8:$B$88"))),0),MATCH('Other Industrial Processes'!$C11,INDIRECT(CONCATENATE("'",RIGHT(J$1,2),"'!$F$4:$N$4")),0))</f>
        <v>0</v>
      </c>
      <c r="K11" s="25">
        <f ca="1">INDEX(INDIRECT(CONCATENATE("'",RIGHT(K$1,2),"'!$F$8:$N$88")),MATCH($A11,INDIRECT(CONCATENATE("'",RIGHT(K$1,2),IF($B11="chemicals","'!$C$8:$C$88","'!$B$8:$B$88"))),0),MATCH('Other Industrial Processes'!$C11,INDIRECT(CONCATENATE("'",RIGHT(K$1,2),"'!$F$4:$N$4")),0))</f>
        <v>0</v>
      </c>
      <c r="L11" s="25">
        <f ca="1">INDEX(INDIRECT(CONCATENATE("'",RIGHT(L$1,2),"'!$F$8:$N$88")),MATCH($A11,INDIRECT(CONCATENATE("'",RIGHT(L$1,2),IF($B11="chemicals","'!$C$8:$C$88","'!$B$8:$B$88"))),0),MATCH('Other Industrial Processes'!$C11,INDIRECT(CONCATENATE("'",RIGHT(L$1,2),"'!$F$4:$N$4")),0))</f>
        <v>0</v>
      </c>
      <c r="M11" s="25">
        <f ca="1">INDEX(INDIRECT(CONCATENATE("'",RIGHT(M$1,2),"'!$F$8:$N$88")),MATCH($A11,INDIRECT(CONCATENATE("'",RIGHT(M$1,2),IF($B11="chemicals","'!$C$8:$C$88","'!$B$8:$B$88"))),0),MATCH('Other Industrial Processes'!$C11,INDIRECT(CONCATENATE("'",RIGHT(M$1,2),"'!$F$4:$N$4")),0))</f>
        <v>0</v>
      </c>
      <c r="N11" s="301">
        <f t="shared" ref="N11:AV11" ca="1" si="9">IFERROR(IF($M11-$D11&gt;=0,($M11-$D11)/COUNT($E$1:$M$1)+M11,$F75*$E75^N$1),0)</f>
        <v>0</v>
      </c>
      <c r="O11" s="301">
        <f t="shared" ca="1" si="9"/>
        <v>0</v>
      </c>
      <c r="P11" s="301">
        <f t="shared" ca="1" si="9"/>
        <v>0</v>
      </c>
      <c r="Q11" s="301">
        <f t="shared" ca="1" si="9"/>
        <v>0</v>
      </c>
      <c r="R11" s="301">
        <f t="shared" ca="1" si="9"/>
        <v>0</v>
      </c>
      <c r="S11" s="301">
        <f t="shared" ca="1" si="9"/>
        <v>0</v>
      </c>
      <c r="T11" s="301">
        <f t="shared" ca="1" si="9"/>
        <v>0</v>
      </c>
      <c r="U11" s="301">
        <f t="shared" ca="1" si="9"/>
        <v>0</v>
      </c>
      <c r="V11" s="301">
        <f t="shared" ca="1" si="9"/>
        <v>0</v>
      </c>
      <c r="W11" s="301">
        <f t="shared" ca="1" si="9"/>
        <v>0</v>
      </c>
      <c r="X11" s="301">
        <f t="shared" ca="1" si="9"/>
        <v>0</v>
      </c>
      <c r="Y11" s="301">
        <f t="shared" ca="1" si="9"/>
        <v>0</v>
      </c>
      <c r="Z11" s="301">
        <f t="shared" ca="1" si="9"/>
        <v>0</v>
      </c>
      <c r="AA11" s="301">
        <f t="shared" ca="1" si="9"/>
        <v>0</v>
      </c>
      <c r="AB11" s="301">
        <f t="shared" ca="1" si="9"/>
        <v>0</v>
      </c>
      <c r="AC11" s="301">
        <f t="shared" ca="1" si="9"/>
        <v>0</v>
      </c>
      <c r="AD11" s="301">
        <f t="shared" ca="1" si="9"/>
        <v>0</v>
      </c>
      <c r="AE11" s="301">
        <f t="shared" ca="1" si="9"/>
        <v>0</v>
      </c>
      <c r="AF11" s="301">
        <f t="shared" ca="1" si="9"/>
        <v>0</v>
      </c>
      <c r="AG11" s="301">
        <f t="shared" ca="1" si="9"/>
        <v>0</v>
      </c>
      <c r="AH11" s="301">
        <f t="shared" ca="1" si="9"/>
        <v>0</v>
      </c>
      <c r="AI11" s="301">
        <f t="shared" ca="1" si="9"/>
        <v>0</v>
      </c>
      <c r="AJ11" s="301">
        <f t="shared" ca="1" si="9"/>
        <v>0</v>
      </c>
      <c r="AK11" s="301">
        <f t="shared" ca="1" si="9"/>
        <v>0</v>
      </c>
      <c r="AL11" s="301">
        <f t="shared" ca="1" si="9"/>
        <v>0</v>
      </c>
      <c r="AM11" s="301">
        <f t="shared" ca="1" si="9"/>
        <v>0</v>
      </c>
      <c r="AN11" s="301">
        <f t="shared" ca="1" si="9"/>
        <v>0</v>
      </c>
      <c r="AO11" s="301">
        <f t="shared" ca="1" si="9"/>
        <v>0</v>
      </c>
      <c r="AP11" s="301">
        <f t="shared" ca="1" si="9"/>
        <v>0</v>
      </c>
      <c r="AQ11" s="301">
        <f t="shared" ca="1" si="9"/>
        <v>0</v>
      </c>
      <c r="AR11" s="301">
        <f t="shared" ca="1" si="9"/>
        <v>0</v>
      </c>
      <c r="AS11" s="301">
        <f t="shared" ca="1" si="9"/>
        <v>0</v>
      </c>
      <c r="AT11" s="301">
        <f t="shared" ca="1" si="9"/>
        <v>0</v>
      </c>
      <c r="AU11" s="301">
        <f t="shared" ca="1" si="9"/>
        <v>0</v>
      </c>
      <c r="AV11" s="301">
        <f t="shared" ca="1" si="9"/>
        <v>0</v>
      </c>
    </row>
    <row r="12" spans="1:48" x14ac:dyDescent="0.25">
      <c r="A12" s="25" t="s">
        <v>770</v>
      </c>
      <c r="B12" t="s">
        <v>4</v>
      </c>
      <c r="C12" s="25" t="s">
        <v>168</v>
      </c>
      <c r="D12" s="25">
        <f ca="1">INDEX(INDIRECT(CONCATENATE("'",RIGHT(D$1,2),"'!$F$8:$N$88")),MATCH($A12,INDIRECT(CONCATENATE("'",RIGHT(D$1,2),IF($B12="chemicals","'!$C$8:$C$88","'!$B$8:$B$88"))),0),MATCH('Other Industrial Processes'!$C12,INDIRECT(CONCATENATE("'",RIGHT(D$1,2),"'!$F$4:$N$4")),0))</f>
        <v>0</v>
      </c>
      <c r="E12" s="25">
        <f ca="1">INDEX(INDIRECT(CONCATENATE("'",RIGHT(E$1,2),"'!$F$8:$N$88")),MATCH($A12,INDIRECT(CONCATENATE("'",RIGHT(E$1,2),IF($B12="chemicals","'!$C$8:$C$88","'!$B$8:$B$88"))),0),MATCH('Other Industrial Processes'!$C12,INDIRECT(CONCATENATE("'",RIGHT(E$1,2),"'!$F$4:$N$4")),0))</f>
        <v>0</v>
      </c>
      <c r="F12" s="25">
        <f ca="1">INDEX(INDIRECT(CONCATENATE("'",RIGHT(F$1,2),"'!$F$8:$N$88")),MATCH($A12,INDIRECT(CONCATENATE("'",RIGHT(F$1,2),IF($B12="chemicals","'!$C$8:$C$88","'!$B$8:$B$88"))),0),MATCH('Other Industrial Processes'!$C12,INDIRECT(CONCATENATE("'",RIGHT(F$1,2),"'!$F$4:$N$4")),0))</f>
        <v>0</v>
      </c>
      <c r="G12" s="25">
        <f ca="1">INDEX(INDIRECT(CONCATENATE("'",RIGHT(G$1,2),"'!$F$8:$N$88")),MATCH($A12,INDIRECT(CONCATENATE("'",RIGHT(G$1,2),IF($B12="chemicals","'!$C$8:$C$88","'!$B$8:$B$88"))),0),MATCH('Other Industrial Processes'!$C12,INDIRECT(CONCATENATE("'",RIGHT(G$1,2),"'!$F$4:$N$4")),0))</f>
        <v>0</v>
      </c>
      <c r="H12" s="25">
        <f ca="1">INDEX(INDIRECT(CONCATENATE("'",RIGHT(H$1,2),"'!$F$8:$N$88")),MATCH($A12,INDIRECT(CONCATENATE("'",RIGHT(H$1,2),IF($B12="chemicals","'!$C$8:$C$88","'!$B$8:$B$88"))),0),MATCH('Other Industrial Processes'!$C12,INDIRECT(CONCATENATE("'",RIGHT(H$1,2),"'!$F$4:$N$4")),0))</f>
        <v>0</v>
      </c>
      <c r="I12" s="25">
        <f ca="1">INDEX(INDIRECT(CONCATENATE("'",RIGHT(I$1,2),"'!$F$8:$N$88")),MATCH($A12,INDIRECT(CONCATENATE("'",RIGHT(I$1,2),IF($B12="chemicals","'!$C$8:$C$88","'!$B$8:$B$88"))),0),MATCH('Other Industrial Processes'!$C12,INDIRECT(CONCATENATE("'",RIGHT(I$1,2),"'!$F$4:$N$4")),0))</f>
        <v>0</v>
      </c>
      <c r="J12" s="25">
        <f ca="1">INDEX(INDIRECT(CONCATENATE("'",RIGHT(J$1,2),"'!$F$8:$N$88")),MATCH($A12,INDIRECT(CONCATENATE("'",RIGHT(J$1,2),IF($B12="chemicals","'!$C$8:$C$88","'!$B$8:$B$88"))),0),MATCH('Other Industrial Processes'!$C12,INDIRECT(CONCATENATE("'",RIGHT(J$1,2),"'!$F$4:$N$4")),0))</f>
        <v>0</v>
      </c>
      <c r="K12" s="25">
        <f ca="1">INDEX(INDIRECT(CONCATENATE("'",RIGHT(K$1,2),"'!$F$8:$N$88")),MATCH($A12,INDIRECT(CONCATENATE("'",RIGHT(K$1,2),IF($B12="chemicals","'!$C$8:$C$88","'!$B$8:$B$88"))),0),MATCH('Other Industrial Processes'!$C12,INDIRECT(CONCATENATE("'",RIGHT(K$1,2),"'!$F$4:$N$4")),0))</f>
        <v>0</v>
      </c>
      <c r="L12" s="25">
        <f ca="1">INDEX(INDIRECT(CONCATENATE("'",RIGHT(L$1,2),"'!$F$8:$N$88")),MATCH($A12,INDIRECT(CONCATENATE("'",RIGHT(L$1,2),IF($B12="chemicals","'!$C$8:$C$88","'!$B$8:$B$88"))),0),MATCH('Other Industrial Processes'!$C12,INDIRECT(CONCATENATE("'",RIGHT(L$1,2),"'!$F$4:$N$4")),0))</f>
        <v>0</v>
      </c>
      <c r="M12" s="25">
        <f ca="1">INDEX(INDIRECT(CONCATENATE("'",RIGHT(M$1,2),"'!$F$8:$N$88")),MATCH($A12,INDIRECT(CONCATENATE("'",RIGHT(M$1,2),IF($B12="chemicals","'!$C$8:$C$88","'!$B$8:$B$88"))),0),MATCH('Other Industrial Processes'!$C12,INDIRECT(CONCATENATE("'",RIGHT(M$1,2),"'!$F$4:$N$4")),0))</f>
        <v>0</v>
      </c>
      <c r="N12" s="301">
        <f t="shared" ref="N12:AV12" ca="1" si="10">IFERROR(IF($M12-$D12&gt;=0,($M12-$D12)/COUNT($E$1:$M$1)+M12,$F76*$E76^N$1),0)</f>
        <v>0</v>
      </c>
      <c r="O12" s="301">
        <f t="shared" ca="1" si="10"/>
        <v>0</v>
      </c>
      <c r="P12" s="301">
        <f t="shared" ca="1" si="10"/>
        <v>0</v>
      </c>
      <c r="Q12" s="301">
        <f t="shared" ca="1" si="10"/>
        <v>0</v>
      </c>
      <c r="R12" s="301">
        <f t="shared" ca="1" si="10"/>
        <v>0</v>
      </c>
      <c r="S12" s="301">
        <f t="shared" ca="1" si="10"/>
        <v>0</v>
      </c>
      <c r="T12" s="301">
        <f t="shared" ca="1" si="10"/>
        <v>0</v>
      </c>
      <c r="U12" s="301">
        <f t="shared" ca="1" si="10"/>
        <v>0</v>
      </c>
      <c r="V12" s="301">
        <f t="shared" ca="1" si="10"/>
        <v>0</v>
      </c>
      <c r="W12" s="301">
        <f t="shared" ca="1" si="10"/>
        <v>0</v>
      </c>
      <c r="X12" s="301">
        <f t="shared" ca="1" si="10"/>
        <v>0</v>
      </c>
      <c r="Y12" s="301">
        <f t="shared" ca="1" si="10"/>
        <v>0</v>
      </c>
      <c r="Z12" s="301">
        <f t="shared" ca="1" si="10"/>
        <v>0</v>
      </c>
      <c r="AA12" s="301">
        <f t="shared" ca="1" si="10"/>
        <v>0</v>
      </c>
      <c r="AB12" s="301">
        <f t="shared" ca="1" si="10"/>
        <v>0</v>
      </c>
      <c r="AC12" s="301">
        <f t="shared" ca="1" si="10"/>
        <v>0</v>
      </c>
      <c r="AD12" s="301">
        <f t="shared" ca="1" si="10"/>
        <v>0</v>
      </c>
      <c r="AE12" s="301">
        <f t="shared" ca="1" si="10"/>
        <v>0</v>
      </c>
      <c r="AF12" s="301">
        <f t="shared" ca="1" si="10"/>
        <v>0</v>
      </c>
      <c r="AG12" s="301">
        <f t="shared" ca="1" si="10"/>
        <v>0</v>
      </c>
      <c r="AH12" s="301">
        <f t="shared" ca="1" si="10"/>
        <v>0</v>
      </c>
      <c r="AI12" s="301">
        <f t="shared" ca="1" si="10"/>
        <v>0</v>
      </c>
      <c r="AJ12" s="301">
        <f t="shared" ca="1" si="10"/>
        <v>0</v>
      </c>
      <c r="AK12" s="301">
        <f t="shared" ca="1" si="10"/>
        <v>0</v>
      </c>
      <c r="AL12" s="301">
        <f t="shared" ca="1" si="10"/>
        <v>0</v>
      </c>
      <c r="AM12" s="301">
        <f t="shared" ca="1" si="10"/>
        <v>0</v>
      </c>
      <c r="AN12" s="301">
        <f t="shared" ca="1" si="10"/>
        <v>0</v>
      </c>
      <c r="AO12" s="301">
        <f t="shared" ca="1" si="10"/>
        <v>0</v>
      </c>
      <c r="AP12" s="301">
        <f t="shared" ca="1" si="10"/>
        <v>0</v>
      </c>
      <c r="AQ12" s="301">
        <f t="shared" ca="1" si="10"/>
        <v>0</v>
      </c>
      <c r="AR12" s="301">
        <f t="shared" ca="1" si="10"/>
        <v>0</v>
      </c>
      <c r="AS12" s="301">
        <f t="shared" ca="1" si="10"/>
        <v>0</v>
      </c>
      <c r="AT12" s="301">
        <f t="shared" ca="1" si="10"/>
        <v>0</v>
      </c>
      <c r="AU12" s="301">
        <f t="shared" ca="1" si="10"/>
        <v>0</v>
      </c>
      <c r="AV12" s="301">
        <f t="shared" ca="1" si="10"/>
        <v>0</v>
      </c>
    </row>
    <row r="13" spans="1:48" x14ac:dyDescent="0.25">
      <c r="A13" s="25" t="s">
        <v>771</v>
      </c>
      <c r="B13" t="s">
        <v>4</v>
      </c>
      <c r="C13" s="25" t="s">
        <v>168</v>
      </c>
      <c r="D13" s="25">
        <f ca="1">INDEX(INDIRECT(CONCATENATE("'",RIGHT(D$1,2),"'!$F$8:$N$88")),MATCH($A13,INDIRECT(CONCATENATE("'",RIGHT(D$1,2),IF($B13="chemicals","'!$C$8:$C$88","'!$B$8:$B$88"))),0),MATCH('Other Industrial Processes'!$C13,INDIRECT(CONCATENATE("'",RIGHT(D$1,2),"'!$F$4:$N$4")),0))</f>
        <v>3.5180355664709202</v>
      </c>
      <c r="E13" s="25">
        <f ca="1">INDEX(INDIRECT(CONCATENATE("'",RIGHT(E$1,2),"'!$F$8:$N$88")),MATCH($A13,INDIRECT(CONCATENATE("'",RIGHT(E$1,2),IF($B13="chemicals","'!$C$8:$C$88","'!$B$8:$B$88"))),0),MATCH('Other Industrial Processes'!$C13,INDIRECT(CONCATENATE("'",RIGHT(E$1,2),"'!$F$4:$N$4")),0))</f>
        <v>3.53644501960733</v>
      </c>
      <c r="F13" s="25">
        <f ca="1">INDEX(INDIRECT(CONCATENATE("'",RIGHT(F$1,2),"'!$F$8:$N$88")),MATCH($A13,INDIRECT(CONCATENATE("'",RIGHT(F$1,2),IF($B13="chemicals","'!$C$8:$C$88","'!$B$8:$B$88"))),0),MATCH('Other Industrial Processes'!$C13,INDIRECT(CONCATENATE("'",RIGHT(F$1,2),"'!$F$4:$N$4")),0))</f>
        <v>3.1901022766221598</v>
      </c>
      <c r="G13" s="25">
        <f ca="1">INDEX(INDIRECT(CONCATENATE("'",RIGHT(G$1,2),"'!$F$8:$N$88")),MATCH($A13,INDIRECT(CONCATENATE("'",RIGHT(G$1,2),IF($B13="chemicals","'!$C$8:$C$88","'!$B$8:$B$88"))),0),MATCH('Other Industrial Processes'!$C13,INDIRECT(CONCATENATE("'",RIGHT(G$1,2),"'!$F$4:$N$4")),0))</f>
        <v>2.7337915349319499</v>
      </c>
      <c r="H13" s="25">
        <f ca="1">INDEX(INDIRECT(CONCATENATE("'",RIGHT(H$1,2),"'!$F$8:$N$88")),MATCH($A13,INDIRECT(CONCATENATE("'",RIGHT(H$1,2),IF($B13="chemicals","'!$C$8:$C$88","'!$B$8:$B$88"))),0),MATCH('Other Industrial Processes'!$C13,INDIRECT(CONCATENATE("'",RIGHT(H$1,2),"'!$F$4:$N$4")),0))</f>
        <v>2.7722220212043598</v>
      </c>
      <c r="I13" s="25">
        <f ca="1">INDEX(INDIRECT(CONCATENATE("'",RIGHT(I$1,2),"'!$F$8:$N$88")),MATCH($A13,INDIRECT(CONCATENATE("'",RIGHT(I$1,2),IF($B13="chemicals","'!$C$8:$C$88","'!$B$8:$B$88"))),0),MATCH('Other Industrial Processes'!$C13,INDIRECT(CONCATENATE("'",RIGHT(I$1,2),"'!$F$4:$N$4")),0))</f>
        <v>2.8059876582054</v>
      </c>
      <c r="J13" s="25">
        <f ca="1">INDEX(INDIRECT(CONCATENATE("'",RIGHT(J$1,2),"'!$F$8:$N$88")),MATCH($A13,INDIRECT(CONCATENATE("'",RIGHT(J$1,2),IF($B13="chemicals","'!$C$8:$C$88","'!$B$8:$B$88"))),0),MATCH('Other Industrial Processes'!$C13,INDIRECT(CONCATENATE("'",RIGHT(J$1,2),"'!$F$4:$N$4")),0))</f>
        <v>2.8868261349638402</v>
      </c>
      <c r="K13" s="25">
        <f ca="1">INDEX(INDIRECT(CONCATENATE("'",RIGHT(K$1,2),"'!$F$8:$N$88")),MATCH($A13,INDIRECT(CONCATENATE("'",RIGHT(K$1,2),IF($B13="chemicals","'!$C$8:$C$88","'!$B$8:$B$88"))),0),MATCH('Other Industrial Processes'!$C13,INDIRECT(CONCATENATE("'",RIGHT(K$1,2),"'!$F$4:$N$4")),0))</f>
        <v>3.18231452103131</v>
      </c>
      <c r="L13" s="25">
        <f ca="1">INDEX(INDIRECT(CONCATENATE("'",RIGHT(L$1,2),"'!$F$8:$N$88")),MATCH($A13,INDIRECT(CONCATENATE("'",RIGHT(L$1,2),IF($B13="chemicals","'!$C$8:$C$88","'!$B$8:$B$88"))),0),MATCH('Other Industrial Processes'!$C13,INDIRECT(CONCATENATE("'",RIGHT(L$1,2),"'!$F$4:$N$4")),0))</f>
        <v>3.2438897516677399</v>
      </c>
      <c r="M13" s="25">
        <f ca="1">INDEX(INDIRECT(CONCATENATE("'",RIGHT(M$1,2),"'!$F$8:$N$88")),MATCH($A13,INDIRECT(CONCATENATE("'",RIGHT(M$1,2),IF($B13="chemicals","'!$C$8:$C$88","'!$B$8:$B$88"))),0),MATCH('Other Industrial Processes'!$C13,INDIRECT(CONCATENATE("'",RIGHT(M$1,2),"'!$F$4:$N$4")),0))</f>
        <v>2.9143630708186801</v>
      </c>
      <c r="N13" s="301">
        <f t="shared" ref="N13:AV13" ca="1" si="11">IFERROR(IF($M13-$D13&gt;=0,($M13-$D13)/COUNT($E$1:$M$1)+M13,$F77*$E77^N$1),0)</f>
        <v>0</v>
      </c>
      <c r="O13" s="301">
        <f t="shared" ca="1" si="11"/>
        <v>0</v>
      </c>
      <c r="P13" s="301">
        <f t="shared" ca="1" si="11"/>
        <v>0</v>
      </c>
      <c r="Q13" s="301">
        <f t="shared" ca="1" si="11"/>
        <v>0</v>
      </c>
      <c r="R13" s="301">
        <f t="shared" ca="1" si="11"/>
        <v>0</v>
      </c>
      <c r="S13" s="301">
        <f t="shared" ca="1" si="11"/>
        <v>0</v>
      </c>
      <c r="T13" s="301">
        <f t="shared" ca="1" si="11"/>
        <v>0</v>
      </c>
      <c r="U13" s="301">
        <f t="shared" ca="1" si="11"/>
        <v>0</v>
      </c>
      <c r="V13" s="301">
        <f t="shared" ca="1" si="11"/>
        <v>0</v>
      </c>
      <c r="W13" s="301">
        <f t="shared" ca="1" si="11"/>
        <v>0</v>
      </c>
      <c r="X13" s="301">
        <f t="shared" ca="1" si="11"/>
        <v>0</v>
      </c>
      <c r="Y13" s="301">
        <f t="shared" ca="1" si="11"/>
        <v>0</v>
      </c>
      <c r="Z13" s="301">
        <f t="shared" ca="1" si="11"/>
        <v>0</v>
      </c>
      <c r="AA13" s="301">
        <f t="shared" ca="1" si="11"/>
        <v>0</v>
      </c>
      <c r="AB13" s="301">
        <f t="shared" ca="1" si="11"/>
        <v>0</v>
      </c>
      <c r="AC13" s="301">
        <f t="shared" ca="1" si="11"/>
        <v>0</v>
      </c>
      <c r="AD13" s="301">
        <f t="shared" ca="1" si="11"/>
        <v>0</v>
      </c>
      <c r="AE13" s="301">
        <f t="shared" ca="1" si="11"/>
        <v>0</v>
      </c>
      <c r="AF13" s="301">
        <f t="shared" ca="1" si="11"/>
        <v>0</v>
      </c>
      <c r="AG13" s="301">
        <f t="shared" ca="1" si="11"/>
        <v>0</v>
      </c>
      <c r="AH13" s="301">
        <f t="shared" ca="1" si="11"/>
        <v>0</v>
      </c>
      <c r="AI13" s="301">
        <f t="shared" ca="1" si="11"/>
        <v>0</v>
      </c>
      <c r="AJ13" s="301">
        <f t="shared" ca="1" si="11"/>
        <v>0</v>
      </c>
      <c r="AK13" s="301">
        <f t="shared" ca="1" si="11"/>
        <v>0</v>
      </c>
      <c r="AL13" s="301">
        <f t="shared" ca="1" si="11"/>
        <v>0</v>
      </c>
      <c r="AM13" s="301">
        <f t="shared" ca="1" si="11"/>
        <v>0</v>
      </c>
      <c r="AN13" s="301">
        <f t="shared" ca="1" si="11"/>
        <v>0</v>
      </c>
      <c r="AO13" s="301">
        <f t="shared" ca="1" si="11"/>
        <v>0</v>
      </c>
      <c r="AP13" s="301">
        <f t="shared" ca="1" si="11"/>
        <v>0</v>
      </c>
      <c r="AQ13" s="301">
        <f t="shared" ca="1" si="11"/>
        <v>0</v>
      </c>
      <c r="AR13" s="301">
        <f t="shared" ca="1" si="11"/>
        <v>0</v>
      </c>
      <c r="AS13" s="301">
        <f t="shared" ca="1" si="11"/>
        <v>0</v>
      </c>
      <c r="AT13" s="301">
        <f t="shared" ca="1" si="11"/>
        <v>0</v>
      </c>
      <c r="AU13" s="301">
        <f t="shared" ca="1" si="11"/>
        <v>0</v>
      </c>
      <c r="AV13" s="301">
        <f t="shared" ca="1" si="11"/>
        <v>0</v>
      </c>
    </row>
    <row r="14" spans="1:48" x14ac:dyDescent="0.25">
      <c r="A14" s="25" t="s">
        <v>777</v>
      </c>
      <c r="B14" t="s">
        <v>2</v>
      </c>
      <c r="C14" s="25" t="s">
        <v>168</v>
      </c>
      <c r="D14" s="25">
        <f ca="1">INDEX(INDIRECT(CONCATENATE("'",RIGHT(D$1,2),"'!$F$8:$N$88")),MATCH($A14,INDIRECT(CONCATENATE("'",RIGHT(D$1,2),IF($B14="chemicals","'!$C$8:$C$88","'!$B$8:$B$88"))),0),MATCH('Other Industrial Processes'!$C14,INDIRECT(CONCATENATE("'",RIGHT(D$1,2),"'!$F$4:$N$4")),0))</f>
        <v>0</v>
      </c>
      <c r="E14" s="25">
        <f ca="1">INDEX(INDIRECT(CONCATENATE("'",RIGHT(E$1,2),"'!$F$8:$N$88")),MATCH($A14,INDIRECT(CONCATENATE("'",RIGHT(E$1,2),IF($B14="chemicals","'!$C$8:$C$88","'!$B$8:$B$88"))),0),MATCH('Other Industrial Processes'!$C14,INDIRECT(CONCATENATE("'",RIGHT(E$1,2),"'!$F$4:$N$4")),0))</f>
        <v>0</v>
      </c>
      <c r="F14" s="25">
        <f ca="1">INDEX(INDIRECT(CONCATENATE("'",RIGHT(F$1,2),"'!$F$8:$N$88")),MATCH($A14,INDIRECT(CONCATENATE("'",RIGHT(F$1,2),IF($B14="chemicals","'!$C$8:$C$88","'!$B$8:$B$88"))),0),MATCH('Other Industrial Processes'!$C14,INDIRECT(CONCATENATE("'",RIGHT(F$1,2),"'!$F$4:$N$4")),0))</f>
        <v>0</v>
      </c>
      <c r="G14" s="25">
        <f ca="1">INDEX(INDIRECT(CONCATENATE("'",RIGHT(G$1,2),"'!$F$8:$N$88")),MATCH($A14,INDIRECT(CONCATENATE("'",RIGHT(G$1,2),IF($B14="chemicals","'!$C$8:$C$88","'!$B$8:$B$88"))),0),MATCH('Other Industrial Processes'!$C14,INDIRECT(CONCATENATE("'",RIGHT(G$1,2),"'!$F$4:$N$4")),0))</f>
        <v>0</v>
      </c>
      <c r="H14" s="25">
        <f ca="1">INDEX(INDIRECT(CONCATENATE("'",RIGHT(H$1,2),"'!$F$8:$N$88")),MATCH($A14,INDIRECT(CONCATENATE("'",RIGHT(H$1,2),IF($B14="chemicals","'!$C$8:$C$88","'!$B$8:$B$88"))),0),MATCH('Other Industrial Processes'!$C14,INDIRECT(CONCATENATE("'",RIGHT(H$1,2),"'!$F$4:$N$4")),0))</f>
        <v>0</v>
      </c>
      <c r="I14" s="25">
        <f ca="1">INDEX(INDIRECT(CONCATENATE("'",RIGHT(I$1,2),"'!$F$8:$N$88")),MATCH($A14,INDIRECT(CONCATENATE("'",RIGHT(I$1,2),IF($B14="chemicals","'!$C$8:$C$88","'!$B$8:$B$88"))),0),MATCH('Other Industrial Processes'!$C14,INDIRECT(CONCATENATE("'",RIGHT(I$1,2),"'!$F$4:$N$4")),0))</f>
        <v>0</v>
      </c>
      <c r="J14" s="25">
        <f ca="1">INDEX(INDIRECT(CONCATENATE("'",RIGHT(J$1,2),"'!$F$8:$N$88")),MATCH($A14,INDIRECT(CONCATENATE("'",RIGHT(J$1,2),IF($B14="chemicals","'!$C$8:$C$88","'!$B$8:$B$88"))),0),MATCH('Other Industrial Processes'!$C14,INDIRECT(CONCATENATE("'",RIGHT(J$1,2),"'!$F$4:$N$4")),0))</f>
        <v>0</v>
      </c>
      <c r="K14" s="25">
        <f ca="1">INDEX(INDIRECT(CONCATENATE("'",RIGHT(K$1,2),"'!$F$8:$N$88")),MATCH($A14,INDIRECT(CONCATENATE("'",RIGHT(K$1,2),IF($B14="chemicals","'!$C$8:$C$88","'!$B$8:$B$88"))),0),MATCH('Other Industrial Processes'!$C14,INDIRECT(CONCATENATE("'",RIGHT(K$1,2),"'!$F$4:$N$4")),0))</f>
        <v>0</v>
      </c>
      <c r="L14" s="25">
        <f ca="1">INDEX(INDIRECT(CONCATENATE("'",RIGHT(L$1,2),"'!$F$8:$N$88")),MATCH($A14,INDIRECT(CONCATENATE("'",RIGHT(L$1,2),IF($B14="chemicals","'!$C$8:$C$88","'!$B$8:$B$88"))),0),MATCH('Other Industrial Processes'!$C14,INDIRECT(CONCATENATE("'",RIGHT(L$1,2),"'!$F$4:$N$4")),0))</f>
        <v>0</v>
      </c>
      <c r="M14" s="25">
        <f ca="1">INDEX(INDIRECT(CONCATENATE("'",RIGHT(M$1,2),"'!$F$8:$N$88")),MATCH($A14,INDIRECT(CONCATENATE("'",RIGHT(M$1,2),IF($B14="chemicals","'!$C$8:$C$88","'!$B$8:$B$88"))),0),MATCH('Other Industrial Processes'!$C14,INDIRECT(CONCATENATE("'",RIGHT(M$1,2),"'!$F$4:$N$4")),0))</f>
        <v>0</v>
      </c>
      <c r="N14" s="301">
        <f t="shared" ref="N14:AV14" ca="1" si="12">IFERROR(IF($M14-$D14&gt;=0,($M14-$D14)/COUNT($E$1:$M$1)+M14,$F78*$E78^N$1),0)</f>
        <v>0</v>
      </c>
      <c r="O14" s="301">
        <f t="shared" ca="1" si="12"/>
        <v>0</v>
      </c>
      <c r="P14" s="301">
        <f t="shared" ca="1" si="12"/>
        <v>0</v>
      </c>
      <c r="Q14" s="301">
        <f t="shared" ca="1" si="12"/>
        <v>0</v>
      </c>
      <c r="R14" s="301">
        <f t="shared" ca="1" si="12"/>
        <v>0</v>
      </c>
      <c r="S14" s="301">
        <f t="shared" ca="1" si="12"/>
        <v>0</v>
      </c>
      <c r="T14" s="301">
        <f t="shared" ca="1" si="12"/>
        <v>0</v>
      </c>
      <c r="U14" s="301">
        <f t="shared" ca="1" si="12"/>
        <v>0</v>
      </c>
      <c r="V14" s="301">
        <f t="shared" ca="1" si="12"/>
        <v>0</v>
      </c>
      <c r="W14" s="301">
        <f t="shared" ca="1" si="12"/>
        <v>0</v>
      </c>
      <c r="X14" s="301">
        <f t="shared" ca="1" si="12"/>
        <v>0</v>
      </c>
      <c r="Y14" s="301">
        <f t="shared" ca="1" si="12"/>
        <v>0</v>
      </c>
      <c r="Z14" s="301">
        <f t="shared" ca="1" si="12"/>
        <v>0</v>
      </c>
      <c r="AA14" s="301">
        <f t="shared" ca="1" si="12"/>
        <v>0</v>
      </c>
      <c r="AB14" s="301">
        <f t="shared" ca="1" si="12"/>
        <v>0</v>
      </c>
      <c r="AC14" s="301">
        <f t="shared" ca="1" si="12"/>
        <v>0</v>
      </c>
      <c r="AD14" s="301">
        <f t="shared" ca="1" si="12"/>
        <v>0</v>
      </c>
      <c r="AE14" s="301">
        <f t="shared" ca="1" si="12"/>
        <v>0</v>
      </c>
      <c r="AF14" s="301">
        <f t="shared" ca="1" si="12"/>
        <v>0</v>
      </c>
      <c r="AG14" s="301">
        <f t="shared" ca="1" si="12"/>
        <v>0</v>
      </c>
      <c r="AH14" s="301">
        <f t="shared" ca="1" si="12"/>
        <v>0</v>
      </c>
      <c r="AI14" s="301">
        <f t="shared" ca="1" si="12"/>
        <v>0</v>
      </c>
      <c r="AJ14" s="301">
        <f t="shared" ca="1" si="12"/>
        <v>0</v>
      </c>
      <c r="AK14" s="301">
        <f t="shared" ca="1" si="12"/>
        <v>0</v>
      </c>
      <c r="AL14" s="301">
        <f t="shared" ca="1" si="12"/>
        <v>0</v>
      </c>
      <c r="AM14" s="301">
        <f t="shared" ca="1" si="12"/>
        <v>0</v>
      </c>
      <c r="AN14" s="301">
        <f t="shared" ca="1" si="12"/>
        <v>0</v>
      </c>
      <c r="AO14" s="301">
        <f t="shared" ca="1" si="12"/>
        <v>0</v>
      </c>
      <c r="AP14" s="301">
        <f t="shared" ca="1" si="12"/>
        <v>0</v>
      </c>
      <c r="AQ14" s="301">
        <f t="shared" ca="1" si="12"/>
        <v>0</v>
      </c>
      <c r="AR14" s="301">
        <f t="shared" ca="1" si="12"/>
        <v>0</v>
      </c>
      <c r="AS14" s="301">
        <f t="shared" ca="1" si="12"/>
        <v>0</v>
      </c>
      <c r="AT14" s="301">
        <f t="shared" ca="1" si="12"/>
        <v>0</v>
      </c>
      <c r="AU14" s="301">
        <f t="shared" ca="1" si="12"/>
        <v>0</v>
      </c>
      <c r="AV14" s="301">
        <f t="shared" ca="1" si="12"/>
        <v>0</v>
      </c>
    </row>
    <row r="15" spans="1:48" x14ac:dyDescent="0.25">
      <c r="A15" s="25" t="s">
        <v>779</v>
      </c>
      <c r="B15" t="s">
        <v>835</v>
      </c>
      <c r="C15" s="25" t="s">
        <v>168</v>
      </c>
      <c r="D15" s="25">
        <f ca="1">INDEX(INDIRECT(CONCATENATE("'",RIGHT(D$1,2),"'!$F$8:$N$88")),MATCH($A15,INDIRECT(CONCATENATE("'",RIGHT(D$1,2),IF($B15="chemicals","'!$C$8:$C$88","'!$B$8:$B$88"))),0),MATCH('Other Industrial Processes'!$C15,INDIRECT(CONCATENATE("'",RIGHT(D$1,2),"'!$F$4:$N$4")),0))</f>
        <v>0</v>
      </c>
      <c r="E15" s="25">
        <f ca="1">INDEX(INDIRECT(CONCATENATE("'",RIGHT(E$1,2),"'!$F$8:$N$88")),MATCH($A15,INDIRECT(CONCATENATE("'",RIGHT(E$1,2),IF($B15="chemicals","'!$C$8:$C$88","'!$B$8:$B$88"))),0),MATCH('Other Industrial Processes'!$C15,INDIRECT(CONCATENATE("'",RIGHT(E$1,2),"'!$F$4:$N$4")),0))</f>
        <v>0</v>
      </c>
      <c r="F15" s="25">
        <f ca="1">INDEX(INDIRECT(CONCATENATE("'",RIGHT(F$1,2),"'!$F$8:$N$88")),MATCH($A15,INDIRECT(CONCATENATE("'",RIGHT(F$1,2),IF($B15="chemicals","'!$C$8:$C$88","'!$B$8:$B$88"))),0),MATCH('Other Industrial Processes'!$C15,INDIRECT(CONCATENATE("'",RIGHT(F$1,2),"'!$F$4:$N$4")),0))</f>
        <v>0</v>
      </c>
      <c r="G15" s="25">
        <f ca="1">INDEX(INDIRECT(CONCATENATE("'",RIGHT(G$1,2),"'!$F$8:$N$88")),MATCH($A15,INDIRECT(CONCATENATE("'",RIGHT(G$1,2),IF($B15="chemicals","'!$C$8:$C$88","'!$B$8:$B$88"))),0),MATCH('Other Industrial Processes'!$C15,INDIRECT(CONCATENATE("'",RIGHT(G$1,2),"'!$F$4:$N$4")),0))</f>
        <v>0</v>
      </c>
      <c r="H15" s="25">
        <f ca="1">INDEX(INDIRECT(CONCATENATE("'",RIGHT(H$1,2),"'!$F$8:$N$88")),MATCH($A15,INDIRECT(CONCATENATE("'",RIGHT(H$1,2),IF($B15="chemicals","'!$C$8:$C$88","'!$B$8:$B$88"))),0),MATCH('Other Industrial Processes'!$C15,INDIRECT(CONCATENATE("'",RIGHT(H$1,2),"'!$F$4:$N$4")),0))</f>
        <v>0</v>
      </c>
      <c r="I15" s="25">
        <f ca="1">INDEX(INDIRECT(CONCATENATE("'",RIGHT(I$1,2),"'!$F$8:$N$88")),MATCH($A15,INDIRECT(CONCATENATE("'",RIGHT(I$1,2),IF($B15="chemicals","'!$C$8:$C$88","'!$B$8:$B$88"))),0),MATCH('Other Industrial Processes'!$C15,INDIRECT(CONCATENATE("'",RIGHT(I$1,2),"'!$F$4:$N$4")),0))</f>
        <v>0</v>
      </c>
      <c r="J15" s="25">
        <f ca="1">INDEX(INDIRECT(CONCATENATE("'",RIGHT(J$1,2),"'!$F$8:$N$88")),MATCH($A15,INDIRECT(CONCATENATE("'",RIGHT(J$1,2),IF($B15="chemicals","'!$C$8:$C$88","'!$B$8:$B$88"))),0),MATCH('Other Industrial Processes'!$C15,INDIRECT(CONCATENATE("'",RIGHT(J$1,2),"'!$F$4:$N$4")),0))</f>
        <v>0</v>
      </c>
      <c r="K15" s="25">
        <f ca="1">INDEX(INDIRECT(CONCATENATE("'",RIGHT(K$1,2),"'!$F$8:$N$88")),MATCH($A15,INDIRECT(CONCATENATE("'",RIGHT(K$1,2),IF($B15="chemicals","'!$C$8:$C$88","'!$B$8:$B$88"))),0),MATCH('Other Industrial Processes'!$C15,INDIRECT(CONCATENATE("'",RIGHT(K$1,2),"'!$F$4:$N$4")),0))</f>
        <v>0</v>
      </c>
      <c r="L15" s="25">
        <f ca="1">INDEX(INDIRECT(CONCATENATE("'",RIGHT(L$1,2),"'!$F$8:$N$88")),MATCH($A15,INDIRECT(CONCATENATE("'",RIGHT(L$1,2),IF($B15="chemicals","'!$C$8:$C$88","'!$B$8:$B$88"))),0),MATCH('Other Industrial Processes'!$C15,INDIRECT(CONCATENATE("'",RIGHT(L$1,2),"'!$F$4:$N$4")),0))</f>
        <v>0</v>
      </c>
      <c r="M15" s="25">
        <f ca="1">INDEX(INDIRECT(CONCATENATE("'",RIGHT(M$1,2),"'!$F$8:$N$88")),MATCH($A15,INDIRECT(CONCATENATE("'",RIGHT(M$1,2),IF($B15="chemicals","'!$C$8:$C$88","'!$B$8:$B$88"))),0),MATCH('Other Industrial Processes'!$C15,INDIRECT(CONCATENATE("'",RIGHT(M$1,2),"'!$F$4:$N$4")),0))</f>
        <v>0</v>
      </c>
      <c r="N15" s="301">
        <f t="shared" ref="N15:AV15" ca="1" si="13">IFERROR(IF($M15-$D15&gt;=0,($M15-$D15)/COUNT($E$1:$M$1)+M15,$F79*$E79^N$1),0)</f>
        <v>0</v>
      </c>
      <c r="O15" s="301">
        <f t="shared" ca="1" si="13"/>
        <v>0</v>
      </c>
      <c r="P15" s="301">
        <f t="shared" ca="1" si="13"/>
        <v>0</v>
      </c>
      <c r="Q15" s="301">
        <f t="shared" ca="1" si="13"/>
        <v>0</v>
      </c>
      <c r="R15" s="301">
        <f t="shared" ca="1" si="13"/>
        <v>0</v>
      </c>
      <c r="S15" s="301">
        <f t="shared" ca="1" si="13"/>
        <v>0</v>
      </c>
      <c r="T15" s="301">
        <f t="shared" ca="1" si="13"/>
        <v>0</v>
      </c>
      <c r="U15" s="301">
        <f t="shared" ca="1" si="13"/>
        <v>0</v>
      </c>
      <c r="V15" s="301">
        <f t="shared" ca="1" si="13"/>
        <v>0</v>
      </c>
      <c r="W15" s="301">
        <f t="shared" ca="1" si="13"/>
        <v>0</v>
      </c>
      <c r="X15" s="301">
        <f t="shared" ca="1" si="13"/>
        <v>0</v>
      </c>
      <c r="Y15" s="301">
        <f t="shared" ca="1" si="13"/>
        <v>0</v>
      </c>
      <c r="Z15" s="301">
        <f t="shared" ca="1" si="13"/>
        <v>0</v>
      </c>
      <c r="AA15" s="301">
        <f t="shared" ca="1" si="13"/>
        <v>0</v>
      </c>
      <c r="AB15" s="301">
        <f t="shared" ca="1" si="13"/>
        <v>0</v>
      </c>
      <c r="AC15" s="301">
        <f t="shared" ca="1" si="13"/>
        <v>0</v>
      </c>
      <c r="AD15" s="301">
        <f t="shared" ca="1" si="13"/>
        <v>0</v>
      </c>
      <c r="AE15" s="301">
        <f t="shared" ca="1" si="13"/>
        <v>0</v>
      </c>
      <c r="AF15" s="301">
        <f t="shared" ca="1" si="13"/>
        <v>0</v>
      </c>
      <c r="AG15" s="301">
        <f t="shared" ca="1" si="13"/>
        <v>0</v>
      </c>
      <c r="AH15" s="301">
        <f t="shared" ca="1" si="13"/>
        <v>0</v>
      </c>
      <c r="AI15" s="301">
        <f t="shared" ca="1" si="13"/>
        <v>0</v>
      </c>
      <c r="AJ15" s="301">
        <f t="shared" ca="1" si="13"/>
        <v>0</v>
      </c>
      <c r="AK15" s="301">
        <f t="shared" ca="1" si="13"/>
        <v>0</v>
      </c>
      <c r="AL15" s="301">
        <f t="shared" ca="1" si="13"/>
        <v>0</v>
      </c>
      <c r="AM15" s="301">
        <f t="shared" ca="1" si="13"/>
        <v>0</v>
      </c>
      <c r="AN15" s="301">
        <f t="shared" ca="1" si="13"/>
        <v>0</v>
      </c>
      <c r="AO15" s="301">
        <f t="shared" ca="1" si="13"/>
        <v>0</v>
      </c>
      <c r="AP15" s="301">
        <f t="shared" ca="1" si="13"/>
        <v>0</v>
      </c>
      <c r="AQ15" s="301">
        <f t="shared" ca="1" si="13"/>
        <v>0</v>
      </c>
      <c r="AR15" s="301">
        <f t="shared" ca="1" si="13"/>
        <v>0</v>
      </c>
      <c r="AS15" s="301">
        <f t="shared" ca="1" si="13"/>
        <v>0</v>
      </c>
      <c r="AT15" s="301">
        <f t="shared" ca="1" si="13"/>
        <v>0</v>
      </c>
      <c r="AU15" s="301">
        <f t="shared" ca="1" si="13"/>
        <v>0</v>
      </c>
      <c r="AV15" s="301">
        <f t="shared" ca="1" si="13"/>
        <v>0</v>
      </c>
    </row>
    <row r="16" spans="1:48" x14ac:dyDescent="0.25">
      <c r="A16" s="25" t="s">
        <v>193</v>
      </c>
      <c r="B16" t="s">
        <v>26</v>
      </c>
      <c r="C16" s="25" t="s">
        <v>168</v>
      </c>
      <c r="D16" s="25">
        <f ca="1">INDEX(INDIRECT(CONCATENATE("'",RIGHT(D$1,2),"'!$F$8:$N$88")),MATCH($A16,INDIRECT(CONCATENATE("'",RIGHT(D$1,2),IF($B16="chemicals","'!$C$8:$C$88","'!$B$8:$B$88"))),0),MATCH('Other Industrial Processes'!$C16,INDIRECT(CONCATENATE("'",RIGHT(D$1,2),"'!$F$4:$N$4")),0))</f>
        <v>1.5089026180226699</v>
      </c>
      <c r="E16" s="25">
        <f ca="1">INDEX(INDIRECT(CONCATENATE("'",RIGHT(E$1,2),"'!$F$8:$N$88")),MATCH($A16,INDIRECT(CONCATENATE("'",RIGHT(E$1,2),IF($B16="chemicals","'!$C$8:$C$88","'!$B$8:$B$88"))),0),MATCH('Other Industrial Processes'!$C16,INDIRECT(CONCATENATE("'",RIGHT(E$1,2),"'!$F$4:$N$4")),0))</f>
        <v>1.1967144539888299</v>
      </c>
      <c r="F16" s="25">
        <f ca="1">INDEX(INDIRECT(CONCATENATE("'",RIGHT(F$1,2),"'!$F$8:$N$88")),MATCH($A16,INDIRECT(CONCATENATE("'",RIGHT(F$1,2),IF($B16="chemicals","'!$C$8:$C$88","'!$B$8:$B$88"))),0),MATCH('Other Industrial Processes'!$C16,INDIRECT(CONCATENATE("'",RIGHT(F$1,2),"'!$F$4:$N$4")),0))</f>
        <v>1.5428531493532001</v>
      </c>
      <c r="G16" s="25">
        <f ca="1">INDEX(INDIRECT(CONCATENATE("'",RIGHT(G$1,2),"'!$F$8:$N$88")),MATCH($A16,INDIRECT(CONCATENATE("'",RIGHT(G$1,2),IF($B16="chemicals","'!$C$8:$C$88","'!$B$8:$B$88"))),0),MATCH('Other Industrial Processes'!$C16,INDIRECT(CONCATENATE("'",RIGHT(G$1,2),"'!$F$4:$N$4")),0))</f>
        <v>1.5200567144570001</v>
      </c>
      <c r="H16" s="25">
        <f ca="1">INDEX(INDIRECT(CONCATENATE("'",RIGHT(H$1,2),"'!$F$8:$N$88")),MATCH($A16,INDIRECT(CONCATENATE("'",RIGHT(H$1,2),IF($B16="chemicals","'!$C$8:$C$88","'!$B$8:$B$88"))),0),MATCH('Other Industrial Processes'!$C16,INDIRECT(CONCATENATE("'",RIGHT(H$1,2),"'!$F$4:$N$4")),0))</f>
        <v>1.0059982476566001</v>
      </c>
      <c r="I16" s="25">
        <f ca="1">INDEX(INDIRECT(CONCATENATE("'",RIGHT(I$1,2),"'!$F$8:$N$88")),MATCH($A16,INDIRECT(CONCATENATE("'",RIGHT(I$1,2),IF($B16="chemicals","'!$C$8:$C$88","'!$B$8:$B$88"))),0),MATCH('Other Industrial Processes'!$C16,INDIRECT(CONCATENATE("'",RIGHT(I$1,2),"'!$F$4:$N$4")),0))</f>
        <v>0.92984559113441301</v>
      </c>
      <c r="J16" s="25">
        <f ca="1">INDEX(INDIRECT(CONCATENATE("'",RIGHT(J$1,2),"'!$F$8:$N$88")),MATCH($A16,INDIRECT(CONCATENATE("'",RIGHT(J$1,2),IF($B16="chemicals","'!$C$8:$C$88","'!$B$8:$B$88"))),0),MATCH('Other Industrial Processes'!$C16,INDIRECT(CONCATENATE("'",RIGHT(J$1,2),"'!$F$4:$N$4")),0))</f>
        <v>1.18663402660324</v>
      </c>
      <c r="K16" s="25">
        <f ca="1">INDEX(INDIRECT(CONCATENATE("'",RIGHT(K$1,2),"'!$F$8:$N$88")),MATCH($A16,INDIRECT(CONCATENATE("'",RIGHT(K$1,2),IF($B16="chemicals","'!$C$8:$C$88","'!$B$8:$B$88"))),0),MATCH('Other Industrial Processes'!$C16,INDIRECT(CONCATENATE("'",RIGHT(K$1,2),"'!$F$4:$N$4")),0))</f>
        <v>1.59186372730834</v>
      </c>
      <c r="L16" s="25">
        <f ca="1">INDEX(INDIRECT(CONCATENATE("'",RIGHT(L$1,2),"'!$F$8:$N$88")),MATCH($A16,INDIRECT(CONCATENATE("'",RIGHT(L$1,2),IF($B16="chemicals","'!$C$8:$C$88","'!$B$8:$B$88"))),0),MATCH('Other Industrial Processes'!$C16,INDIRECT(CONCATENATE("'",RIGHT(L$1,2),"'!$F$4:$N$4")),0))</f>
        <v>1.4570819565595099</v>
      </c>
      <c r="M16" s="25">
        <f ca="1">INDEX(INDIRECT(CONCATENATE("'",RIGHT(M$1,2),"'!$F$8:$N$88")),MATCH($A16,INDIRECT(CONCATENATE("'",RIGHT(M$1,2),IF($B16="chemicals","'!$C$8:$C$88","'!$B$8:$B$88"))),0),MATCH('Other Industrial Processes'!$C16,INDIRECT(CONCATENATE("'",RIGHT(M$1,2),"'!$F$4:$N$4")),0))</f>
        <v>1.6782000395322001</v>
      </c>
      <c r="N16" s="301">
        <f t="shared" ref="N16:AV16" ca="1" si="14">IFERROR(IF($M16-$D16&gt;=0,($M16-$D16)/COUNT($E$1:$M$1)+M16,$F80*$E80^N$1),0)</f>
        <v>1.6970108641443702</v>
      </c>
      <c r="O16" s="301">
        <f t="shared" ca="1" si="14"/>
        <v>1.7158216887565403</v>
      </c>
      <c r="P16" s="301">
        <f t="shared" ca="1" si="14"/>
        <v>1.7346325133687104</v>
      </c>
      <c r="Q16" s="301">
        <f t="shared" ca="1" si="14"/>
        <v>1.7534433379808805</v>
      </c>
      <c r="R16" s="301">
        <f t="shared" ca="1" si="14"/>
        <v>1.7722541625930506</v>
      </c>
      <c r="S16" s="301">
        <f t="shared" ca="1" si="14"/>
        <v>1.7910649872052207</v>
      </c>
      <c r="T16" s="301">
        <f t="shared" ca="1" si="14"/>
        <v>1.8098758118173908</v>
      </c>
      <c r="U16" s="301">
        <f t="shared" ca="1" si="14"/>
        <v>1.8286866364295609</v>
      </c>
      <c r="V16" s="301">
        <f t="shared" ca="1" si="14"/>
        <v>1.847497461041731</v>
      </c>
      <c r="W16" s="301">
        <f t="shared" ca="1" si="14"/>
        <v>1.8663082856539011</v>
      </c>
      <c r="X16" s="301">
        <f t="shared" ca="1" si="14"/>
        <v>1.8851191102660712</v>
      </c>
      <c r="Y16" s="301">
        <f t="shared" ca="1" si="14"/>
        <v>1.9039299348782412</v>
      </c>
      <c r="Z16" s="301">
        <f t="shared" ca="1" si="14"/>
        <v>1.9227407594904113</v>
      </c>
      <c r="AA16" s="301">
        <f t="shared" ca="1" si="14"/>
        <v>1.9415515841025814</v>
      </c>
      <c r="AB16" s="301">
        <f t="shared" ca="1" si="14"/>
        <v>1.9603624087147515</v>
      </c>
      <c r="AC16" s="301">
        <f t="shared" ca="1" si="14"/>
        <v>1.9791732333269216</v>
      </c>
      <c r="AD16" s="301">
        <f t="shared" ca="1" si="14"/>
        <v>1.9979840579390917</v>
      </c>
      <c r="AE16" s="301">
        <f t="shared" ca="1" si="14"/>
        <v>2.0167948825512618</v>
      </c>
      <c r="AF16" s="301">
        <f t="shared" ca="1" si="14"/>
        <v>2.0356057071634317</v>
      </c>
      <c r="AG16" s="301">
        <f t="shared" ca="1" si="14"/>
        <v>2.0544165317756016</v>
      </c>
      <c r="AH16" s="301">
        <f t="shared" ca="1" si="14"/>
        <v>2.0732273563877714</v>
      </c>
      <c r="AI16" s="301">
        <f t="shared" ca="1" si="14"/>
        <v>2.0920381809999413</v>
      </c>
      <c r="AJ16" s="301">
        <f t="shared" ca="1" si="14"/>
        <v>2.1108490056121112</v>
      </c>
      <c r="AK16" s="301">
        <f t="shared" ca="1" si="14"/>
        <v>2.1296598302242811</v>
      </c>
      <c r="AL16" s="301">
        <f t="shared" ca="1" si="14"/>
        <v>2.1484706548364509</v>
      </c>
      <c r="AM16" s="301">
        <f t="shared" ca="1" si="14"/>
        <v>2.1672814794486208</v>
      </c>
      <c r="AN16" s="301">
        <f t="shared" ca="1" si="14"/>
        <v>2.1860923040607907</v>
      </c>
      <c r="AO16" s="301">
        <f t="shared" ca="1" si="14"/>
        <v>2.2049031286729606</v>
      </c>
      <c r="AP16" s="301">
        <f t="shared" ca="1" si="14"/>
        <v>2.2237139532851304</v>
      </c>
      <c r="AQ16" s="301">
        <f t="shared" ca="1" si="14"/>
        <v>2.2425247778973003</v>
      </c>
      <c r="AR16" s="301">
        <f t="shared" ca="1" si="14"/>
        <v>2.2613356025094702</v>
      </c>
      <c r="AS16" s="301">
        <f t="shared" ca="1" si="14"/>
        <v>2.2801464271216401</v>
      </c>
      <c r="AT16" s="301">
        <f t="shared" ca="1" si="14"/>
        <v>2.2989572517338099</v>
      </c>
      <c r="AU16" s="301">
        <f t="shared" ca="1" si="14"/>
        <v>2.3177680763459798</v>
      </c>
      <c r="AV16" s="301">
        <f t="shared" ca="1" si="14"/>
        <v>2.3365789009581497</v>
      </c>
    </row>
    <row r="17" spans="1:48" x14ac:dyDescent="0.25">
      <c r="A17" s="25" t="s">
        <v>784</v>
      </c>
      <c r="B17" t="s">
        <v>26</v>
      </c>
      <c r="C17" s="25" t="s">
        <v>168</v>
      </c>
      <c r="D17" s="25">
        <f ca="1">INDEX(INDIRECT(CONCATENATE("'",RIGHT(D$1,2),"'!$F$8:$N$88")),MATCH($A17,INDIRECT(CONCATENATE("'",RIGHT(D$1,2),IF($B17="chemicals","'!$C$8:$C$88","'!$B$8:$B$88"))),0),MATCH('Other Industrial Processes'!$C17,INDIRECT(CONCATENATE("'",RIGHT(D$1,2),"'!$F$4:$N$4")),0))</f>
        <v>0</v>
      </c>
      <c r="E17" s="25">
        <f ca="1">INDEX(INDIRECT(CONCATENATE("'",RIGHT(E$1,2),"'!$F$8:$N$88")),MATCH($A17,INDIRECT(CONCATENATE("'",RIGHT(E$1,2),IF($B17="chemicals","'!$C$8:$C$88","'!$B$8:$B$88"))),0),MATCH('Other Industrial Processes'!$C17,INDIRECT(CONCATENATE("'",RIGHT(E$1,2),"'!$F$4:$N$4")),0))</f>
        <v>0</v>
      </c>
      <c r="F17" s="25">
        <f ca="1">INDEX(INDIRECT(CONCATENATE("'",RIGHT(F$1,2),"'!$F$8:$N$88")),MATCH($A17,INDIRECT(CONCATENATE("'",RIGHT(F$1,2),IF($B17="chemicals","'!$C$8:$C$88","'!$B$8:$B$88"))),0),MATCH('Other Industrial Processes'!$C17,INDIRECT(CONCATENATE("'",RIGHT(F$1,2),"'!$F$4:$N$4")),0))</f>
        <v>0</v>
      </c>
      <c r="G17" s="25">
        <f ca="1">INDEX(INDIRECT(CONCATENATE("'",RIGHT(G$1,2),"'!$F$8:$N$88")),MATCH($A17,INDIRECT(CONCATENATE("'",RIGHT(G$1,2),IF($B17="chemicals","'!$C$8:$C$88","'!$B$8:$B$88"))),0),MATCH('Other Industrial Processes'!$C17,INDIRECT(CONCATENATE("'",RIGHT(G$1,2),"'!$F$4:$N$4")),0))</f>
        <v>0</v>
      </c>
      <c r="H17" s="25">
        <f ca="1">INDEX(INDIRECT(CONCATENATE("'",RIGHT(H$1,2),"'!$F$8:$N$88")),MATCH($A17,INDIRECT(CONCATENATE("'",RIGHT(H$1,2),IF($B17="chemicals","'!$C$8:$C$88","'!$B$8:$B$88"))),0),MATCH('Other Industrial Processes'!$C17,INDIRECT(CONCATENATE("'",RIGHT(H$1,2),"'!$F$4:$N$4")),0))</f>
        <v>0</v>
      </c>
      <c r="I17" s="25">
        <f ca="1">INDEX(INDIRECT(CONCATENATE("'",RIGHT(I$1,2),"'!$F$8:$N$88")),MATCH($A17,INDIRECT(CONCATENATE("'",RIGHT(I$1,2),IF($B17="chemicals","'!$C$8:$C$88","'!$B$8:$B$88"))),0),MATCH('Other Industrial Processes'!$C17,INDIRECT(CONCATENATE("'",RIGHT(I$1,2),"'!$F$4:$N$4")),0))</f>
        <v>0</v>
      </c>
      <c r="J17" s="25">
        <f ca="1">INDEX(INDIRECT(CONCATENATE("'",RIGHT(J$1,2),"'!$F$8:$N$88")),MATCH($A17,INDIRECT(CONCATENATE("'",RIGHT(J$1,2),IF($B17="chemicals","'!$C$8:$C$88","'!$B$8:$B$88"))),0),MATCH('Other Industrial Processes'!$C17,INDIRECT(CONCATENATE("'",RIGHT(J$1,2),"'!$F$4:$N$4")),0))</f>
        <v>0</v>
      </c>
      <c r="K17" s="25">
        <f ca="1">INDEX(INDIRECT(CONCATENATE("'",RIGHT(K$1,2),"'!$F$8:$N$88")),MATCH($A17,INDIRECT(CONCATENATE("'",RIGHT(K$1,2),IF($B17="chemicals","'!$C$8:$C$88","'!$B$8:$B$88"))),0),MATCH('Other Industrial Processes'!$C17,INDIRECT(CONCATENATE("'",RIGHT(K$1,2),"'!$F$4:$N$4")),0))</f>
        <v>0</v>
      </c>
      <c r="L17" s="25">
        <f ca="1">INDEX(INDIRECT(CONCATENATE("'",RIGHT(L$1,2),"'!$F$8:$N$88")),MATCH($A17,INDIRECT(CONCATENATE("'",RIGHT(L$1,2),IF($B17="chemicals","'!$C$8:$C$88","'!$B$8:$B$88"))),0),MATCH('Other Industrial Processes'!$C17,INDIRECT(CONCATENATE("'",RIGHT(L$1,2),"'!$F$4:$N$4")),0))</f>
        <v>0</v>
      </c>
      <c r="M17" s="25">
        <f ca="1">INDEX(INDIRECT(CONCATENATE("'",RIGHT(M$1,2),"'!$F$8:$N$88")),MATCH($A17,INDIRECT(CONCATENATE("'",RIGHT(M$1,2),IF($B17="chemicals","'!$C$8:$C$88","'!$B$8:$B$88"))),0),MATCH('Other Industrial Processes'!$C17,INDIRECT(CONCATENATE("'",RIGHT(M$1,2),"'!$F$4:$N$4")),0))</f>
        <v>0</v>
      </c>
      <c r="N17" s="301">
        <f t="shared" ref="N17:AV17" ca="1" si="15">IFERROR(IF($M17-$D17&gt;=0,($M17-$D17)/COUNT($E$1:$M$1)+M17,$F81*$E81^N$1),0)</f>
        <v>0</v>
      </c>
      <c r="O17" s="301">
        <f t="shared" ca="1" si="15"/>
        <v>0</v>
      </c>
      <c r="P17" s="301">
        <f t="shared" ca="1" si="15"/>
        <v>0</v>
      </c>
      <c r="Q17" s="301">
        <f t="shared" ca="1" si="15"/>
        <v>0</v>
      </c>
      <c r="R17" s="301">
        <f t="shared" ca="1" si="15"/>
        <v>0</v>
      </c>
      <c r="S17" s="301">
        <f t="shared" ca="1" si="15"/>
        <v>0</v>
      </c>
      <c r="T17" s="301">
        <f t="shared" ca="1" si="15"/>
        <v>0</v>
      </c>
      <c r="U17" s="301">
        <f t="shared" ca="1" si="15"/>
        <v>0</v>
      </c>
      <c r="V17" s="301">
        <f t="shared" ca="1" si="15"/>
        <v>0</v>
      </c>
      <c r="W17" s="301">
        <f t="shared" ca="1" si="15"/>
        <v>0</v>
      </c>
      <c r="X17" s="301">
        <f t="shared" ca="1" si="15"/>
        <v>0</v>
      </c>
      <c r="Y17" s="301">
        <f t="shared" ca="1" si="15"/>
        <v>0</v>
      </c>
      <c r="Z17" s="301">
        <f t="shared" ca="1" si="15"/>
        <v>0</v>
      </c>
      <c r="AA17" s="301">
        <f t="shared" ca="1" si="15"/>
        <v>0</v>
      </c>
      <c r="AB17" s="301">
        <f t="shared" ca="1" si="15"/>
        <v>0</v>
      </c>
      <c r="AC17" s="301">
        <f t="shared" ca="1" si="15"/>
        <v>0</v>
      </c>
      <c r="AD17" s="301">
        <f t="shared" ca="1" si="15"/>
        <v>0</v>
      </c>
      <c r="AE17" s="301">
        <f t="shared" ca="1" si="15"/>
        <v>0</v>
      </c>
      <c r="AF17" s="301">
        <f t="shared" ca="1" si="15"/>
        <v>0</v>
      </c>
      <c r="AG17" s="301">
        <f t="shared" ca="1" si="15"/>
        <v>0</v>
      </c>
      <c r="AH17" s="301">
        <f t="shared" ca="1" si="15"/>
        <v>0</v>
      </c>
      <c r="AI17" s="301">
        <f t="shared" ca="1" si="15"/>
        <v>0</v>
      </c>
      <c r="AJ17" s="301">
        <f t="shared" ca="1" si="15"/>
        <v>0</v>
      </c>
      <c r="AK17" s="301">
        <f t="shared" ca="1" si="15"/>
        <v>0</v>
      </c>
      <c r="AL17" s="301">
        <f t="shared" ca="1" si="15"/>
        <v>0</v>
      </c>
      <c r="AM17" s="301">
        <f t="shared" ca="1" si="15"/>
        <v>0</v>
      </c>
      <c r="AN17" s="301">
        <f t="shared" ca="1" si="15"/>
        <v>0</v>
      </c>
      <c r="AO17" s="301">
        <f t="shared" ca="1" si="15"/>
        <v>0</v>
      </c>
      <c r="AP17" s="301">
        <f t="shared" ca="1" si="15"/>
        <v>0</v>
      </c>
      <c r="AQ17" s="301">
        <f t="shared" ca="1" si="15"/>
        <v>0</v>
      </c>
      <c r="AR17" s="301">
        <f t="shared" ca="1" si="15"/>
        <v>0</v>
      </c>
      <c r="AS17" s="301">
        <f t="shared" ca="1" si="15"/>
        <v>0</v>
      </c>
      <c r="AT17" s="301">
        <f t="shared" ca="1" si="15"/>
        <v>0</v>
      </c>
      <c r="AU17" s="301">
        <f t="shared" ca="1" si="15"/>
        <v>0</v>
      </c>
      <c r="AV17" s="301">
        <f t="shared" ca="1" si="15"/>
        <v>0</v>
      </c>
    </row>
    <row r="18" spans="1:48" x14ac:dyDescent="0.25">
      <c r="A18" s="25" t="s">
        <v>192</v>
      </c>
      <c r="B18" t="s">
        <v>4</v>
      </c>
      <c r="C18" s="25" t="s">
        <v>169</v>
      </c>
      <c r="D18" s="25">
        <f ca="1">INDEX(INDIRECT(CONCATENATE("'",RIGHT(D$1,2),"'!$F$8:$N$88")),MATCH($A18,INDIRECT(CONCATENATE("'",RIGHT(D$1,2),IF($B18="chemicals","'!$C$8:$C$88","'!$B$8:$B$88"))),0),MATCH('Other Industrial Processes'!$C18,INDIRECT(CONCATENATE("'",RIGHT(D$1,2),"'!$F$4:$N$4")),0))</f>
        <v>0</v>
      </c>
      <c r="E18" s="25">
        <f ca="1">INDEX(INDIRECT(CONCATENATE("'",RIGHT(E$1,2),"'!$F$8:$N$88")),MATCH($A18,INDIRECT(CONCATENATE("'",RIGHT(E$1,2),IF($B18="chemicals","'!$C$8:$C$88","'!$B$8:$B$88"))),0),MATCH('Other Industrial Processes'!$C18,INDIRECT(CONCATENATE("'",RIGHT(E$1,2),"'!$F$4:$N$4")),0))</f>
        <v>0</v>
      </c>
      <c r="F18" s="25">
        <f ca="1">INDEX(INDIRECT(CONCATENATE("'",RIGHT(F$1,2),"'!$F$8:$N$88")),MATCH($A18,INDIRECT(CONCATENATE("'",RIGHT(F$1,2),IF($B18="chemicals","'!$C$8:$C$88","'!$B$8:$B$88"))),0),MATCH('Other Industrial Processes'!$C18,INDIRECT(CONCATENATE("'",RIGHT(F$1,2),"'!$F$4:$N$4")),0))</f>
        <v>0</v>
      </c>
      <c r="G18" s="25">
        <f ca="1">INDEX(INDIRECT(CONCATENATE("'",RIGHT(G$1,2),"'!$F$8:$N$88")),MATCH($A18,INDIRECT(CONCATENATE("'",RIGHT(G$1,2),IF($B18="chemicals","'!$C$8:$C$88","'!$B$8:$B$88"))),0),MATCH('Other Industrial Processes'!$C18,INDIRECT(CONCATENATE("'",RIGHT(G$1,2),"'!$F$4:$N$4")),0))</f>
        <v>0</v>
      </c>
      <c r="H18" s="25">
        <f ca="1">INDEX(INDIRECT(CONCATENATE("'",RIGHT(H$1,2),"'!$F$8:$N$88")),MATCH($A18,INDIRECT(CONCATENATE("'",RIGHT(H$1,2),IF($B18="chemicals","'!$C$8:$C$88","'!$B$8:$B$88"))),0),MATCH('Other Industrial Processes'!$C18,INDIRECT(CONCATENATE("'",RIGHT(H$1,2),"'!$F$4:$N$4")),0))</f>
        <v>0</v>
      </c>
      <c r="I18" s="25">
        <f ca="1">INDEX(INDIRECT(CONCATENATE("'",RIGHT(I$1,2),"'!$F$8:$N$88")),MATCH($A18,INDIRECT(CONCATENATE("'",RIGHT(I$1,2),IF($B18="chemicals","'!$C$8:$C$88","'!$B$8:$B$88"))),0),MATCH('Other Industrial Processes'!$C18,INDIRECT(CONCATENATE("'",RIGHT(I$1,2),"'!$F$4:$N$4")),0))</f>
        <v>0</v>
      </c>
      <c r="J18" s="25">
        <f ca="1">INDEX(INDIRECT(CONCATENATE("'",RIGHT(J$1,2),"'!$F$8:$N$88")),MATCH($A18,INDIRECT(CONCATENATE("'",RIGHT(J$1,2),IF($B18="chemicals","'!$C$8:$C$88","'!$B$8:$B$88"))),0),MATCH('Other Industrial Processes'!$C18,INDIRECT(CONCATENATE("'",RIGHT(J$1,2),"'!$F$4:$N$4")),0))</f>
        <v>0</v>
      </c>
      <c r="K18" s="25">
        <f ca="1">INDEX(INDIRECT(CONCATENATE("'",RIGHT(K$1,2),"'!$F$8:$N$88")),MATCH($A18,INDIRECT(CONCATENATE("'",RIGHT(K$1,2),IF($B18="chemicals","'!$C$8:$C$88","'!$B$8:$B$88"))),0),MATCH('Other Industrial Processes'!$C18,INDIRECT(CONCATENATE("'",RIGHT(K$1,2),"'!$F$4:$N$4")),0))</f>
        <v>0</v>
      </c>
      <c r="L18" s="25">
        <f ca="1">INDEX(INDIRECT(CONCATENATE("'",RIGHT(L$1,2),"'!$F$8:$N$88")),MATCH($A18,INDIRECT(CONCATENATE("'",RIGHT(L$1,2),IF($B18="chemicals","'!$C$8:$C$88","'!$B$8:$B$88"))),0),MATCH('Other Industrial Processes'!$C18,INDIRECT(CONCATENATE("'",RIGHT(L$1,2),"'!$F$4:$N$4")),0))</f>
        <v>0</v>
      </c>
      <c r="M18" s="25">
        <f ca="1">INDEX(INDIRECT(CONCATENATE("'",RIGHT(M$1,2),"'!$F$8:$N$88")),MATCH($A18,INDIRECT(CONCATENATE("'",RIGHT(M$1,2),IF($B18="chemicals","'!$C$8:$C$88","'!$B$8:$B$88"))),0),MATCH('Other Industrial Processes'!$C18,INDIRECT(CONCATENATE("'",RIGHT(M$1,2),"'!$F$4:$N$4")),0))</f>
        <v>0</v>
      </c>
      <c r="N18" s="301">
        <f t="shared" ref="N18:AV18" ca="1" si="16">IFERROR(IF($M18-$D18&gt;=0,($M18-$D18)/COUNT($E$1:$M$1)+M18,$F82*$E82^N$1),0)</f>
        <v>0</v>
      </c>
      <c r="O18" s="301">
        <f t="shared" ca="1" si="16"/>
        <v>0</v>
      </c>
      <c r="P18" s="301">
        <f t="shared" ca="1" si="16"/>
        <v>0</v>
      </c>
      <c r="Q18" s="301">
        <f t="shared" ca="1" si="16"/>
        <v>0</v>
      </c>
      <c r="R18" s="301">
        <f t="shared" ca="1" si="16"/>
        <v>0</v>
      </c>
      <c r="S18" s="301">
        <f t="shared" ca="1" si="16"/>
        <v>0</v>
      </c>
      <c r="T18" s="301">
        <f t="shared" ca="1" si="16"/>
        <v>0</v>
      </c>
      <c r="U18" s="301">
        <f t="shared" ca="1" si="16"/>
        <v>0</v>
      </c>
      <c r="V18" s="301">
        <f t="shared" ca="1" si="16"/>
        <v>0</v>
      </c>
      <c r="W18" s="301">
        <f t="shared" ca="1" si="16"/>
        <v>0</v>
      </c>
      <c r="X18" s="301">
        <f t="shared" ca="1" si="16"/>
        <v>0</v>
      </c>
      <c r="Y18" s="301">
        <f t="shared" ca="1" si="16"/>
        <v>0</v>
      </c>
      <c r="Z18" s="301">
        <f t="shared" ca="1" si="16"/>
        <v>0</v>
      </c>
      <c r="AA18" s="301">
        <f t="shared" ca="1" si="16"/>
        <v>0</v>
      </c>
      <c r="AB18" s="301">
        <f t="shared" ca="1" si="16"/>
        <v>0</v>
      </c>
      <c r="AC18" s="301">
        <f t="shared" ca="1" si="16"/>
        <v>0</v>
      </c>
      <c r="AD18" s="301">
        <f t="shared" ca="1" si="16"/>
        <v>0</v>
      </c>
      <c r="AE18" s="301">
        <f t="shared" ca="1" si="16"/>
        <v>0</v>
      </c>
      <c r="AF18" s="301">
        <f t="shared" ca="1" si="16"/>
        <v>0</v>
      </c>
      <c r="AG18" s="301">
        <f t="shared" ca="1" si="16"/>
        <v>0</v>
      </c>
      <c r="AH18" s="301">
        <f t="shared" ca="1" si="16"/>
        <v>0</v>
      </c>
      <c r="AI18" s="301">
        <f t="shared" ca="1" si="16"/>
        <v>0</v>
      </c>
      <c r="AJ18" s="301">
        <f t="shared" ca="1" si="16"/>
        <v>0</v>
      </c>
      <c r="AK18" s="301">
        <f t="shared" ca="1" si="16"/>
        <v>0</v>
      </c>
      <c r="AL18" s="301">
        <f t="shared" ca="1" si="16"/>
        <v>0</v>
      </c>
      <c r="AM18" s="301">
        <f t="shared" ca="1" si="16"/>
        <v>0</v>
      </c>
      <c r="AN18" s="301">
        <f t="shared" ca="1" si="16"/>
        <v>0</v>
      </c>
      <c r="AO18" s="301">
        <f t="shared" ca="1" si="16"/>
        <v>0</v>
      </c>
      <c r="AP18" s="301">
        <f t="shared" ca="1" si="16"/>
        <v>0</v>
      </c>
      <c r="AQ18" s="301">
        <f t="shared" ca="1" si="16"/>
        <v>0</v>
      </c>
      <c r="AR18" s="301">
        <f t="shared" ca="1" si="16"/>
        <v>0</v>
      </c>
      <c r="AS18" s="301">
        <f t="shared" ca="1" si="16"/>
        <v>0</v>
      </c>
      <c r="AT18" s="301">
        <f t="shared" ca="1" si="16"/>
        <v>0</v>
      </c>
      <c r="AU18" s="301">
        <f t="shared" ca="1" si="16"/>
        <v>0</v>
      </c>
      <c r="AV18" s="301">
        <f t="shared" ca="1" si="16"/>
        <v>0</v>
      </c>
    </row>
    <row r="19" spans="1:48" x14ac:dyDescent="0.25">
      <c r="A19" s="25" t="s">
        <v>190</v>
      </c>
      <c r="B19" t="s">
        <v>4</v>
      </c>
      <c r="C19" s="25" t="s">
        <v>169</v>
      </c>
      <c r="D19" s="25">
        <f ca="1">INDEX(INDIRECT(CONCATENATE("'",RIGHT(D$1,2),"'!$F$8:$N$88")),MATCH($A19,INDIRECT(CONCATENATE("'",RIGHT(D$1,2),IF($B19="chemicals","'!$C$8:$C$88","'!$B$8:$B$88"))),0),MATCH('Other Industrial Processes'!$C19,INDIRECT(CONCATENATE("'",RIGHT(D$1,2),"'!$F$4:$N$4")),0))</f>
        <v>3.9799743799999998</v>
      </c>
      <c r="E19" s="25">
        <f ca="1">INDEX(INDIRECT(CONCATENATE("'",RIGHT(E$1,2),"'!$F$8:$N$88")),MATCH($A19,INDIRECT(CONCATENATE("'",RIGHT(E$1,2),IF($B19="chemicals","'!$C$8:$C$88","'!$B$8:$B$88"))),0),MATCH('Other Industrial Processes'!$C19,INDIRECT(CONCATENATE("'",RIGHT(E$1,2),"'!$F$4:$N$4")),0))</f>
        <v>3.6583747612000002</v>
      </c>
      <c r="F19" s="25">
        <f ca="1">INDEX(INDIRECT(CONCATENATE("'",RIGHT(F$1,2),"'!$F$8:$N$88")),MATCH($A19,INDIRECT(CONCATENATE("'",RIGHT(F$1,2),IF($B19="chemicals","'!$C$8:$C$88","'!$B$8:$B$88"))),0),MATCH('Other Industrial Processes'!$C19,INDIRECT(CONCATENATE("'",RIGHT(F$1,2),"'!$F$4:$N$4")),0))</f>
        <v>4.1335987799999998</v>
      </c>
      <c r="G19" s="25">
        <f ca="1">INDEX(INDIRECT(CONCATENATE("'",RIGHT(G$1,2),"'!$F$8:$N$88")),MATCH($A19,INDIRECT(CONCATENATE("'",RIGHT(G$1,2),IF($B19="chemicals","'!$C$8:$C$88","'!$B$8:$B$88"))),0),MATCH('Other Industrial Processes'!$C19,INDIRECT(CONCATENATE("'",RIGHT(G$1,2),"'!$F$4:$N$4")),0))</f>
        <v>3.7084868320000002</v>
      </c>
      <c r="H19" s="25">
        <f ca="1">INDEX(INDIRECT(CONCATENATE("'",RIGHT(H$1,2),"'!$F$8:$N$88")),MATCH($A19,INDIRECT(CONCATENATE("'",RIGHT(H$1,2),IF($B19="chemicals","'!$C$8:$C$88","'!$B$8:$B$88"))),0),MATCH('Other Industrial Processes'!$C19,INDIRECT(CONCATENATE("'",RIGHT(H$1,2),"'!$F$4:$N$4")),0))</f>
        <v>3.5568846999999999</v>
      </c>
      <c r="I19" s="25">
        <f ca="1">INDEX(INDIRECT(CONCATENATE("'",RIGHT(I$1,2),"'!$F$8:$N$88")),MATCH($A19,INDIRECT(CONCATENATE("'",RIGHT(I$1,2),IF($B19="chemicals","'!$C$8:$C$88","'!$B$8:$B$88"))),0),MATCH('Other Industrial Processes'!$C19,INDIRECT(CONCATENATE("'",RIGHT(I$1,2),"'!$F$4:$N$4")),0))</f>
        <v>3.7514720399999999</v>
      </c>
      <c r="J19" s="25">
        <f ca="1">INDEX(INDIRECT(CONCATENATE("'",RIGHT(J$1,2),"'!$F$8:$N$88")),MATCH($A19,INDIRECT(CONCATENATE("'",RIGHT(J$1,2),IF($B19="chemicals","'!$C$8:$C$88","'!$B$8:$B$88"))),0),MATCH('Other Industrial Processes'!$C19,INDIRECT(CONCATENATE("'",RIGHT(J$1,2),"'!$F$4:$N$4")),0))</f>
        <v>3.5894257860665801</v>
      </c>
      <c r="K19" s="25">
        <f ca="1">INDEX(INDIRECT(CONCATENATE("'",RIGHT(K$1,2),"'!$F$8:$N$88")),MATCH($A19,INDIRECT(CONCATENATE("'",RIGHT(K$1,2),IF($B19="chemicals","'!$C$8:$C$88","'!$B$8:$B$88"))),0),MATCH('Other Industrial Processes'!$C19,INDIRECT(CONCATENATE("'",RIGHT(K$1,2),"'!$F$4:$N$4")),0))</f>
        <v>3.3155296862638699</v>
      </c>
      <c r="L19" s="25">
        <f ca="1">INDEX(INDIRECT(CONCATENATE("'",RIGHT(L$1,2),"'!$F$8:$N$88")),MATCH($A19,INDIRECT(CONCATENATE("'",RIGHT(L$1,2),IF($B19="chemicals","'!$C$8:$C$88","'!$B$8:$B$88"))),0),MATCH('Other Industrial Processes'!$C19,INDIRECT(CONCATENATE("'",RIGHT(L$1,2),"'!$F$4:$N$4")),0))</f>
        <v>3.4374684069790402</v>
      </c>
      <c r="M19" s="25">
        <f ca="1">INDEX(INDIRECT(CONCATENATE("'",RIGHT(M$1,2),"'!$F$8:$N$88")),MATCH($A19,INDIRECT(CONCATENATE("'",RIGHT(M$1,2),IF($B19="chemicals","'!$C$8:$C$88","'!$B$8:$B$88"))),0),MATCH('Other Industrial Processes'!$C19,INDIRECT(CONCATENATE("'",RIGHT(M$1,2),"'!$F$4:$N$4")),0))</f>
        <v>3.72756888816276</v>
      </c>
      <c r="N19" s="301">
        <f t="shared" ref="N19:AV19" ca="1" si="17">IFERROR(IF($M19-$D19&gt;=0,($M19-$D19)/COUNT($E$1:$M$1)+M19,$F83*$E83^N$1),0)</f>
        <v>0</v>
      </c>
      <c r="O19" s="301">
        <f t="shared" ca="1" si="17"/>
        <v>0</v>
      </c>
      <c r="P19" s="301">
        <f t="shared" ca="1" si="17"/>
        <v>0</v>
      </c>
      <c r="Q19" s="301">
        <f t="shared" ca="1" si="17"/>
        <v>0</v>
      </c>
      <c r="R19" s="301">
        <f t="shared" ca="1" si="17"/>
        <v>0</v>
      </c>
      <c r="S19" s="301">
        <f t="shared" ca="1" si="17"/>
        <v>0</v>
      </c>
      <c r="T19" s="301">
        <f t="shared" ca="1" si="17"/>
        <v>0</v>
      </c>
      <c r="U19" s="301">
        <f t="shared" ca="1" si="17"/>
        <v>0</v>
      </c>
      <c r="V19" s="301">
        <f t="shared" ca="1" si="17"/>
        <v>0</v>
      </c>
      <c r="W19" s="301">
        <f t="shared" ca="1" si="17"/>
        <v>0</v>
      </c>
      <c r="X19" s="301">
        <f t="shared" ca="1" si="17"/>
        <v>0</v>
      </c>
      <c r="Y19" s="301">
        <f t="shared" ca="1" si="17"/>
        <v>0</v>
      </c>
      <c r="Z19" s="301">
        <f t="shared" ca="1" si="17"/>
        <v>0</v>
      </c>
      <c r="AA19" s="301">
        <f t="shared" ca="1" si="17"/>
        <v>0</v>
      </c>
      <c r="AB19" s="301">
        <f t="shared" ca="1" si="17"/>
        <v>0</v>
      </c>
      <c r="AC19" s="301">
        <f t="shared" ca="1" si="17"/>
        <v>0</v>
      </c>
      <c r="AD19" s="301">
        <f t="shared" ca="1" si="17"/>
        <v>0</v>
      </c>
      <c r="AE19" s="301">
        <f t="shared" ca="1" si="17"/>
        <v>0</v>
      </c>
      <c r="AF19" s="301">
        <f t="shared" ca="1" si="17"/>
        <v>0</v>
      </c>
      <c r="AG19" s="301">
        <f t="shared" ca="1" si="17"/>
        <v>0</v>
      </c>
      <c r="AH19" s="301">
        <f t="shared" ca="1" si="17"/>
        <v>0</v>
      </c>
      <c r="AI19" s="301">
        <f t="shared" ca="1" si="17"/>
        <v>0</v>
      </c>
      <c r="AJ19" s="301">
        <f t="shared" ca="1" si="17"/>
        <v>0</v>
      </c>
      <c r="AK19" s="301">
        <f t="shared" ca="1" si="17"/>
        <v>0</v>
      </c>
      <c r="AL19" s="301">
        <f t="shared" ca="1" si="17"/>
        <v>0</v>
      </c>
      <c r="AM19" s="301">
        <f t="shared" ca="1" si="17"/>
        <v>0</v>
      </c>
      <c r="AN19" s="301">
        <f t="shared" ca="1" si="17"/>
        <v>0</v>
      </c>
      <c r="AO19" s="301">
        <f t="shared" ca="1" si="17"/>
        <v>0</v>
      </c>
      <c r="AP19" s="301">
        <f t="shared" ca="1" si="17"/>
        <v>0</v>
      </c>
      <c r="AQ19" s="301">
        <f t="shared" ca="1" si="17"/>
        <v>0</v>
      </c>
      <c r="AR19" s="301">
        <f t="shared" ca="1" si="17"/>
        <v>0</v>
      </c>
      <c r="AS19" s="301">
        <f t="shared" ca="1" si="17"/>
        <v>0</v>
      </c>
      <c r="AT19" s="301">
        <f t="shared" ca="1" si="17"/>
        <v>0</v>
      </c>
      <c r="AU19" s="301">
        <f t="shared" ca="1" si="17"/>
        <v>0</v>
      </c>
      <c r="AV19" s="301">
        <f t="shared" ca="1" si="17"/>
        <v>0</v>
      </c>
    </row>
    <row r="20" spans="1:48" s="24" customFormat="1" x14ac:dyDescent="0.25">
      <c r="A20" s="25" t="s">
        <v>770</v>
      </c>
      <c r="B20" t="s">
        <v>4</v>
      </c>
      <c r="C20" s="25" t="s">
        <v>169</v>
      </c>
      <c r="D20" s="25">
        <f ca="1">INDEX(INDIRECT(CONCATENATE("'",RIGHT(D$1,2),"'!$F$8:$N$88")),MATCH($A20,INDIRECT(CONCATENATE("'",RIGHT(D$1,2),IF($B20="chemicals","'!$C$8:$C$88","'!$B$8:$B$88"))),0),MATCH('Other Industrial Processes'!$C20,INDIRECT(CONCATENATE("'",RIGHT(D$1,2),"'!$F$4:$N$4")),0))</f>
        <v>3.899</v>
      </c>
      <c r="E20" s="25">
        <f ca="1">INDEX(INDIRECT(CONCATENATE("'",RIGHT(E$1,2),"'!$F$8:$N$88")),MATCH($A20,INDIRECT(CONCATENATE("'",RIGHT(E$1,2),IF($B20="chemicals","'!$C$8:$C$88","'!$B$8:$B$88"))),0),MATCH('Other Industrial Processes'!$C20,INDIRECT(CONCATENATE("'",RIGHT(E$1,2),"'!$F$4:$N$4")),0))</f>
        <v>4.8112029999999999</v>
      </c>
      <c r="F20" s="25">
        <f ca="1">INDEX(INDIRECT(CONCATENATE("'",RIGHT(F$1,2),"'!$F$8:$N$88")),MATCH($A20,INDIRECT(CONCATENATE("'",RIGHT(F$1,2),IF($B20="chemicals","'!$C$8:$C$88","'!$B$8:$B$88"))),0),MATCH('Other Industrial Processes'!$C20,INDIRECT(CONCATENATE("'",RIGHT(F$1,2),"'!$F$4:$N$4")),0))</f>
        <v>7.7695210000000001</v>
      </c>
      <c r="G20" s="25">
        <f ca="1">INDEX(INDIRECT(CONCATENATE("'",RIGHT(G$1,2),"'!$F$8:$N$88")),MATCH($A20,INDIRECT(CONCATENATE("'",RIGHT(G$1,2),IF($B20="chemicals","'!$C$8:$C$88","'!$B$8:$B$88"))),0),MATCH('Other Industrial Processes'!$C20,INDIRECT(CONCATENATE("'",RIGHT(G$1,2),"'!$F$4:$N$4")),0))</f>
        <v>2.1351140000000002</v>
      </c>
      <c r="H20" s="25">
        <f ca="1">INDEX(INDIRECT(CONCATENATE("'",RIGHT(H$1,2),"'!$F$8:$N$88")),MATCH($A20,INDIRECT(CONCATENATE("'",RIGHT(H$1,2),IF($B20="chemicals","'!$C$8:$C$88","'!$B$8:$B$88"))),0),MATCH('Other Industrial Processes'!$C20,INDIRECT(CONCATENATE("'",RIGHT(H$1,2),"'!$F$4:$N$4")),0))</f>
        <v>0</v>
      </c>
      <c r="I20" s="25">
        <f ca="1">INDEX(INDIRECT(CONCATENATE("'",RIGHT(I$1,2),"'!$F$8:$N$88")),MATCH($A20,INDIRECT(CONCATENATE("'",RIGHT(I$1,2),IF($B20="chemicals","'!$C$8:$C$88","'!$B$8:$B$88"))),0),MATCH('Other Industrial Processes'!$C20,INDIRECT(CONCATENATE("'",RIGHT(I$1,2),"'!$F$4:$N$4")),0))</f>
        <v>0</v>
      </c>
      <c r="J20" s="25">
        <f ca="1">INDEX(INDIRECT(CONCATENATE("'",RIGHT(J$1,2),"'!$F$8:$N$88")),MATCH($A20,INDIRECT(CONCATENATE("'",RIGHT(J$1,2),IF($B20="chemicals","'!$C$8:$C$88","'!$B$8:$B$88"))),0),MATCH('Other Industrial Processes'!$C20,INDIRECT(CONCATENATE("'",RIGHT(J$1,2),"'!$F$4:$N$4")),0))</f>
        <v>0</v>
      </c>
      <c r="K20" s="25">
        <f ca="1">INDEX(INDIRECT(CONCATENATE("'",RIGHT(K$1,2),"'!$F$8:$N$88")),MATCH($A20,INDIRECT(CONCATENATE("'",RIGHT(K$1,2),IF($B20="chemicals","'!$C$8:$C$88","'!$B$8:$B$88"))),0),MATCH('Other Industrial Processes'!$C20,INDIRECT(CONCATENATE("'",RIGHT(K$1,2),"'!$F$4:$N$4")),0))</f>
        <v>0</v>
      </c>
      <c r="L20" s="25">
        <f ca="1">INDEX(INDIRECT(CONCATENATE("'",RIGHT(L$1,2),"'!$F$8:$N$88")),MATCH($A20,INDIRECT(CONCATENATE("'",RIGHT(L$1,2),IF($B20="chemicals","'!$C$8:$C$88","'!$B$8:$B$88"))),0),MATCH('Other Industrial Processes'!$C20,INDIRECT(CONCATENATE("'",RIGHT(L$1,2),"'!$F$4:$N$4")),0))</f>
        <v>0</v>
      </c>
      <c r="M20" s="25">
        <f ca="1">INDEX(INDIRECT(CONCATENATE("'",RIGHT(M$1,2),"'!$F$8:$N$88")),MATCH($A20,INDIRECT(CONCATENATE("'",RIGHT(M$1,2),IF($B20="chemicals","'!$C$8:$C$88","'!$B$8:$B$88"))),0),MATCH('Other Industrial Processes'!$C20,INDIRECT(CONCATENATE("'",RIGHT(M$1,2),"'!$F$4:$N$4")),0))</f>
        <v>0</v>
      </c>
      <c r="N20" s="301">
        <f>0</f>
        <v>0</v>
      </c>
      <c r="O20" s="301">
        <f>0</f>
        <v>0</v>
      </c>
      <c r="P20" s="301">
        <f>0</f>
        <v>0</v>
      </c>
      <c r="Q20" s="301">
        <f>0</f>
        <v>0</v>
      </c>
      <c r="R20" s="301">
        <f>0</f>
        <v>0</v>
      </c>
      <c r="S20" s="301">
        <f>0</f>
        <v>0</v>
      </c>
      <c r="T20" s="301">
        <f>0</f>
        <v>0</v>
      </c>
      <c r="U20" s="301">
        <f>0</f>
        <v>0</v>
      </c>
      <c r="V20" s="301">
        <f>0</f>
        <v>0</v>
      </c>
      <c r="W20" s="301">
        <f>0</f>
        <v>0</v>
      </c>
      <c r="X20" s="301">
        <f>0</f>
        <v>0</v>
      </c>
      <c r="Y20" s="301">
        <f>0</f>
        <v>0</v>
      </c>
      <c r="Z20" s="301">
        <f>0</f>
        <v>0</v>
      </c>
      <c r="AA20" s="301">
        <f>0</f>
        <v>0</v>
      </c>
      <c r="AB20" s="301">
        <f>0</f>
        <v>0</v>
      </c>
      <c r="AC20" s="301">
        <f>0</f>
        <v>0</v>
      </c>
      <c r="AD20" s="301">
        <f>0</f>
        <v>0</v>
      </c>
      <c r="AE20" s="301">
        <f>0</f>
        <v>0</v>
      </c>
      <c r="AF20" s="301">
        <f>0</f>
        <v>0</v>
      </c>
      <c r="AG20" s="301">
        <f>0</f>
        <v>0</v>
      </c>
      <c r="AH20" s="301">
        <f>0</f>
        <v>0</v>
      </c>
      <c r="AI20" s="301">
        <f>0</f>
        <v>0</v>
      </c>
      <c r="AJ20" s="301">
        <f>0</f>
        <v>0</v>
      </c>
      <c r="AK20" s="301">
        <f>0</f>
        <v>0</v>
      </c>
      <c r="AL20" s="301">
        <f>0</f>
        <v>0</v>
      </c>
      <c r="AM20" s="301">
        <f>0</f>
        <v>0</v>
      </c>
      <c r="AN20" s="301">
        <f>0</f>
        <v>0</v>
      </c>
      <c r="AO20" s="301">
        <f>0</f>
        <v>0</v>
      </c>
      <c r="AP20" s="301">
        <f>0</f>
        <v>0</v>
      </c>
      <c r="AQ20" s="301">
        <f>0</f>
        <v>0</v>
      </c>
      <c r="AR20" s="301">
        <f>0</f>
        <v>0</v>
      </c>
      <c r="AS20" s="301">
        <f t="shared" ref="AS20:AV39" ca="1" si="18">IFERROR(IF($M20-$D20&gt;=0,($M20-$D20)/COUNT($E$1:$M$1)+AR20,$F84*$E84^AS$1),0)</f>
        <v>0.27821726946095515</v>
      </c>
      <c r="AT20" s="301">
        <f t="shared" ca="1" si="18"/>
        <v>0.26949968749856201</v>
      </c>
      <c r="AU20" s="301">
        <f t="shared" ca="1" si="18"/>
        <v>0.26105525980663624</v>
      </c>
      <c r="AV20" s="301">
        <f t="shared" ca="1" si="18"/>
        <v>0.25287542744580732</v>
      </c>
    </row>
    <row r="21" spans="1:48" x14ac:dyDescent="0.25">
      <c r="A21" s="25" t="s">
        <v>771</v>
      </c>
      <c r="B21" t="s">
        <v>4</v>
      </c>
      <c r="C21" s="25" t="s">
        <v>169</v>
      </c>
      <c r="D21" s="25">
        <f ca="1">INDEX(INDIRECT(CONCATENATE("'",RIGHT(D$1,2),"'!$F$8:$N$88")),MATCH($A21,INDIRECT(CONCATENATE("'",RIGHT(D$1,2),IF($B21="chemicals","'!$C$8:$C$88","'!$B$8:$B$88"))),0),MATCH('Other Industrial Processes'!$C21,INDIRECT(CONCATENATE("'",RIGHT(D$1,2),"'!$F$4:$N$4")),0))</f>
        <v>4.49750179804548E-2</v>
      </c>
      <c r="E21" s="25">
        <f ca="1">INDEX(INDIRECT(CONCATENATE("'",RIGHT(E$1,2),"'!$F$8:$N$88")),MATCH($A21,INDIRECT(CONCATENATE("'",RIGHT(E$1,2),IF($B21="chemicals","'!$C$8:$C$88","'!$B$8:$B$88"))),0),MATCH('Other Industrial Processes'!$C21,INDIRECT(CONCATENATE("'",RIGHT(E$1,2),"'!$F$4:$N$4")),0))</f>
        <v>4.0137549789849E-2</v>
      </c>
      <c r="F21" s="25">
        <f ca="1">INDEX(INDIRECT(CONCATENATE("'",RIGHT(F$1,2),"'!$F$8:$N$88")),MATCH($A21,INDIRECT(CONCATENATE("'",RIGHT(F$1,2),IF($B21="chemicals","'!$C$8:$C$88","'!$B$8:$B$88"))),0),MATCH('Other Industrial Processes'!$C21,INDIRECT(CONCATENATE("'",RIGHT(F$1,2),"'!$F$4:$N$4")),0))</f>
        <v>3.3719710607003198E-2</v>
      </c>
      <c r="G21" s="25">
        <f ca="1">INDEX(INDIRECT(CONCATENATE("'",RIGHT(G$1,2),"'!$F$8:$N$88")),MATCH($A21,INDIRECT(CONCATENATE("'",RIGHT(G$1,2),IF($B21="chemicals","'!$C$8:$C$88","'!$B$8:$B$88"))),0),MATCH('Other Industrial Processes'!$C21,INDIRECT(CONCATENATE("'",RIGHT(G$1,2),"'!$F$4:$N$4")),0))</f>
        <v>2.9121434256257999E-2</v>
      </c>
      <c r="H21" s="25">
        <f ca="1">INDEX(INDIRECT(CONCATENATE("'",RIGHT(H$1,2),"'!$F$8:$N$88")),MATCH($A21,INDIRECT(CONCATENATE("'",RIGHT(H$1,2),IF($B21="chemicals","'!$C$8:$C$88","'!$B$8:$B$88"))),0),MATCH('Other Industrial Processes'!$C21,INDIRECT(CONCATENATE("'",RIGHT(H$1,2),"'!$F$4:$N$4")),0))</f>
        <v>3.2853160121067503E-2</v>
      </c>
      <c r="I21" s="25">
        <f ca="1">INDEX(INDIRECT(CONCATENATE("'",RIGHT(I$1,2),"'!$F$8:$N$88")),MATCH($A21,INDIRECT(CONCATENATE("'",RIGHT(I$1,2),IF($B21="chemicals","'!$C$8:$C$88","'!$B$8:$B$88"))),0),MATCH('Other Industrial Processes'!$C21,INDIRECT(CONCATENATE("'",RIGHT(I$1,2),"'!$F$4:$N$4")),0))</f>
        <v>3.4025446420994802E-2</v>
      </c>
      <c r="J21" s="25">
        <f ca="1">INDEX(INDIRECT(CONCATENATE("'",RIGHT(J$1,2),"'!$F$8:$N$88")),MATCH($A21,INDIRECT(CONCATENATE("'",RIGHT(J$1,2),IF($B21="chemicals","'!$C$8:$C$88","'!$B$8:$B$88"))),0),MATCH('Other Industrial Processes'!$C21,INDIRECT(CONCATENATE("'",RIGHT(J$1,2),"'!$F$4:$N$4")),0))</f>
        <v>3.7675827056943403E-2</v>
      </c>
      <c r="K21" s="25">
        <f ca="1">INDEX(INDIRECT(CONCATENATE("'",RIGHT(K$1,2),"'!$F$8:$N$88")),MATCH($A21,INDIRECT(CONCATENATE("'",RIGHT(K$1,2),IF($B21="chemicals","'!$C$8:$C$88","'!$B$8:$B$88"))),0),MATCH('Other Industrial Processes'!$C21,INDIRECT(CONCATENATE("'",RIGHT(K$1,2),"'!$F$4:$N$4")),0))</f>
        <v>3.9040862155610499E-2</v>
      </c>
      <c r="L21" s="25">
        <f ca="1">INDEX(INDIRECT(CONCATENATE("'",RIGHT(L$1,2),"'!$F$8:$N$88")),MATCH($A21,INDIRECT(CONCATENATE("'",RIGHT(L$1,2),IF($B21="chemicals","'!$C$8:$C$88","'!$B$8:$B$88"))),0),MATCH('Other Industrial Processes'!$C21,INDIRECT(CONCATENATE("'",RIGHT(L$1,2),"'!$F$4:$N$4")),0))</f>
        <v>3.91274752237828E-2</v>
      </c>
      <c r="M21" s="25">
        <f ca="1">INDEX(INDIRECT(CONCATENATE("'",RIGHT(M$1,2),"'!$F$8:$N$88")),MATCH($A21,INDIRECT(CONCATENATE("'",RIGHT(M$1,2),IF($B21="chemicals","'!$C$8:$C$88","'!$B$8:$B$88"))),0),MATCH('Other Industrial Processes'!$C21,INDIRECT(CONCATENATE("'",RIGHT(M$1,2),"'!$F$4:$N$4")),0))</f>
        <v>4.0233062563133103E-2</v>
      </c>
      <c r="N21" s="301">
        <f t="shared" ref="N21:AR21" ca="1" si="19">IFERROR(IF($M21-$D21&gt;=0,($M21-$D21)/COUNT($E$1:$M$1)+M21,$F85*$E85^N$1),0)</f>
        <v>0</v>
      </c>
      <c r="O21" s="301">
        <f t="shared" ca="1" si="19"/>
        <v>0</v>
      </c>
      <c r="P21" s="301">
        <f t="shared" ca="1" si="19"/>
        <v>0</v>
      </c>
      <c r="Q21" s="301">
        <f t="shared" ca="1" si="19"/>
        <v>0</v>
      </c>
      <c r="R21" s="301">
        <f t="shared" ca="1" si="19"/>
        <v>0</v>
      </c>
      <c r="S21" s="301">
        <f t="shared" ca="1" si="19"/>
        <v>0</v>
      </c>
      <c r="T21" s="301">
        <f t="shared" ca="1" si="19"/>
        <v>0</v>
      </c>
      <c r="U21" s="301">
        <f t="shared" ca="1" si="19"/>
        <v>0</v>
      </c>
      <c r="V21" s="301">
        <f t="shared" ca="1" si="19"/>
        <v>0</v>
      </c>
      <c r="W21" s="301">
        <f t="shared" ca="1" si="19"/>
        <v>0</v>
      </c>
      <c r="X21" s="301">
        <f t="shared" ca="1" si="19"/>
        <v>0</v>
      </c>
      <c r="Y21" s="301">
        <f t="shared" ca="1" si="19"/>
        <v>0</v>
      </c>
      <c r="Z21" s="301">
        <f t="shared" ca="1" si="19"/>
        <v>0</v>
      </c>
      <c r="AA21" s="301">
        <f t="shared" ca="1" si="19"/>
        <v>0</v>
      </c>
      <c r="AB21" s="301">
        <f t="shared" ca="1" si="19"/>
        <v>0</v>
      </c>
      <c r="AC21" s="301">
        <f t="shared" ca="1" si="19"/>
        <v>0</v>
      </c>
      <c r="AD21" s="301">
        <f t="shared" ca="1" si="19"/>
        <v>0</v>
      </c>
      <c r="AE21" s="301">
        <f t="shared" ca="1" si="19"/>
        <v>0</v>
      </c>
      <c r="AF21" s="301">
        <f t="shared" ca="1" si="19"/>
        <v>0</v>
      </c>
      <c r="AG21" s="301">
        <f t="shared" ca="1" si="19"/>
        <v>0</v>
      </c>
      <c r="AH21" s="301">
        <f t="shared" ca="1" si="19"/>
        <v>0</v>
      </c>
      <c r="AI21" s="301">
        <f t="shared" ca="1" si="19"/>
        <v>0</v>
      </c>
      <c r="AJ21" s="301">
        <f t="shared" ca="1" si="19"/>
        <v>0</v>
      </c>
      <c r="AK21" s="301">
        <f t="shared" ca="1" si="19"/>
        <v>0</v>
      </c>
      <c r="AL21" s="301">
        <f t="shared" ca="1" si="19"/>
        <v>0</v>
      </c>
      <c r="AM21" s="301">
        <f t="shared" ca="1" si="19"/>
        <v>0</v>
      </c>
      <c r="AN21" s="301">
        <f t="shared" ca="1" si="19"/>
        <v>0</v>
      </c>
      <c r="AO21" s="301">
        <f t="shared" ca="1" si="19"/>
        <v>0</v>
      </c>
      <c r="AP21" s="301">
        <f t="shared" ca="1" si="19"/>
        <v>0</v>
      </c>
      <c r="AQ21" s="301">
        <f t="shared" ca="1" si="19"/>
        <v>0</v>
      </c>
      <c r="AR21" s="301">
        <f t="shared" ca="1" si="19"/>
        <v>0</v>
      </c>
      <c r="AS21" s="301">
        <f t="shared" ca="1" si="18"/>
        <v>0</v>
      </c>
      <c r="AT21" s="301">
        <f t="shared" ca="1" si="18"/>
        <v>0</v>
      </c>
      <c r="AU21" s="301">
        <f t="shared" ca="1" si="18"/>
        <v>0</v>
      </c>
      <c r="AV21" s="301">
        <f t="shared" ca="1" si="18"/>
        <v>0</v>
      </c>
    </row>
    <row r="22" spans="1:48" x14ac:dyDescent="0.25">
      <c r="A22" s="25" t="s">
        <v>777</v>
      </c>
      <c r="B22" t="s">
        <v>2</v>
      </c>
      <c r="C22" s="25" t="s">
        <v>169</v>
      </c>
      <c r="D22" s="25">
        <f ca="1">INDEX(INDIRECT(CONCATENATE("'",RIGHT(D$1,2),"'!$F$8:$N$88")),MATCH($A22,INDIRECT(CONCATENATE("'",RIGHT(D$1,2),IF($B22="chemicals","'!$C$8:$C$88","'!$B$8:$B$88"))),0),MATCH('Other Industrial Processes'!$C22,INDIRECT(CONCATENATE("'",RIGHT(D$1,2),"'!$F$4:$N$4")),0))</f>
        <v>0</v>
      </c>
      <c r="E22" s="25">
        <f ca="1">INDEX(INDIRECT(CONCATENATE("'",RIGHT(E$1,2),"'!$F$8:$N$88")),MATCH($A22,INDIRECT(CONCATENATE("'",RIGHT(E$1,2),IF($B22="chemicals","'!$C$8:$C$88","'!$B$8:$B$88"))),0),MATCH('Other Industrial Processes'!$C22,INDIRECT(CONCATENATE("'",RIGHT(E$1,2),"'!$F$4:$N$4")),0))</f>
        <v>0</v>
      </c>
      <c r="F22" s="25">
        <f ca="1">INDEX(INDIRECT(CONCATENATE("'",RIGHT(F$1,2),"'!$F$8:$N$88")),MATCH($A22,INDIRECT(CONCATENATE("'",RIGHT(F$1,2),IF($B22="chemicals","'!$C$8:$C$88","'!$B$8:$B$88"))),0),MATCH('Other Industrial Processes'!$C22,INDIRECT(CONCATENATE("'",RIGHT(F$1,2),"'!$F$4:$N$4")),0))</f>
        <v>0</v>
      </c>
      <c r="G22" s="25">
        <f ca="1">INDEX(INDIRECT(CONCATENATE("'",RIGHT(G$1,2),"'!$F$8:$N$88")),MATCH($A22,INDIRECT(CONCATENATE("'",RIGHT(G$1,2),IF($B22="chemicals","'!$C$8:$C$88","'!$B$8:$B$88"))),0),MATCH('Other Industrial Processes'!$C22,INDIRECT(CONCATENATE("'",RIGHT(G$1,2),"'!$F$4:$N$4")),0))</f>
        <v>0</v>
      </c>
      <c r="H22" s="25">
        <f ca="1">INDEX(INDIRECT(CONCATENATE("'",RIGHT(H$1,2),"'!$F$8:$N$88")),MATCH($A22,INDIRECT(CONCATENATE("'",RIGHT(H$1,2),IF($B22="chemicals","'!$C$8:$C$88","'!$B$8:$B$88"))),0),MATCH('Other Industrial Processes'!$C22,INDIRECT(CONCATENATE("'",RIGHT(H$1,2),"'!$F$4:$N$4")),0))</f>
        <v>0</v>
      </c>
      <c r="I22" s="25">
        <f ca="1">INDEX(INDIRECT(CONCATENATE("'",RIGHT(I$1,2),"'!$F$8:$N$88")),MATCH($A22,INDIRECT(CONCATENATE("'",RIGHT(I$1,2),IF($B22="chemicals","'!$C$8:$C$88","'!$B$8:$B$88"))),0),MATCH('Other Industrial Processes'!$C22,INDIRECT(CONCATENATE("'",RIGHT(I$1,2),"'!$F$4:$N$4")),0))</f>
        <v>0</v>
      </c>
      <c r="J22" s="25">
        <f ca="1">INDEX(INDIRECT(CONCATENATE("'",RIGHT(J$1,2),"'!$F$8:$N$88")),MATCH($A22,INDIRECT(CONCATENATE("'",RIGHT(J$1,2),IF($B22="chemicals","'!$C$8:$C$88","'!$B$8:$B$88"))),0),MATCH('Other Industrial Processes'!$C22,INDIRECT(CONCATENATE("'",RIGHT(J$1,2),"'!$F$4:$N$4")),0))</f>
        <v>0</v>
      </c>
      <c r="K22" s="25">
        <f ca="1">INDEX(INDIRECT(CONCATENATE("'",RIGHT(K$1,2),"'!$F$8:$N$88")),MATCH($A22,INDIRECT(CONCATENATE("'",RIGHT(K$1,2),IF($B22="chemicals","'!$C$8:$C$88","'!$B$8:$B$88"))),0),MATCH('Other Industrial Processes'!$C22,INDIRECT(CONCATENATE("'",RIGHT(K$1,2),"'!$F$4:$N$4")),0))</f>
        <v>0</v>
      </c>
      <c r="L22" s="25">
        <f ca="1">INDEX(INDIRECT(CONCATENATE("'",RIGHT(L$1,2),"'!$F$8:$N$88")),MATCH($A22,INDIRECT(CONCATENATE("'",RIGHT(L$1,2),IF($B22="chemicals","'!$C$8:$C$88","'!$B$8:$B$88"))),0),MATCH('Other Industrial Processes'!$C22,INDIRECT(CONCATENATE("'",RIGHT(L$1,2),"'!$F$4:$N$4")),0))</f>
        <v>0</v>
      </c>
      <c r="M22" s="25">
        <f ca="1">INDEX(INDIRECT(CONCATENATE("'",RIGHT(M$1,2),"'!$F$8:$N$88")),MATCH($A22,INDIRECT(CONCATENATE("'",RIGHT(M$1,2),IF($B22="chemicals","'!$C$8:$C$88","'!$B$8:$B$88"))),0),MATCH('Other Industrial Processes'!$C22,INDIRECT(CONCATENATE("'",RIGHT(M$1,2),"'!$F$4:$N$4")),0))</f>
        <v>0</v>
      </c>
      <c r="N22" s="301">
        <f t="shared" ref="N22:AR22" ca="1" si="20">IFERROR(IF($M22-$D22&gt;=0,($M22-$D22)/COUNT($E$1:$M$1)+M22,$F86*$E86^N$1),0)</f>
        <v>0</v>
      </c>
      <c r="O22" s="301">
        <f t="shared" ca="1" si="20"/>
        <v>0</v>
      </c>
      <c r="P22" s="301">
        <f t="shared" ca="1" si="20"/>
        <v>0</v>
      </c>
      <c r="Q22" s="301">
        <f t="shared" ca="1" si="20"/>
        <v>0</v>
      </c>
      <c r="R22" s="301">
        <f t="shared" ca="1" si="20"/>
        <v>0</v>
      </c>
      <c r="S22" s="301">
        <f t="shared" ca="1" si="20"/>
        <v>0</v>
      </c>
      <c r="T22" s="301">
        <f t="shared" ca="1" si="20"/>
        <v>0</v>
      </c>
      <c r="U22" s="301">
        <f t="shared" ca="1" si="20"/>
        <v>0</v>
      </c>
      <c r="V22" s="301">
        <f t="shared" ca="1" si="20"/>
        <v>0</v>
      </c>
      <c r="W22" s="301">
        <f t="shared" ca="1" si="20"/>
        <v>0</v>
      </c>
      <c r="X22" s="301">
        <f t="shared" ca="1" si="20"/>
        <v>0</v>
      </c>
      <c r="Y22" s="301">
        <f t="shared" ca="1" si="20"/>
        <v>0</v>
      </c>
      <c r="Z22" s="301">
        <f t="shared" ca="1" si="20"/>
        <v>0</v>
      </c>
      <c r="AA22" s="301">
        <f t="shared" ca="1" si="20"/>
        <v>0</v>
      </c>
      <c r="AB22" s="301">
        <f t="shared" ca="1" si="20"/>
        <v>0</v>
      </c>
      <c r="AC22" s="301">
        <f t="shared" ca="1" si="20"/>
        <v>0</v>
      </c>
      <c r="AD22" s="301">
        <f t="shared" ca="1" si="20"/>
        <v>0</v>
      </c>
      <c r="AE22" s="301">
        <f t="shared" ca="1" si="20"/>
        <v>0</v>
      </c>
      <c r="AF22" s="301">
        <f t="shared" ca="1" si="20"/>
        <v>0</v>
      </c>
      <c r="AG22" s="301">
        <f t="shared" ca="1" si="20"/>
        <v>0</v>
      </c>
      <c r="AH22" s="301">
        <f t="shared" ca="1" si="20"/>
        <v>0</v>
      </c>
      <c r="AI22" s="301">
        <f t="shared" ca="1" si="20"/>
        <v>0</v>
      </c>
      <c r="AJ22" s="301">
        <f t="shared" ca="1" si="20"/>
        <v>0</v>
      </c>
      <c r="AK22" s="301">
        <f t="shared" ca="1" si="20"/>
        <v>0</v>
      </c>
      <c r="AL22" s="301">
        <f t="shared" ca="1" si="20"/>
        <v>0</v>
      </c>
      <c r="AM22" s="301">
        <f t="shared" ca="1" si="20"/>
        <v>0</v>
      </c>
      <c r="AN22" s="301">
        <f t="shared" ca="1" si="20"/>
        <v>0</v>
      </c>
      <c r="AO22" s="301">
        <f t="shared" ca="1" si="20"/>
        <v>0</v>
      </c>
      <c r="AP22" s="301">
        <f t="shared" ca="1" si="20"/>
        <v>0</v>
      </c>
      <c r="AQ22" s="301">
        <f t="shared" ca="1" si="20"/>
        <v>0</v>
      </c>
      <c r="AR22" s="301">
        <f t="shared" ca="1" si="20"/>
        <v>0</v>
      </c>
      <c r="AS22" s="301">
        <f t="shared" ca="1" si="18"/>
        <v>0</v>
      </c>
      <c r="AT22" s="301">
        <f t="shared" ca="1" si="18"/>
        <v>0</v>
      </c>
      <c r="AU22" s="301">
        <f t="shared" ca="1" si="18"/>
        <v>0</v>
      </c>
      <c r="AV22" s="301">
        <f t="shared" ca="1" si="18"/>
        <v>0</v>
      </c>
    </row>
    <row r="23" spans="1:48" x14ac:dyDescent="0.25">
      <c r="A23" s="25" t="s">
        <v>779</v>
      </c>
      <c r="B23" t="s">
        <v>835</v>
      </c>
      <c r="C23" s="25" t="s">
        <v>169</v>
      </c>
      <c r="D23" s="25">
        <f ca="1">INDEX(INDIRECT(CONCATENATE("'",RIGHT(D$1,2),"'!$F$8:$N$88")),MATCH($A23,INDIRECT(CONCATENATE("'",RIGHT(D$1,2),IF($B23="chemicals","'!$C$8:$C$88","'!$B$8:$B$88"))),0),MATCH('Other Industrial Processes'!$C23,INDIRECT(CONCATENATE("'",RIGHT(D$1,2),"'!$F$4:$N$4")),0))</f>
        <v>1.0624430648644501</v>
      </c>
      <c r="E23" s="25">
        <f ca="1">INDEX(INDIRECT(CONCATENATE("'",RIGHT(E$1,2),"'!$F$8:$N$88")),MATCH($A23,INDIRECT(CONCATENATE("'",RIGHT(E$1,2),IF($B23="chemicals","'!$C$8:$C$88","'!$B$8:$B$88"))),0),MATCH('Other Industrial Processes'!$C23,INDIRECT(CONCATENATE("'",RIGHT(E$1,2),"'!$F$4:$N$4")),0))</f>
        <v>1.0526497342716199</v>
      </c>
      <c r="F23" s="25">
        <f ca="1">INDEX(INDIRECT(CONCATENATE("'",RIGHT(F$1,2),"'!$F$8:$N$88")),MATCH($A23,INDIRECT(CONCATENATE("'",RIGHT(F$1,2),IF($B23="chemicals","'!$C$8:$C$88","'!$B$8:$B$88"))),0),MATCH('Other Industrial Processes'!$C23,INDIRECT(CONCATENATE("'",RIGHT(F$1,2),"'!$F$4:$N$4")),0))</f>
        <v>1.1020145522061999</v>
      </c>
      <c r="G23" s="25">
        <f ca="1">INDEX(INDIRECT(CONCATENATE("'",RIGHT(G$1,2),"'!$F$8:$N$88")),MATCH($A23,INDIRECT(CONCATENATE("'",RIGHT(G$1,2),IF($B23="chemicals","'!$C$8:$C$88","'!$B$8:$B$88"))),0),MATCH('Other Industrial Processes'!$C23,INDIRECT(CONCATENATE("'",RIGHT(G$1,2),"'!$F$4:$N$4")),0))</f>
        <v>0.84027932831233598</v>
      </c>
      <c r="H23" s="25">
        <f ca="1">INDEX(INDIRECT(CONCATENATE("'",RIGHT(H$1,2),"'!$F$8:$N$88")),MATCH($A23,INDIRECT(CONCATENATE("'",RIGHT(H$1,2),IF($B23="chemicals","'!$C$8:$C$88","'!$B$8:$B$88"))),0),MATCH('Other Industrial Processes'!$C23,INDIRECT(CONCATENATE("'",RIGHT(H$1,2),"'!$F$4:$N$4")),0))</f>
        <v>0.78053245758239298</v>
      </c>
      <c r="I23" s="25">
        <f ca="1">INDEX(INDIRECT(CONCATENATE("'",RIGHT(I$1,2),"'!$F$8:$N$88")),MATCH($A23,INDIRECT(CONCATENATE("'",RIGHT(I$1,2),IF($B23="chemicals","'!$C$8:$C$88","'!$B$8:$B$88"))),0),MATCH('Other Industrial Processes'!$C23,INDIRECT(CONCATENATE("'",RIGHT(I$1,2),"'!$F$4:$N$4")),0))</f>
        <v>0.79806273485157497</v>
      </c>
      <c r="J23" s="25">
        <f ca="1">INDEX(INDIRECT(CONCATENATE("'",RIGHT(J$1,2),"'!$F$8:$N$88")),MATCH($A23,INDIRECT(CONCATENATE("'",RIGHT(J$1,2),IF($B23="chemicals","'!$C$8:$C$88","'!$B$8:$B$88"))),0),MATCH('Other Industrial Processes'!$C23,INDIRECT(CONCATENATE("'",RIGHT(J$1,2),"'!$F$4:$N$4")),0))</f>
        <v>0.84444382863112499</v>
      </c>
      <c r="K23" s="25">
        <f ca="1">INDEX(INDIRECT(CONCATENATE("'",RIGHT(K$1,2),"'!$F$8:$N$88")),MATCH($A23,INDIRECT(CONCATENATE("'",RIGHT(K$1,2),IF($B23="chemicals","'!$C$8:$C$88","'!$B$8:$B$88"))),0),MATCH('Other Industrial Processes'!$C23,INDIRECT(CONCATENATE("'",RIGHT(K$1,2),"'!$F$4:$N$4")),0))</f>
        <v>0.82219915681322697</v>
      </c>
      <c r="L23" s="25">
        <f ca="1">INDEX(INDIRECT(CONCATENATE("'",RIGHT(L$1,2),"'!$F$8:$N$88")),MATCH($A23,INDIRECT(CONCATENATE("'",RIGHT(L$1,2),IF($B23="chemicals","'!$C$8:$C$88","'!$B$8:$B$88"))),0),MATCH('Other Industrial Processes'!$C23,INDIRECT(CONCATENATE("'",RIGHT(L$1,2),"'!$F$4:$N$4")),0))</f>
        <v>0.81315828433729398</v>
      </c>
      <c r="M23" s="25">
        <f ca="1">INDEX(INDIRECT(CONCATENATE("'",RIGHT(M$1,2),"'!$F$8:$N$88")),MATCH($A23,INDIRECT(CONCATENATE("'",RIGHT(M$1,2),IF($B23="chemicals","'!$C$8:$C$88","'!$B$8:$B$88"))),0),MATCH('Other Industrial Processes'!$C23,INDIRECT(CONCATENATE("'",RIGHT(M$1,2),"'!$F$4:$N$4")),0))</f>
        <v>0.84901032962404499</v>
      </c>
      <c r="N23" s="301">
        <f t="shared" ref="N23:AR23" ca="1" si="21">IFERROR(IF($M23-$D23&gt;=0,($M23-$D23)/COUNT($E$1:$M$1)+M23,$F87*$E87^N$1),0)</f>
        <v>0</v>
      </c>
      <c r="O23" s="301">
        <f t="shared" ca="1" si="21"/>
        <v>0</v>
      </c>
      <c r="P23" s="301">
        <f t="shared" ca="1" si="21"/>
        <v>0</v>
      </c>
      <c r="Q23" s="301">
        <f t="shared" ca="1" si="21"/>
        <v>0</v>
      </c>
      <c r="R23" s="301">
        <f t="shared" ca="1" si="21"/>
        <v>0</v>
      </c>
      <c r="S23" s="301">
        <f t="shared" ca="1" si="21"/>
        <v>0</v>
      </c>
      <c r="T23" s="301">
        <f t="shared" ca="1" si="21"/>
        <v>0</v>
      </c>
      <c r="U23" s="301">
        <f t="shared" ca="1" si="21"/>
        <v>0</v>
      </c>
      <c r="V23" s="301">
        <f t="shared" ca="1" si="21"/>
        <v>0</v>
      </c>
      <c r="W23" s="301">
        <f t="shared" ca="1" si="21"/>
        <v>0</v>
      </c>
      <c r="X23" s="301">
        <f t="shared" ca="1" si="21"/>
        <v>0</v>
      </c>
      <c r="Y23" s="301">
        <f t="shared" ca="1" si="21"/>
        <v>0</v>
      </c>
      <c r="Z23" s="301">
        <f t="shared" ca="1" si="21"/>
        <v>0</v>
      </c>
      <c r="AA23" s="301">
        <f t="shared" ca="1" si="21"/>
        <v>0</v>
      </c>
      <c r="AB23" s="301">
        <f t="shared" ca="1" si="21"/>
        <v>0</v>
      </c>
      <c r="AC23" s="301">
        <f t="shared" ca="1" si="21"/>
        <v>0</v>
      </c>
      <c r="AD23" s="301">
        <f t="shared" ca="1" si="21"/>
        <v>0</v>
      </c>
      <c r="AE23" s="301">
        <f t="shared" ca="1" si="21"/>
        <v>0</v>
      </c>
      <c r="AF23" s="301">
        <f t="shared" ca="1" si="21"/>
        <v>0</v>
      </c>
      <c r="AG23" s="301">
        <f t="shared" ca="1" si="21"/>
        <v>0</v>
      </c>
      <c r="AH23" s="301">
        <f t="shared" ca="1" si="21"/>
        <v>0</v>
      </c>
      <c r="AI23" s="301">
        <f t="shared" ca="1" si="21"/>
        <v>0</v>
      </c>
      <c r="AJ23" s="301">
        <f t="shared" ca="1" si="21"/>
        <v>0</v>
      </c>
      <c r="AK23" s="301">
        <f t="shared" ca="1" si="21"/>
        <v>0</v>
      </c>
      <c r="AL23" s="301">
        <f t="shared" ca="1" si="21"/>
        <v>0</v>
      </c>
      <c r="AM23" s="301">
        <f t="shared" ca="1" si="21"/>
        <v>0</v>
      </c>
      <c r="AN23" s="301">
        <f t="shared" ca="1" si="21"/>
        <v>0</v>
      </c>
      <c r="AO23" s="301">
        <f t="shared" ca="1" si="21"/>
        <v>0</v>
      </c>
      <c r="AP23" s="301">
        <f t="shared" ca="1" si="21"/>
        <v>0</v>
      </c>
      <c r="AQ23" s="301">
        <f t="shared" ca="1" si="21"/>
        <v>0</v>
      </c>
      <c r="AR23" s="301">
        <f t="shared" ca="1" si="21"/>
        <v>0</v>
      </c>
      <c r="AS23" s="301">
        <f t="shared" ca="1" si="18"/>
        <v>0</v>
      </c>
      <c r="AT23" s="301">
        <f t="shared" ca="1" si="18"/>
        <v>0</v>
      </c>
      <c r="AU23" s="301">
        <f t="shared" ca="1" si="18"/>
        <v>0</v>
      </c>
      <c r="AV23" s="301">
        <f t="shared" ca="1" si="18"/>
        <v>0</v>
      </c>
    </row>
    <row r="24" spans="1:48" x14ac:dyDescent="0.25">
      <c r="A24" s="25" t="s">
        <v>193</v>
      </c>
      <c r="B24" t="s">
        <v>26</v>
      </c>
      <c r="C24" s="25" t="s">
        <v>169</v>
      </c>
      <c r="D24" s="25">
        <f ca="1">INDEX(INDIRECT(CONCATENATE("'",RIGHT(D$1,2),"'!$F$8:$N$88")),MATCH($A24,INDIRECT(CONCATENATE("'",RIGHT(D$1,2),IF($B24="chemicals","'!$C$8:$C$88","'!$B$8:$B$88"))),0),MATCH('Other Industrial Processes'!$C24,INDIRECT(CONCATENATE("'",RIGHT(D$1,2),"'!$F$4:$N$4")),0))</f>
        <v>3.9119697504291499E-2</v>
      </c>
      <c r="E24" s="25">
        <f ca="1">INDEX(INDIRECT(CONCATENATE("'",RIGHT(E$1,2),"'!$F$8:$N$88")),MATCH($A24,INDIRECT(CONCATENATE("'",RIGHT(E$1,2),IF($B24="chemicals","'!$C$8:$C$88","'!$B$8:$B$88"))),0),MATCH('Other Industrial Processes'!$C24,INDIRECT(CONCATENATE("'",RIGHT(E$1,2),"'!$F$4:$N$4")),0))</f>
        <v>3.10259302885992E-2</v>
      </c>
      <c r="F24" s="25">
        <f ca="1">INDEX(INDIRECT(CONCATENATE("'",RIGHT(F$1,2),"'!$F$8:$N$88")),MATCH($A24,INDIRECT(CONCATENATE("'",RIGHT(F$1,2),IF($B24="chemicals","'!$C$8:$C$88","'!$B$8:$B$88"))),0),MATCH('Other Industrial Processes'!$C24,INDIRECT(CONCATENATE("'",RIGHT(F$1,2),"'!$F$4:$N$4")),0))</f>
        <v>3.9999896464712498E-2</v>
      </c>
      <c r="G24" s="25">
        <f ca="1">INDEX(INDIRECT(CONCATENATE("'",RIGHT(G$1,2),"'!$F$8:$N$88")),MATCH($A24,INDIRECT(CONCATENATE("'",RIGHT(G$1,2),IF($B24="chemicals","'!$C$8:$C$88","'!$B$8:$B$88"))),0),MATCH('Other Industrial Processes'!$C24,INDIRECT(CONCATENATE("'",RIGHT(G$1,2),"'!$F$4:$N$4")),0))</f>
        <v>3.9408877782218597E-2</v>
      </c>
      <c r="H24" s="25">
        <f ca="1">INDEX(INDIRECT(CONCATENATE("'",RIGHT(H$1,2),"'!$F$8:$N$88")),MATCH($A24,INDIRECT(CONCATENATE("'",RIGHT(H$1,2),IF($B24="chemicals","'!$C$8:$C$88","'!$B$8:$B$88"))),0),MATCH('Other Industrial Processes'!$C24,INDIRECT(CONCATENATE("'",RIGHT(H$1,2),"'!$F$4:$N$4")),0))</f>
        <v>2.6081436050356299E-2</v>
      </c>
      <c r="I24" s="25">
        <f ca="1">INDEX(INDIRECT(CONCATENATE("'",RIGHT(I$1,2),"'!$F$8:$N$88")),MATCH($A24,INDIRECT(CONCATENATE("'",RIGHT(I$1,2),IF($B24="chemicals","'!$C$8:$C$88","'!$B$8:$B$88"))),0),MATCH('Other Industrial Processes'!$C24,INDIRECT(CONCATENATE("'",RIGHT(I$1,2),"'!$F$4:$N$4")),0))</f>
        <v>2.4107107918299599E-2</v>
      </c>
      <c r="J24" s="25">
        <f ca="1">INDEX(INDIRECT(CONCATENATE("'",RIGHT(J$1,2),"'!$F$8:$N$88")),MATCH($A24,INDIRECT(CONCATENATE("'",RIGHT(J$1,2),IF($B24="chemicals","'!$C$8:$C$88","'!$B$8:$B$88"))),0),MATCH('Other Industrial Processes'!$C24,INDIRECT(CONCATENATE("'",RIGHT(J$1,2),"'!$F$4:$N$4")),0))</f>
        <v>3.07645858748988E-2</v>
      </c>
      <c r="K24" s="25">
        <f ca="1">INDEX(INDIRECT(CONCATENATE("'",RIGHT(K$1,2),"'!$F$8:$N$88")),MATCH($A24,INDIRECT(CONCATENATE("'",RIGHT(K$1,2),IF($B24="chemicals","'!$C$8:$C$88","'!$B$8:$B$88"))),0),MATCH('Other Industrial Processes'!$C24,INDIRECT(CONCATENATE("'",RIGHT(K$1,2),"'!$F$4:$N$4")),0))</f>
        <v>4.1270541078364399E-2</v>
      </c>
      <c r="L24" s="25">
        <f ca="1">INDEX(INDIRECT(CONCATENATE("'",RIGHT(L$1,2),"'!$F$8:$N$88")),MATCH($A24,INDIRECT(CONCATENATE("'",RIGHT(L$1,2),IF($B24="chemicals","'!$C$8:$C$88","'!$B$8:$B$88"))),0),MATCH('Other Industrial Processes'!$C24,INDIRECT(CONCATENATE("'",RIGHT(L$1,2),"'!$F$4:$N$4")),0))</f>
        <v>3.7776198873765203E-2</v>
      </c>
      <c r="M24" s="25">
        <f ca="1">INDEX(INDIRECT(CONCATENATE("'",RIGHT(M$1,2),"'!$F$8:$N$88")),MATCH($A24,INDIRECT(CONCATENATE("'",RIGHT(M$1,2),IF($B24="chemicals","'!$C$8:$C$88","'!$B$8:$B$88"))),0),MATCH('Other Industrial Processes'!$C24,INDIRECT(CONCATENATE("'",RIGHT(M$1,2),"'!$F$4:$N$4")),0))</f>
        <v>4.35088899137979E-2</v>
      </c>
      <c r="N24" s="301">
        <f t="shared" ref="N24:AR24" ca="1" si="22">IFERROR(IF($M24-$D24&gt;=0,($M24-$D24)/COUNT($E$1:$M$1)+M24,$F88*$E88^N$1),0)</f>
        <v>4.3996577959298615E-2</v>
      </c>
      <c r="O24" s="301">
        <f t="shared" ca="1" si="22"/>
        <v>4.4484266004799329E-2</v>
      </c>
      <c r="P24" s="301">
        <f t="shared" ca="1" si="22"/>
        <v>4.4971954050300043E-2</v>
      </c>
      <c r="Q24" s="301">
        <f t="shared" ca="1" si="22"/>
        <v>4.5459642095800758E-2</v>
      </c>
      <c r="R24" s="301">
        <f t="shared" ca="1" si="22"/>
        <v>4.5947330141301472E-2</v>
      </c>
      <c r="S24" s="301">
        <f t="shared" ca="1" si="22"/>
        <v>4.6435018186802186E-2</v>
      </c>
      <c r="T24" s="301">
        <f t="shared" ca="1" si="22"/>
        <v>4.6922706232302901E-2</v>
      </c>
      <c r="U24" s="301">
        <f t="shared" ca="1" si="22"/>
        <v>4.7410394277803615E-2</v>
      </c>
      <c r="V24" s="301">
        <f t="shared" ca="1" si="22"/>
        <v>4.7898082323304329E-2</v>
      </c>
      <c r="W24" s="301">
        <f t="shared" ca="1" si="22"/>
        <v>4.8385770368805044E-2</v>
      </c>
      <c r="X24" s="301">
        <f t="shared" ca="1" si="22"/>
        <v>4.8873458414305758E-2</v>
      </c>
      <c r="Y24" s="301">
        <f t="shared" ca="1" si="22"/>
        <v>4.9361146459806472E-2</v>
      </c>
      <c r="Z24" s="301">
        <f t="shared" ca="1" si="22"/>
        <v>4.9848834505307187E-2</v>
      </c>
      <c r="AA24" s="301">
        <f t="shared" ca="1" si="22"/>
        <v>5.0336522550807901E-2</v>
      </c>
      <c r="AB24" s="301">
        <f t="shared" ca="1" si="22"/>
        <v>5.0824210596308615E-2</v>
      </c>
      <c r="AC24" s="301">
        <f t="shared" ca="1" si="22"/>
        <v>5.131189864180933E-2</v>
      </c>
      <c r="AD24" s="301">
        <f t="shared" ca="1" si="22"/>
        <v>5.1799586687310044E-2</v>
      </c>
      <c r="AE24" s="301">
        <f t="shared" ca="1" si="22"/>
        <v>5.2287274732810758E-2</v>
      </c>
      <c r="AF24" s="301">
        <f t="shared" ca="1" si="22"/>
        <v>5.2774962778311472E-2</v>
      </c>
      <c r="AG24" s="301">
        <f t="shared" ca="1" si="22"/>
        <v>5.3262650823812187E-2</v>
      </c>
      <c r="AH24" s="301">
        <f t="shared" ca="1" si="22"/>
        <v>5.3750338869312901E-2</v>
      </c>
      <c r="AI24" s="301">
        <f t="shared" ca="1" si="22"/>
        <v>5.4238026914813615E-2</v>
      </c>
      <c r="AJ24" s="301">
        <f t="shared" ca="1" si="22"/>
        <v>5.472571496031433E-2</v>
      </c>
      <c r="AK24" s="301">
        <f t="shared" ca="1" si="22"/>
        <v>5.5213403005815044E-2</v>
      </c>
      <c r="AL24" s="301">
        <f t="shared" ca="1" si="22"/>
        <v>5.5701091051315758E-2</v>
      </c>
      <c r="AM24" s="301">
        <f t="shared" ca="1" si="22"/>
        <v>5.6188779096816473E-2</v>
      </c>
      <c r="AN24" s="301">
        <f t="shared" ca="1" si="22"/>
        <v>5.6676467142317187E-2</v>
      </c>
      <c r="AO24" s="301">
        <f t="shared" ca="1" si="22"/>
        <v>5.7164155187817901E-2</v>
      </c>
      <c r="AP24" s="301">
        <f t="shared" ca="1" si="22"/>
        <v>5.7651843233318616E-2</v>
      </c>
      <c r="AQ24" s="301">
        <f t="shared" ca="1" si="22"/>
        <v>5.813953127881933E-2</v>
      </c>
      <c r="AR24" s="301">
        <f t="shared" ca="1" si="22"/>
        <v>5.8627219324320044E-2</v>
      </c>
      <c r="AS24" s="301">
        <f t="shared" ca="1" si="18"/>
        <v>5.9114907369820759E-2</v>
      </c>
      <c r="AT24" s="301">
        <f t="shared" ca="1" si="18"/>
        <v>5.9602595415321473E-2</v>
      </c>
      <c r="AU24" s="301">
        <f t="shared" ca="1" si="18"/>
        <v>6.0090283460822187E-2</v>
      </c>
      <c r="AV24" s="301">
        <f t="shared" ca="1" si="18"/>
        <v>6.0577971506322902E-2</v>
      </c>
    </row>
    <row r="25" spans="1:48" x14ac:dyDescent="0.25">
      <c r="A25" s="25" t="s">
        <v>784</v>
      </c>
      <c r="B25" t="s">
        <v>26</v>
      </c>
      <c r="C25" s="25" t="s">
        <v>169</v>
      </c>
      <c r="D25" s="25">
        <f ca="1">INDEX(INDIRECT(CONCATENATE("'",RIGHT(D$1,2),"'!$F$8:$N$88")),MATCH($A25,INDIRECT(CONCATENATE("'",RIGHT(D$1,2),IF($B25="chemicals","'!$C$8:$C$88","'!$B$8:$B$88"))),0),MATCH('Other Industrial Processes'!$C25,INDIRECT(CONCATENATE("'",RIGHT(D$1,2),"'!$F$4:$N$4")),0))</f>
        <v>0</v>
      </c>
      <c r="E25" s="25">
        <f ca="1">INDEX(INDIRECT(CONCATENATE("'",RIGHT(E$1,2),"'!$F$8:$N$88")),MATCH($A25,INDIRECT(CONCATENATE("'",RIGHT(E$1,2),IF($B25="chemicals","'!$C$8:$C$88","'!$B$8:$B$88"))),0),MATCH('Other Industrial Processes'!$C25,INDIRECT(CONCATENATE("'",RIGHT(E$1,2),"'!$F$4:$N$4")),0))</f>
        <v>0</v>
      </c>
      <c r="F25" s="25">
        <f ca="1">INDEX(INDIRECT(CONCATENATE("'",RIGHT(F$1,2),"'!$F$8:$N$88")),MATCH($A25,INDIRECT(CONCATENATE("'",RIGHT(F$1,2),IF($B25="chemicals","'!$C$8:$C$88","'!$B$8:$B$88"))),0),MATCH('Other Industrial Processes'!$C25,INDIRECT(CONCATENATE("'",RIGHT(F$1,2),"'!$F$4:$N$4")),0))</f>
        <v>0</v>
      </c>
      <c r="G25" s="25">
        <f ca="1">INDEX(INDIRECT(CONCATENATE("'",RIGHT(G$1,2),"'!$F$8:$N$88")),MATCH($A25,INDIRECT(CONCATENATE("'",RIGHT(G$1,2),IF($B25="chemicals","'!$C$8:$C$88","'!$B$8:$B$88"))),0),MATCH('Other Industrial Processes'!$C25,INDIRECT(CONCATENATE("'",RIGHT(G$1,2),"'!$F$4:$N$4")),0))</f>
        <v>0</v>
      </c>
      <c r="H25" s="25">
        <f ca="1">INDEX(INDIRECT(CONCATENATE("'",RIGHT(H$1,2),"'!$F$8:$N$88")),MATCH($A25,INDIRECT(CONCATENATE("'",RIGHT(H$1,2),IF($B25="chemicals","'!$C$8:$C$88","'!$B$8:$B$88"))),0),MATCH('Other Industrial Processes'!$C25,INDIRECT(CONCATENATE("'",RIGHT(H$1,2),"'!$F$4:$N$4")),0))</f>
        <v>0</v>
      </c>
      <c r="I25" s="25">
        <f ca="1">INDEX(INDIRECT(CONCATENATE("'",RIGHT(I$1,2),"'!$F$8:$N$88")),MATCH($A25,INDIRECT(CONCATENATE("'",RIGHT(I$1,2),IF($B25="chemicals","'!$C$8:$C$88","'!$B$8:$B$88"))),0),MATCH('Other Industrial Processes'!$C25,INDIRECT(CONCATENATE("'",RIGHT(I$1,2),"'!$F$4:$N$4")),0))</f>
        <v>0</v>
      </c>
      <c r="J25" s="25">
        <f ca="1">INDEX(INDIRECT(CONCATENATE("'",RIGHT(J$1,2),"'!$F$8:$N$88")),MATCH($A25,INDIRECT(CONCATENATE("'",RIGHT(J$1,2),IF($B25="chemicals","'!$C$8:$C$88","'!$B$8:$B$88"))),0),MATCH('Other Industrial Processes'!$C25,INDIRECT(CONCATENATE("'",RIGHT(J$1,2),"'!$F$4:$N$4")),0))</f>
        <v>0</v>
      </c>
      <c r="K25" s="25">
        <f ca="1">INDEX(INDIRECT(CONCATENATE("'",RIGHT(K$1,2),"'!$F$8:$N$88")),MATCH($A25,INDIRECT(CONCATENATE("'",RIGHT(K$1,2),IF($B25="chemicals","'!$C$8:$C$88","'!$B$8:$B$88"))),0),MATCH('Other Industrial Processes'!$C25,INDIRECT(CONCATENATE("'",RIGHT(K$1,2),"'!$F$4:$N$4")),0))</f>
        <v>0</v>
      </c>
      <c r="L25" s="25">
        <f ca="1">INDEX(INDIRECT(CONCATENATE("'",RIGHT(L$1,2),"'!$F$8:$N$88")),MATCH($A25,INDIRECT(CONCATENATE("'",RIGHT(L$1,2),IF($B25="chemicals","'!$C$8:$C$88","'!$B$8:$B$88"))),0),MATCH('Other Industrial Processes'!$C25,INDIRECT(CONCATENATE("'",RIGHT(L$1,2),"'!$F$4:$N$4")),0))</f>
        <v>0</v>
      </c>
      <c r="M25" s="25">
        <f ca="1">INDEX(INDIRECT(CONCATENATE("'",RIGHT(M$1,2),"'!$F$8:$N$88")),MATCH($A25,INDIRECT(CONCATENATE("'",RIGHT(M$1,2),IF($B25="chemicals","'!$C$8:$C$88","'!$B$8:$B$88"))),0),MATCH('Other Industrial Processes'!$C25,INDIRECT(CONCATENATE("'",RIGHT(M$1,2),"'!$F$4:$N$4")),0))</f>
        <v>0</v>
      </c>
      <c r="N25" s="301">
        <f t="shared" ref="N25:AR25" ca="1" si="23">IFERROR(IF($M25-$D25&gt;=0,($M25-$D25)/COUNT($E$1:$M$1)+M25,$F89*$E89^N$1),0)</f>
        <v>0</v>
      </c>
      <c r="O25" s="301">
        <f t="shared" ca="1" si="23"/>
        <v>0</v>
      </c>
      <c r="P25" s="301">
        <f t="shared" ca="1" si="23"/>
        <v>0</v>
      </c>
      <c r="Q25" s="301">
        <f t="shared" ca="1" si="23"/>
        <v>0</v>
      </c>
      <c r="R25" s="301">
        <f t="shared" ca="1" si="23"/>
        <v>0</v>
      </c>
      <c r="S25" s="301">
        <f t="shared" ca="1" si="23"/>
        <v>0</v>
      </c>
      <c r="T25" s="301">
        <f t="shared" ca="1" si="23"/>
        <v>0</v>
      </c>
      <c r="U25" s="301">
        <f t="shared" ca="1" si="23"/>
        <v>0</v>
      </c>
      <c r="V25" s="301">
        <f t="shared" ca="1" si="23"/>
        <v>0</v>
      </c>
      <c r="W25" s="301">
        <f t="shared" ca="1" si="23"/>
        <v>0</v>
      </c>
      <c r="X25" s="301">
        <f t="shared" ca="1" si="23"/>
        <v>0</v>
      </c>
      <c r="Y25" s="301">
        <f t="shared" ca="1" si="23"/>
        <v>0</v>
      </c>
      <c r="Z25" s="301">
        <f t="shared" ca="1" si="23"/>
        <v>0</v>
      </c>
      <c r="AA25" s="301">
        <f t="shared" ca="1" si="23"/>
        <v>0</v>
      </c>
      <c r="AB25" s="301">
        <f t="shared" ca="1" si="23"/>
        <v>0</v>
      </c>
      <c r="AC25" s="301">
        <f t="shared" ca="1" si="23"/>
        <v>0</v>
      </c>
      <c r="AD25" s="301">
        <f t="shared" ca="1" si="23"/>
        <v>0</v>
      </c>
      <c r="AE25" s="301">
        <f t="shared" ca="1" si="23"/>
        <v>0</v>
      </c>
      <c r="AF25" s="301">
        <f t="shared" ca="1" si="23"/>
        <v>0</v>
      </c>
      <c r="AG25" s="301">
        <f t="shared" ca="1" si="23"/>
        <v>0</v>
      </c>
      <c r="AH25" s="301">
        <f t="shared" ca="1" si="23"/>
        <v>0</v>
      </c>
      <c r="AI25" s="301">
        <f t="shared" ca="1" si="23"/>
        <v>0</v>
      </c>
      <c r="AJ25" s="301">
        <f t="shared" ca="1" si="23"/>
        <v>0</v>
      </c>
      <c r="AK25" s="301">
        <f t="shared" ca="1" si="23"/>
        <v>0</v>
      </c>
      <c r="AL25" s="301">
        <f t="shared" ca="1" si="23"/>
        <v>0</v>
      </c>
      <c r="AM25" s="301">
        <f t="shared" ca="1" si="23"/>
        <v>0</v>
      </c>
      <c r="AN25" s="301">
        <f t="shared" ca="1" si="23"/>
        <v>0</v>
      </c>
      <c r="AO25" s="301">
        <f t="shared" ca="1" si="23"/>
        <v>0</v>
      </c>
      <c r="AP25" s="301">
        <f t="shared" ca="1" si="23"/>
        <v>0</v>
      </c>
      <c r="AQ25" s="301">
        <f t="shared" ca="1" si="23"/>
        <v>0</v>
      </c>
      <c r="AR25" s="301">
        <f t="shared" ca="1" si="23"/>
        <v>0</v>
      </c>
      <c r="AS25" s="301">
        <f t="shared" ca="1" si="18"/>
        <v>0</v>
      </c>
      <c r="AT25" s="301">
        <f t="shared" ca="1" si="18"/>
        <v>0</v>
      </c>
      <c r="AU25" s="301">
        <f t="shared" ca="1" si="18"/>
        <v>0</v>
      </c>
      <c r="AV25" s="301">
        <f t="shared" ca="1" si="18"/>
        <v>0</v>
      </c>
    </row>
    <row r="26" spans="1:48" x14ac:dyDescent="0.25">
      <c r="A26" s="25" t="s">
        <v>192</v>
      </c>
      <c r="B26" t="s">
        <v>4</v>
      </c>
      <c r="C26" s="25" t="s">
        <v>196</v>
      </c>
      <c r="D26" s="25">
        <f ca="1">INDEX(INDIRECT(CONCATENATE("'",RIGHT(D$1,2),"'!$F$8:$N$88")),MATCH($A26,INDIRECT(CONCATENATE("'",RIGHT(D$1,2),IF($B26="chemicals","'!$C$8:$C$88","'!$B$8:$B$88"))),0),MATCH('Other Industrial Processes'!$C26,INDIRECT(CONCATENATE("'",RIGHT(D$1,2),"'!$F$4:$N$4")),0))</f>
        <v>0</v>
      </c>
      <c r="E26" s="25">
        <f ca="1">INDEX(INDIRECT(CONCATENATE("'",RIGHT(E$1,2),"'!$F$8:$N$88")),MATCH($A26,INDIRECT(CONCATENATE("'",RIGHT(E$1,2),IF($B26="chemicals","'!$C$8:$C$88","'!$B$8:$B$88"))),0),MATCH('Other Industrial Processes'!$C26,INDIRECT(CONCATENATE("'",RIGHT(E$1,2),"'!$F$4:$N$4")),0))</f>
        <v>0</v>
      </c>
      <c r="F26" s="25">
        <f ca="1">INDEX(INDIRECT(CONCATENATE("'",RIGHT(F$1,2),"'!$F$8:$N$88")),MATCH($A26,INDIRECT(CONCATENATE("'",RIGHT(F$1,2),IF($B26="chemicals","'!$C$8:$C$88","'!$B$8:$B$88"))),0),MATCH('Other Industrial Processes'!$C26,INDIRECT(CONCATENATE("'",RIGHT(F$1,2),"'!$F$4:$N$4")),0))</f>
        <v>0</v>
      </c>
      <c r="G26" s="25">
        <f ca="1">INDEX(INDIRECT(CONCATENATE("'",RIGHT(G$1,2),"'!$F$8:$N$88")),MATCH($A26,INDIRECT(CONCATENATE("'",RIGHT(G$1,2),IF($B26="chemicals","'!$C$8:$C$88","'!$B$8:$B$88"))),0),MATCH('Other Industrial Processes'!$C26,INDIRECT(CONCATENATE("'",RIGHT(G$1,2),"'!$F$4:$N$4")),0))</f>
        <v>0</v>
      </c>
      <c r="H26" s="25">
        <f ca="1">INDEX(INDIRECT(CONCATENATE("'",RIGHT(H$1,2),"'!$F$8:$N$88")),MATCH($A26,INDIRECT(CONCATENATE("'",RIGHT(H$1,2),IF($B26="chemicals","'!$C$8:$C$88","'!$B$8:$B$88"))),0),MATCH('Other Industrial Processes'!$C26,INDIRECT(CONCATENATE("'",RIGHT(H$1,2),"'!$F$4:$N$4")),0))</f>
        <v>0</v>
      </c>
      <c r="I26" s="25">
        <f ca="1">INDEX(INDIRECT(CONCATENATE("'",RIGHT(I$1,2),"'!$F$8:$N$88")),MATCH($A26,INDIRECT(CONCATENATE("'",RIGHT(I$1,2),IF($B26="chemicals","'!$C$8:$C$88","'!$B$8:$B$88"))),0),MATCH('Other Industrial Processes'!$C26,INDIRECT(CONCATENATE("'",RIGHT(I$1,2),"'!$F$4:$N$4")),0))</f>
        <v>0</v>
      </c>
      <c r="J26" s="25">
        <f ca="1">INDEX(INDIRECT(CONCATENATE("'",RIGHT(J$1,2),"'!$F$8:$N$88")),MATCH($A26,INDIRECT(CONCATENATE("'",RIGHT(J$1,2),IF($B26="chemicals","'!$C$8:$C$88","'!$B$8:$B$88"))),0),MATCH('Other Industrial Processes'!$C26,INDIRECT(CONCATENATE("'",RIGHT(J$1,2),"'!$F$4:$N$4")),0))</f>
        <v>0</v>
      </c>
      <c r="K26" s="25">
        <f ca="1">INDEX(INDIRECT(CONCATENATE("'",RIGHT(K$1,2),"'!$F$8:$N$88")),MATCH($A26,INDIRECT(CONCATENATE("'",RIGHT(K$1,2),IF($B26="chemicals","'!$C$8:$C$88","'!$B$8:$B$88"))),0),MATCH('Other Industrial Processes'!$C26,INDIRECT(CONCATENATE("'",RIGHT(K$1,2),"'!$F$4:$N$4")),0))</f>
        <v>0</v>
      </c>
      <c r="L26" s="25">
        <f ca="1">INDEX(INDIRECT(CONCATENATE("'",RIGHT(L$1,2),"'!$F$8:$N$88")),MATCH($A26,INDIRECT(CONCATENATE("'",RIGHT(L$1,2),IF($B26="chemicals","'!$C$8:$C$88","'!$B$8:$B$88"))),0),MATCH('Other Industrial Processes'!$C26,INDIRECT(CONCATENATE("'",RIGHT(L$1,2),"'!$F$4:$N$4")),0))</f>
        <v>0</v>
      </c>
      <c r="M26" s="25">
        <f ca="1">INDEX(INDIRECT(CONCATENATE("'",RIGHT(M$1,2),"'!$F$8:$N$88")),MATCH($A26,INDIRECT(CONCATENATE("'",RIGHT(M$1,2),IF($B26="chemicals","'!$C$8:$C$88","'!$B$8:$B$88"))),0),MATCH('Other Industrial Processes'!$C26,INDIRECT(CONCATENATE("'",RIGHT(M$1,2),"'!$F$4:$N$4")),0))</f>
        <v>0</v>
      </c>
      <c r="N26" s="301">
        <f t="shared" ref="N26:AR26" ca="1" si="24">IFERROR(IF($M26-$D26&gt;=0,($M26-$D26)/COUNT($E$1:$M$1)+M26,$F90*$E90^N$1),0)</f>
        <v>0</v>
      </c>
      <c r="O26" s="301">
        <f t="shared" ca="1" si="24"/>
        <v>0</v>
      </c>
      <c r="P26" s="301">
        <f t="shared" ca="1" si="24"/>
        <v>0</v>
      </c>
      <c r="Q26" s="301">
        <f t="shared" ca="1" si="24"/>
        <v>0</v>
      </c>
      <c r="R26" s="301">
        <f t="shared" ca="1" si="24"/>
        <v>0</v>
      </c>
      <c r="S26" s="301">
        <f t="shared" ca="1" si="24"/>
        <v>0</v>
      </c>
      <c r="T26" s="301">
        <f t="shared" ca="1" si="24"/>
        <v>0</v>
      </c>
      <c r="U26" s="301">
        <f t="shared" ca="1" si="24"/>
        <v>0</v>
      </c>
      <c r="V26" s="301">
        <f t="shared" ca="1" si="24"/>
        <v>0</v>
      </c>
      <c r="W26" s="301">
        <f t="shared" ca="1" si="24"/>
        <v>0</v>
      </c>
      <c r="X26" s="301">
        <f t="shared" ca="1" si="24"/>
        <v>0</v>
      </c>
      <c r="Y26" s="301">
        <f t="shared" ca="1" si="24"/>
        <v>0</v>
      </c>
      <c r="Z26" s="301">
        <f t="shared" ca="1" si="24"/>
        <v>0</v>
      </c>
      <c r="AA26" s="301">
        <f t="shared" ca="1" si="24"/>
        <v>0</v>
      </c>
      <c r="AB26" s="301">
        <f t="shared" ca="1" si="24"/>
        <v>0</v>
      </c>
      <c r="AC26" s="301">
        <f t="shared" ca="1" si="24"/>
        <v>0</v>
      </c>
      <c r="AD26" s="301">
        <f t="shared" ca="1" si="24"/>
        <v>0</v>
      </c>
      <c r="AE26" s="301">
        <f t="shared" ca="1" si="24"/>
        <v>0</v>
      </c>
      <c r="AF26" s="301">
        <f t="shared" ca="1" si="24"/>
        <v>0</v>
      </c>
      <c r="AG26" s="301">
        <f t="shared" ca="1" si="24"/>
        <v>0</v>
      </c>
      <c r="AH26" s="301">
        <f t="shared" ca="1" si="24"/>
        <v>0</v>
      </c>
      <c r="AI26" s="301">
        <f t="shared" ca="1" si="24"/>
        <v>0</v>
      </c>
      <c r="AJ26" s="301">
        <f t="shared" ca="1" si="24"/>
        <v>0</v>
      </c>
      <c r="AK26" s="301">
        <f t="shared" ca="1" si="24"/>
        <v>0</v>
      </c>
      <c r="AL26" s="301">
        <f t="shared" ca="1" si="24"/>
        <v>0</v>
      </c>
      <c r="AM26" s="301">
        <f t="shared" ca="1" si="24"/>
        <v>0</v>
      </c>
      <c r="AN26" s="301">
        <f t="shared" ca="1" si="24"/>
        <v>0</v>
      </c>
      <c r="AO26" s="301">
        <f t="shared" ca="1" si="24"/>
        <v>0</v>
      </c>
      <c r="AP26" s="301">
        <f t="shared" ca="1" si="24"/>
        <v>0</v>
      </c>
      <c r="AQ26" s="301">
        <f t="shared" ca="1" si="24"/>
        <v>0</v>
      </c>
      <c r="AR26" s="301">
        <f t="shared" ca="1" si="24"/>
        <v>0</v>
      </c>
      <c r="AS26" s="301">
        <f t="shared" ca="1" si="18"/>
        <v>0</v>
      </c>
      <c r="AT26" s="301">
        <f t="shared" ca="1" si="18"/>
        <v>0</v>
      </c>
      <c r="AU26" s="301">
        <f t="shared" ca="1" si="18"/>
        <v>0</v>
      </c>
      <c r="AV26" s="301">
        <f t="shared" ca="1" si="18"/>
        <v>0</v>
      </c>
    </row>
    <row r="27" spans="1:48" x14ac:dyDescent="0.25">
      <c r="A27" s="25" t="s">
        <v>190</v>
      </c>
      <c r="B27" t="s">
        <v>4</v>
      </c>
      <c r="C27" s="25" t="s">
        <v>196</v>
      </c>
      <c r="D27" s="25">
        <f ca="1">INDEX(INDIRECT(CONCATENATE("'",RIGHT(D$1,2),"'!$F$8:$N$88")),MATCH($A27,INDIRECT(CONCATENATE("'",RIGHT(D$1,2),IF($B27="chemicals","'!$C$8:$C$88","'!$B$8:$B$88"))),0),MATCH('Other Industrial Processes'!$C27,INDIRECT(CONCATENATE("'",RIGHT(D$1,2),"'!$F$4:$N$4")),0))</f>
        <v>0</v>
      </c>
      <c r="E27" s="25">
        <f ca="1">INDEX(INDIRECT(CONCATENATE("'",RIGHT(E$1,2),"'!$F$8:$N$88")),MATCH($A27,INDIRECT(CONCATENATE("'",RIGHT(E$1,2),IF($B27="chemicals","'!$C$8:$C$88","'!$B$8:$B$88"))),0),MATCH('Other Industrial Processes'!$C27,INDIRECT(CONCATENATE("'",RIGHT(E$1,2),"'!$F$4:$N$4")),0))</f>
        <v>0</v>
      </c>
      <c r="F27" s="25">
        <f ca="1">INDEX(INDIRECT(CONCATENATE("'",RIGHT(F$1,2),"'!$F$8:$N$88")),MATCH($A27,INDIRECT(CONCATENATE("'",RIGHT(F$1,2),IF($B27="chemicals","'!$C$8:$C$88","'!$B$8:$B$88"))),0),MATCH('Other Industrial Processes'!$C27,INDIRECT(CONCATENATE("'",RIGHT(F$1,2),"'!$F$4:$N$4")),0))</f>
        <v>0</v>
      </c>
      <c r="G27" s="25">
        <f ca="1">INDEX(INDIRECT(CONCATENATE("'",RIGHT(G$1,2),"'!$F$8:$N$88")),MATCH($A27,INDIRECT(CONCATENATE("'",RIGHT(G$1,2),IF($B27="chemicals","'!$C$8:$C$88","'!$B$8:$B$88"))),0),MATCH('Other Industrial Processes'!$C27,INDIRECT(CONCATENATE("'",RIGHT(G$1,2),"'!$F$4:$N$4")),0))</f>
        <v>0</v>
      </c>
      <c r="H27" s="25">
        <f ca="1">INDEX(INDIRECT(CONCATENATE("'",RIGHT(H$1,2),"'!$F$8:$N$88")),MATCH($A27,INDIRECT(CONCATENATE("'",RIGHT(H$1,2),IF($B27="chemicals","'!$C$8:$C$88","'!$B$8:$B$88"))),0),MATCH('Other Industrial Processes'!$C27,INDIRECT(CONCATENATE("'",RIGHT(H$1,2),"'!$F$4:$N$4")),0))</f>
        <v>0</v>
      </c>
      <c r="I27" s="25">
        <f ca="1">INDEX(INDIRECT(CONCATENATE("'",RIGHT(I$1,2),"'!$F$8:$N$88")),MATCH($A27,INDIRECT(CONCATENATE("'",RIGHT(I$1,2),IF($B27="chemicals","'!$C$8:$C$88","'!$B$8:$B$88"))),0),MATCH('Other Industrial Processes'!$C27,INDIRECT(CONCATENATE("'",RIGHT(I$1,2),"'!$F$4:$N$4")),0))</f>
        <v>0</v>
      </c>
      <c r="J27" s="25">
        <f ca="1">INDEX(INDIRECT(CONCATENATE("'",RIGHT(J$1,2),"'!$F$8:$N$88")),MATCH($A27,INDIRECT(CONCATENATE("'",RIGHT(J$1,2),IF($B27="chemicals","'!$C$8:$C$88","'!$B$8:$B$88"))),0),MATCH('Other Industrial Processes'!$C27,INDIRECT(CONCATENATE("'",RIGHT(J$1,2),"'!$F$4:$N$4")),0))</f>
        <v>0</v>
      </c>
      <c r="K27" s="25">
        <f ca="1">INDEX(INDIRECT(CONCATENATE("'",RIGHT(K$1,2),"'!$F$8:$N$88")),MATCH($A27,INDIRECT(CONCATENATE("'",RIGHT(K$1,2),IF($B27="chemicals","'!$C$8:$C$88","'!$B$8:$B$88"))),0),MATCH('Other Industrial Processes'!$C27,INDIRECT(CONCATENATE("'",RIGHT(K$1,2),"'!$F$4:$N$4")),0))</f>
        <v>0</v>
      </c>
      <c r="L27" s="25">
        <f ca="1">INDEX(INDIRECT(CONCATENATE("'",RIGHT(L$1,2),"'!$F$8:$N$88")),MATCH($A27,INDIRECT(CONCATENATE("'",RIGHT(L$1,2),IF($B27="chemicals","'!$C$8:$C$88","'!$B$8:$B$88"))),0),MATCH('Other Industrial Processes'!$C27,INDIRECT(CONCATENATE("'",RIGHT(L$1,2),"'!$F$4:$N$4")),0))</f>
        <v>0</v>
      </c>
      <c r="M27" s="25">
        <f ca="1">INDEX(INDIRECT(CONCATENATE("'",RIGHT(M$1,2),"'!$F$8:$N$88")),MATCH($A27,INDIRECT(CONCATENATE("'",RIGHT(M$1,2),IF($B27="chemicals","'!$C$8:$C$88","'!$B$8:$B$88"))),0),MATCH('Other Industrial Processes'!$C27,INDIRECT(CONCATENATE("'",RIGHT(M$1,2),"'!$F$4:$N$4")),0))</f>
        <v>0</v>
      </c>
      <c r="N27" s="301">
        <f t="shared" ref="N27:AR27" ca="1" si="25">IFERROR(IF($M27-$D27&gt;=0,($M27-$D27)/COUNT($E$1:$M$1)+M27,$F91*$E91^N$1),0)</f>
        <v>0</v>
      </c>
      <c r="O27" s="301">
        <f t="shared" ca="1" si="25"/>
        <v>0</v>
      </c>
      <c r="P27" s="301">
        <f t="shared" ca="1" si="25"/>
        <v>0</v>
      </c>
      <c r="Q27" s="301">
        <f t="shared" ca="1" si="25"/>
        <v>0</v>
      </c>
      <c r="R27" s="301">
        <f t="shared" ca="1" si="25"/>
        <v>0</v>
      </c>
      <c r="S27" s="301">
        <f t="shared" ca="1" si="25"/>
        <v>0</v>
      </c>
      <c r="T27" s="301">
        <f t="shared" ca="1" si="25"/>
        <v>0</v>
      </c>
      <c r="U27" s="301">
        <f t="shared" ca="1" si="25"/>
        <v>0</v>
      </c>
      <c r="V27" s="301">
        <f t="shared" ca="1" si="25"/>
        <v>0</v>
      </c>
      <c r="W27" s="301">
        <f t="shared" ca="1" si="25"/>
        <v>0</v>
      </c>
      <c r="X27" s="301">
        <f t="shared" ca="1" si="25"/>
        <v>0</v>
      </c>
      <c r="Y27" s="301">
        <f t="shared" ca="1" si="25"/>
        <v>0</v>
      </c>
      <c r="Z27" s="301">
        <f t="shared" ca="1" si="25"/>
        <v>0</v>
      </c>
      <c r="AA27" s="301">
        <f t="shared" ca="1" si="25"/>
        <v>0</v>
      </c>
      <c r="AB27" s="301">
        <f t="shared" ca="1" si="25"/>
        <v>0</v>
      </c>
      <c r="AC27" s="301">
        <f t="shared" ca="1" si="25"/>
        <v>0</v>
      </c>
      <c r="AD27" s="301">
        <f t="shared" ca="1" si="25"/>
        <v>0</v>
      </c>
      <c r="AE27" s="301">
        <f t="shared" ca="1" si="25"/>
        <v>0</v>
      </c>
      <c r="AF27" s="301">
        <f t="shared" ca="1" si="25"/>
        <v>0</v>
      </c>
      <c r="AG27" s="301">
        <f t="shared" ca="1" si="25"/>
        <v>0</v>
      </c>
      <c r="AH27" s="301">
        <f t="shared" ca="1" si="25"/>
        <v>0</v>
      </c>
      <c r="AI27" s="301">
        <f t="shared" ca="1" si="25"/>
        <v>0</v>
      </c>
      <c r="AJ27" s="301">
        <f t="shared" ca="1" si="25"/>
        <v>0</v>
      </c>
      <c r="AK27" s="301">
        <f t="shared" ca="1" si="25"/>
        <v>0</v>
      </c>
      <c r="AL27" s="301">
        <f t="shared" ca="1" si="25"/>
        <v>0</v>
      </c>
      <c r="AM27" s="301">
        <f t="shared" ca="1" si="25"/>
        <v>0</v>
      </c>
      <c r="AN27" s="301">
        <f t="shared" ca="1" si="25"/>
        <v>0</v>
      </c>
      <c r="AO27" s="301">
        <f t="shared" ca="1" si="25"/>
        <v>0</v>
      </c>
      <c r="AP27" s="301">
        <f t="shared" ca="1" si="25"/>
        <v>0</v>
      </c>
      <c r="AQ27" s="301">
        <f t="shared" ca="1" si="25"/>
        <v>0</v>
      </c>
      <c r="AR27" s="301">
        <f t="shared" ca="1" si="25"/>
        <v>0</v>
      </c>
      <c r="AS27" s="301">
        <f t="shared" ca="1" si="18"/>
        <v>0</v>
      </c>
      <c r="AT27" s="301">
        <f t="shared" ca="1" si="18"/>
        <v>0</v>
      </c>
      <c r="AU27" s="301">
        <f t="shared" ca="1" si="18"/>
        <v>0</v>
      </c>
      <c r="AV27" s="301">
        <f t="shared" ca="1" si="18"/>
        <v>0</v>
      </c>
    </row>
    <row r="28" spans="1:48" x14ac:dyDescent="0.25">
      <c r="A28" s="25" t="s">
        <v>770</v>
      </c>
      <c r="B28" t="s">
        <v>4</v>
      </c>
      <c r="C28" s="25" t="s">
        <v>196</v>
      </c>
      <c r="D28" s="25">
        <f ca="1">INDEX(INDIRECT(CONCATENATE("'",RIGHT(D$1,2),"'!$F$8:$N$88")),MATCH($A28,INDIRECT(CONCATENATE("'",RIGHT(D$1,2),IF($B28="chemicals","'!$C$8:$C$88","'!$B$8:$B$88"))),0),MATCH('Other Industrial Processes'!$C28,INDIRECT(CONCATENATE("'",RIGHT(D$1,2),"'!$F$4:$N$4")),0))</f>
        <v>0</v>
      </c>
      <c r="E28" s="25">
        <f ca="1">INDEX(INDIRECT(CONCATENATE("'",RIGHT(E$1,2),"'!$F$8:$N$88")),MATCH($A28,INDIRECT(CONCATENATE("'",RIGHT(E$1,2),IF($B28="chemicals","'!$C$8:$C$88","'!$B$8:$B$88"))),0),MATCH('Other Industrial Processes'!$C28,INDIRECT(CONCATENATE("'",RIGHT(E$1,2),"'!$F$4:$N$4")),0))</f>
        <v>0</v>
      </c>
      <c r="F28" s="25">
        <f ca="1">INDEX(INDIRECT(CONCATENATE("'",RIGHT(F$1,2),"'!$F$8:$N$88")),MATCH($A28,INDIRECT(CONCATENATE("'",RIGHT(F$1,2),IF($B28="chemicals","'!$C$8:$C$88","'!$B$8:$B$88"))),0),MATCH('Other Industrial Processes'!$C28,INDIRECT(CONCATENATE("'",RIGHT(F$1,2),"'!$F$4:$N$4")),0))</f>
        <v>0</v>
      </c>
      <c r="G28" s="25">
        <f ca="1">INDEX(INDIRECT(CONCATENATE("'",RIGHT(G$1,2),"'!$F$8:$N$88")),MATCH($A28,INDIRECT(CONCATENATE("'",RIGHT(G$1,2),IF($B28="chemicals","'!$C$8:$C$88","'!$B$8:$B$88"))),0),MATCH('Other Industrial Processes'!$C28,INDIRECT(CONCATENATE("'",RIGHT(G$1,2),"'!$F$4:$N$4")),0))</f>
        <v>0</v>
      </c>
      <c r="H28" s="25">
        <f ca="1">INDEX(INDIRECT(CONCATENATE("'",RIGHT(H$1,2),"'!$F$8:$N$88")),MATCH($A28,INDIRECT(CONCATENATE("'",RIGHT(H$1,2),IF($B28="chemicals","'!$C$8:$C$88","'!$B$8:$B$88"))),0),MATCH('Other Industrial Processes'!$C28,INDIRECT(CONCATENATE("'",RIGHT(H$1,2),"'!$F$4:$N$4")),0))</f>
        <v>0</v>
      </c>
      <c r="I28" s="25">
        <f ca="1">INDEX(INDIRECT(CONCATENATE("'",RIGHT(I$1,2),"'!$F$8:$N$88")),MATCH($A28,INDIRECT(CONCATENATE("'",RIGHT(I$1,2),IF($B28="chemicals","'!$C$8:$C$88","'!$B$8:$B$88"))),0),MATCH('Other Industrial Processes'!$C28,INDIRECT(CONCATENATE("'",RIGHT(I$1,2),"'!$F$4:$N$4")),0))</f>
        <v>0</v>
      </c>
      <c r="J28" s="25">
        <f ca="1">INDEX(INDIRECT(CONCATENATE("'",RIGHT(J$1,2),"'!$F$8:$N$88")),MATCH($A28,INDIRECT(CONCATENATE("'",RIGHT(J$1,2),IF($B28="chemicals","'!$C$8:$C$88","'!$B$8:$B$88"))),0),MATCH('Other Industrial Processes'!$C28,INDIRECT(CONCATENATE("'",RIGHT(J$1,2),"'!$F$4:$N$4")),0))</f>
        <v>0</v>
      </c>
      <c r="K28" s="25">
        <f ca="1">INDEX(INDIRECT(CONCATENATE("'",RIGHT(K$1,2),"'!$F$8:$N$88")),MATCH($A28,INDIRECT(CONCATENATE("'",RIGHT(K$1,2),IF($B28="chemicals","'!$C$8:$C$88","'!$B$8:$B$88"))),0),MATCH('Other Industrial Processes'!$C28,INDIRECT(CONCATENATE("'",RIGHT(K$1,2),"'!$F$4:$N$4")),0))</f>
        <v>0</v>
      </c>
      <c r="L28" s="25">
        <f ca="1">INDEX(INDIRECT(CONCATENATE("'",RIGHT(L$1,2),"'!$F$8:$N$88")),MATCH($A28,INDIRECT(CONCATENATE("'",RIGHT(L$1,2),IF($B28="chemicals","'!$C$8:$C$88","'!$B$8:$B$88"))),0),MATCH('Other Industrial Processes'!$C28,INDIRECT(CONCATENATE("'",RIGHT(L$1,2),"'!$F$4:$N$4")),0))</f>
        <v>0</v>
      </c>
      <c r="M28" s="25">
        <f ca="1">INDEX(INDIRECT(CONCATENATE("'",RIGHT(M$1,2),"'!$F$8:$N$88")),MATCH($A28,INDIRECT(CONCATENATE("'",RIGHT(M$1,2),IF($B28="chemicals","'!$C$8:$C$88","'!$B$8:$B$88"))),0),MATCH('Other Industrial Processes'!$C28,INDIRECT(CONCATENATE("'",RIGHT(M$1,2),"'!$F$4:$N$4")),0))</f>
        <v>0</v>
      </c>
      <c r="N28" s="301">
        <f t="shared" ref="N28:AR28" ca="1" si="26">IFERROR(IF($M28-$D28&gt;=0,($M28-$D28)/COUNT($E$1:$M$1)+M28,$F92*$E92^N$1),0)</f>
        <v>0</v>
      </c>
      <c r="O28" s="301">
        <f t="shared" ca="1" si="26"/>
        <v>0</v>
      </c>
      <c r="P28" s="301">
        <f t="shared" ca="1" si="26"/>
        <v>0</v>
      </c>
      <c r="Q28" s="301">
        <f t="shared" ca="1" si="26"/>
        <v>0</v>
      </c>
      <c r="R28" s="301">
        <f t="shared" ca="1" si="26"/>
        <v>0</v>
      </c>
      <c r="S28" s="301">
        <f t="shared" ca="1" si="26"/>
        <v>0</v>
      </c>
      <c r="T28" s="301">
        <f t="shared" ca="1" si="26"/>
        <v>0</v>
      </c>
      <c r="U28" s="301">
        <f t="shared" ca="1" si="26"/>
        <v>0</v>
      </c>
      <c r="V28" s="301">
        <f t="shared" ca="1" si="26"/>
        <v>0</v>
      </c>
      <c r="W28" s="301">
        <f t="shared" ca="1" si="26"/>
        <v>0</v>
      </c>
      <c r="X28" s="301">
        <f t="shared" ca="1" si="26"/>
        <v>0</v>
      </c>
      <c r="Y28" s="301">
        <f t="shared" ca="1" si="26"/>
        <v>0</v>
      </c>
      <c r="Z28" s="301">
        <f t="shared" ca="1" si="26"/>
        <v>0</v>
      </c>
      <c r="AA28" s="301">
        <f t="shared" ca="1" si="26"/>
        <v>0</v>
      </c>
      <c r="AB28" s="301">
        <f t="shared" ca="1" si="26"/>
        <v>0</v>
      </c>
      <c r="AC28" s="301">
        <f t="shared" ca="1" si="26"/>
        <v>0</v>
      </c>
      <c r="AD28" s="301">
        <f t="shared" ca="1" si="26"/>
        <v>0</v>
      </c>
      <c r="AE28" s="301">
        <f t="shared" ca="1" si="26"/>
        <v>0</v>
      </c>
      <c r="AF28" s="301">
        <f t="shared" ca="1" si="26"/>
        <v>0</v>
      </c>
      <c r="AG28" s="301">
        <f t="shared" ca="1" si="26"/>
        <v>0</v>
      </c>
      <c r="AH28" s="301">
        <f t="shared" ca="1" si="26"/>
        <v>0</v>
      </c>
      <c r="AI28" s="301">
        <f t="shared" ca="1" si="26"/>
        <v>0</v>
      </c>
      <c r="AJ28" s="301">
        <f t="shared" ca="1" si="26"/>
        <v>0</v>
      </c>
      <c r="AK28" s="301">
        <f t="shared" ca="1" si="26"/>
        <v>0</v>
      </c>
      <c r="AL28" s="301">
        <f t="shared" ca="1" si="26"/>
        <v>0</v>
      </c>
      <c r="AM28" s="301">
        <f t="shared" ca="1" si="26"/>
        <v>0</v>
      </c>
      <c r="AN28" s="301">
        <f t="shared" ca="1" si="26"/>
        <v>0</v>
      </c>
      <c r="AO28" s="301">
        <f t="shared" ca="1" si="26"/>
        <v>0</v>
      </c>
      <c r="AP28" s="301">
        <f t="shared" ca="1" si="26"/>
        <v>0</v>
      </c>
      <c r="AQ28" s="301">
        <f t="shared" ca="1" si="26"/>
        <v>0</v>
      </c>
      <c r="AR28" s="301">
        <f t="shared" ca="1" si="26"/>
        <v>0</v>
      </c>
      <c r="AS28" s="301">
        <f t="shared" ca="1" si="18"/>
        <v>0</v>
      </c>
      <c r="AT28" s="301">
        <f t="shared" ca="1" si="18"/>
        <v>0</v>
      </c>
      <c r="AU28" s="301">
        <f t="shared" ca="1" si="18"/>
        <v>0</v>
      </c>
      <c r="AV28" s="301">
        <f t="shared" ca="1" si="18"/>
        <v>0</v>
      </c>
    </row>
    <row r="29" spans="1:48" x14ac:dyDescent="0.25">
      <c r="A29" s="25" t="s">
        <v>771</v>
      </c>
      <c r="B29" t="s">
        <v>4</v>
      </c>
      <c r="C29" s="25" t="s">
        <v>196</v>
      </c>
      <c r="D29" s="25">
        <f ca="1">INDEX(INDIRECT(CONCATENATE("'",RIGHT(D$1,2),"'!$F$8:$N$88")),MATCH($A29,INDIRECT(CONCATENATE("'",RIGHT(D$1,2),IF($B29="chemicals","'!$C$8:$C$88","'!$B$8:$B$88"))),0),MATCH('Other Industrial Processes'!$C29,INDIRECT(CONCATENATE("'",RIGHT(D$1,2),"'!$F$4:$N$4")),0))</f>
        <v>0</v>
      </c>
      <c r="E29" s="25">
        <f ca="1">INDEX(INDIRECT(CONCATENATE("'",RIGHT(E$1,2),"'!$F$8:$N$88")),MATCH($A29,INDIRECT(CONCATENATE("'",RIGHT(E$1,2),IF($B29="chemicals","'!$C$8:$C$88","'!$B$8:$B$88"))),0),MATCH('Other Industrial Processes'!$C29,INDIRECT(CONCATENATE("'",RIGHT(E$1,2),"'!$F$4:$N$4")),0))</f>
        <v>0</v>
      </c>
      <c r="F29" s="25">
        <f ca="1">INDEX(INDIRECT(CONCATENATE("'",RIGHT(F$1,2),"'!$F$8:$N$88")),MATCH($A29,INDIRECT(CONCATENATE("'",RIGHT(F$1,2),IF($B29="chemicals","'!$C$8:$C$88","'!$B$8:$B$88"))),0),MATCH('Other Industrial Processes'!$C29,INDIRECT(CONCATENATE("'",RIGHT(F$1,2),"'!$F$4:$N$4")),0))</f>
        <v>0</v>
      </c>
      <c r="G29" s="25">
        <f ca="1">INDEX(INDIRECT(CONCATENATE("'",RIGHT(G$1,2),"'!$F$8:$N$88")),MATCH($A29,INDIRECT(CONCATENATE("'",RIGHT(G$1,2),IF($B29="chemicals","'!$C$8:$C$88","'!$B$8:$B$88"))),0),MATCH('Other Industrial Processes'!$C29,INDIRECT(CONCATENATE("'",RIGHT(G$1,2),"'!$F$4:$N$4")),0))</f>
        <v>0</v>
      </c>
      <c r="H29" s="25">
        <f ca="1">INDEX(INDIRECT(CONCATENATE("'",RIGHT(H$1,2),"'!$F$8:$N$88")),MATCH($A29,INDIRECT(CONCATENATE("'",RIGHT(H$1,2),IF($B29="chemicals","'!$C$8:$C$88","'!$B$8:$B$88"))),0),MATCH('Other Industrial Processes'!$C29,INDIRECT(CONCATENATE("'",RIGHT(H$1,2),"'!$F$4:$N$4")),0))</f>
        <v>0</v>
      </c>
      <c r="I29" s="25">
        <f ca="1">INDEX(INDIRECT(CONCATENATE("'",RIGHT(I$1,2),"'!$F$8:$N$88")),MATCH($A29,INDIRECT(CONCATENATE("'",RIGHT(I$1,2),IF($B29="chemicals","'!$C$8:$C$88","'!$B$8:$B$88"))),0),MATCH('Other Industrial Processes'!$C29,INDIRECT(CONCATENATE("'",RIGHT(I$1,2),"'!$F$4:$N$4")),0))</f>
        <v>0</v>
      </c>
      <c r="J29" s="25">
        <f ca="1">INDEX(INDIRECT(CONCATENATE("'",RIGHT(J$1,2),"'!$F$8:$N$88")),MATCH($A29,INDIRECT(CONCATENATE("'",RIGHT(J$1,2),IF($B29="chemicals","'!$C$8:$C$88","'!$B$8:$B$88"))),0),MATCH('Other Industrial Processes'!$C29,INDIRECT(CONCATENATE("'",RIGHT(J$1,2),"'!$F$4:$N$4")),0))</f>
        <v>0</v>
      </c>
      <c r="K29" s="25">
        <f ca="1">INDEX(INDIRECT(CONCATENATE("'",RIGHT(K$1,2),"'!$F$8:$N$88")),MATCH($A29,INDIRECT(CONCATENATE("'",RIGHT(K$1,2),IF($B29="chemicals","'!$C$8:$C$88","'!$B$8:$B$88"))),0),MATCH('Other Industrial Processes'!$C29,INDIRECT(CONCATENATE("'",RIGHT(K$1,2),"'!$F$4:$N$4")),0))</f>
        <v>0</v>
      </c>
      <c r="L29" s="25">
        <f ca="1">INDEX(INDIRECT(CONCATENATE("'",RIGHT(L$1,2),"'!$F$8:$N$88")),MATCH($A29,INDIRECT(CONCATENATE("'",RIGHT(L$1,2),IF($B29="chemicals","'!$C$8:$C$88","'!$B$8:$B$88"))),0),MATCH('Other Industrial Processes'!$C29,INDIRECT(CONCATENATE("'",RIGHT(L$1,2),"'!$F$4:$N$4")),0))</f>
        <v>0</v>
      </c>
      <c r="M29" s="25">
        <f ca="1">INDEX(INDIRECT(CONCATENATE("'",RIGHT(M$1,2),"'!$F$8:$N$88")),MATCH($A29,INDIRECT(CONCATENATE("'",RIGHT(M$1,2),IF($B29="chemicals","'!$C$8:$C$88","'!$B$8:$B$88"))),0),MATCH('Other Industrial Processes'!$C29,INDIRECT(CONCATENATE("'",RIGHT(M$1,2),"'!$F$4:$N$4")),0))</f>
        <v>0</v>
      </c>
      <c r="N29" s="301">
        <f t="shared" ref="N29:AR29" ca="1" si="27">IFERROR(IF($M29-$D29&gt;=0,($M29-$D29)/COUNT($E$1:$M$1)+M29,$F93*$E93^N$1),0)</f>
        <v>0</v>
      </c>
      <c r="O29" s="301">
        <f t="shared" ca="1" si="27"/>
        <v>0</v>
      </c>
      <c r="P29" s="301">
        <f t="shared" ca="1" si="27"/>
        <v>0</v>
      </c>
      <c r="Q29" s="301">
        <f t="shared" ca="1" si="27"/>
        <v>0</v>
      </c>
      <c r="R29" s="301">
        <f t="shared" ca="1" si="27"/>
        <v>0</v>
      </c>
      <c r="S29" s="301">
        <f t="shared" ca="1" si="27"/>
        <v>0</v>
      </c>
      <c r="T29" s="301">
        <f t="shared" ca="1" si="27"/>
        <v>0</v>
      </c>
      <c r="U29" s="301">
        <f t="shared" ca="1" si="27"/>
        <v>0</v>
      </c>
      <c r="V29" s="301">
        <f t="shared" ca="1" si="27"/>
        <v>0</v>
      </c>
      <c r="W29" s="301">
        <f t="shared" ca="1" si="27"/>
        <v>0</v>
      </c>
      <c r="X29" s="301">
        <f t="shared" ca="1" si="27"/>
        <v>0</v>
      </c>
      <c r="Y29" s="301">
        <f t="shared" ca="1" si="27"/>
        <v>0</v>
      </c>
      <c r="Z29" s="301">
        <f t="shared" ca="1" si="27"/>
        <v>0</v>
      </c>
      <c r="AA29" s="301">
        <f t="shared" ca="1" si="27"/>
        <v>0</v>
      </c>
      <c r="AB29" s="301">
        <f t="shared" ca="1" si="27"/>
        <v>0</v>
      </c>
      <c r="AC29" s="301">
        <f t="shared" ca="1" si="27"/>
        <v>0</v>
      </c>
      <c r="AD29" s="301">
        <f t="shared" ca="1" si="27"/>
        <v>0</v>
      </c>
      <c r="AE29" s="301">
        <f t="shared" ca="1" si="27"/>
        <v>0</v>
      </c>
      <c r="AF29" s="301">
        <f t="shared" ca="1" si="27"/>
        <v>0</v>
      </c>
      <c r="AG29" s="301">
        <f t="shared" ca="1" si="27"/>
        <v>0</v>
      </c>
      <c r="AH29" s="301">
        <f t="shared" ca="1" si="27"/>
        <v>0</v>
      </c>
      <c r="AI29" s="301">
        <f t="shared" ca="1" si="27"/>
        <v>0</v>
      </c>
      <c r="AJ29" s="301">
        <f t="shared" ca="1" si="27"/>
        <v>0</v>
      </c>
      <c r="AK29" s="301">
        <f t="shared" ca="1" si="27"/>
        <v>0</v>
      </c>
      <c r="AL29" s="301">
        <f t="shared" ca="1" si="27"/>
        <v>0</v>
      </c>
      <c r="AM29" s="301">
        <f t="shared" ca="1" si="27"/>
        <v>0</v>
      </c>
      <c r="AN29" s="301">
        <f t="shared" ca="1" si="27"/>
        <v>0</v>
      </c>
      <c r="AO29" s="301">
        <f t="shared" ca="1" si="27"/>
        <v>0</v>
      </c>
      <c r="AP29" s="301">
        <f t="shared" ca="1" si="27"/>
        <v>0</v>
      </c>
      <c r="AQ29" s="301">
        <f t="shared" ca="1" si="27"/>
        <v>0</v>
      </c>
      <c r="AR29" s="301">
        <f t="shared" ca="1" si="27"/>
        <v>0</v>
      </c>
      <c r="AS29" s="301">
        <f t="shared" ca="1" si="18"/>
        <v>0</v>
      </c>
      <c r="AT29" s="301">
        <f t="shared" ca="1" si="18"/>
        <v>0</v>
      </c>
      <c r="AU29" s="301">
        <f t="shared" ca="1" si="18"/>
        <v>0</v>
      </c>
      <c r="AV29" s="301">
        <f t="shared" ca="1" si="18"/>
        <v>0</v>
      </c>
    </row>
    <row r="30" spans="1:48" x14ac:dyDescent="0.25">
      <c r="A30" s="25" t="s">
        <v>777</v>
      </c>
      <c r="B30" t="s">
        <v>2</v>
      </c>
      <c r="C30" s="25" t="s">
        <v>196</v>
      </c>
      <c r="D30" s="25">
        <f ca="1">INDEX(INDIRECT(CONCATENATE("'",RIGHT(D$1,2),"'!$F$8:$N$88")),MATCH($A30,INDIRECT(CONCATENATE("'",RIGHT(D$1,2),IF($B30="chemicals","'!$C$8:$C$88","'!$B$8:$B$88"))),0),MATCH('Other Industrial Processes'!$C30,INDIRECT(CONCATENATE("'",RIGHT(D$1,2),"'!$F$4:$N$4")),0))</f>
        <v>0</v>
      </c>
      <c r="E30" s="25">
        <f ca="1">INDEX(INDIRECT(CONCATENATE("'",RIGHT(E$1,2),"'!$F$8:$N$88")),MATCH($A30,INDIRECT(CONCATENATE("'",RIGHT(E$1,2),IF($B30="chemicals","'!$C$8:$C$88","'!$B$8:$B$88"))),0),MATCH('Other Industrial Processes'!$C30,INDIRECT(CONCATENATE("'",RIGHT(E$1,2),"'!$F$4:$N$4")),0))</f>
        <v>0</v>
      </c>
      <c r="F30" s="25">
        <f ca="1">INDEX(INDIRECT(CONCATENATE("'",RIGHT(F$1,2),"'!$F$8:$N$88")),MATCH($A30,INDIRECT(CONCATENATE("'",RIGHT(F$1,2),IF($B30="chemicals","'!$C$8:$C$88","'!$B$8:$B$88"))),0),MATCH('Other Industrial Processes'!$C30,INDIRECT(CONCATENATE("'",RIGHT(F$1,2),"'!$F$4:$N$4")),0))</f>
        <v>0</v>
      </c>
      <c r="G30" s="25">
        <f ca="1">INDEX(INDIRECT(CONCATENATE("'",RIGHT(G$1,2),"'!$F$8:$N$88")),MATCH($A30,INDIRECT(CONCATENATE("'",RIGHT(G$1,2),IF($B30="chemicals","'!$C$8:$C$88","'!$B$8:$B$88"))),0),MATCH('Other Industrial Processes'!$C30,INDIRECT(CONCATENATE("'",RIGHT(G$1,2),"'!$F$4:$N$4")),0))</f>
        <v>0</v>
      </c>
      <c r="H30" s="25">
        <f ca="1">INDEX(INDIRECT(CONCATENATE("'",RIGHT(H$1,2),"'!$F$8:$N$88")),MATCH($A30,INDIRECT(CONCATENATE("'",RIGHT(H$1,2),IF($B30="chemicals","'!$C$8:$C$88","'!$B$8:$B$88"))),0),MATCH('Other Industrial Processes'!$C30,INDIRECT(CONCATENATE("'",RIGHT(H$1,2),"'!$F$4:$N$4")),0))</f>
        <v>0</v>
      </c>
      <c r="I30" s="25">
        <f ca="1">INDEX(INDIRECT(CONCATENATE("'",RIGHT(I$1,2),"'!$F$8:$N$88")),MATCH($A30,INDIRECT(CONCATENATE("'",RIGHT(I$1,2),IF($B30="chemicals","'!$C$8:$C$88","'!$B$8:$B$88"))),0),MATCH('Other Industrial Processes'!$C30,INDIRECT(CONCATENATE("'",RIGHT(I$1,2),"'!$F$4:$N$4")),0))</f>
        <v>0</v>
      </c>
      <c r="J30" s="25">
        <f ca="1">INDEX(INDIRECT(CONCATENATE("'",RIGHT(J$1,2),"'!$F$8:$N$88")),MATCH($A30,INDIRECT(CONCATENATE("'",RIGHT(J$1,2),IF($B30="chemicals","'!$C$8:$C$88","'!$B$8:$B$88"))),0),MATCH('Other Industrial Processes'!$C30,INDIRECT(CONCATENATE("'",RIGHT(J$1,2),"'!$F$4:$N$4")),0))</f>
        <v>0</v>
      </c>
      <c r="K30" s="25">
        <f ca="1">INDEX(INDIRECT(CONCATENATE("'",RIGHT(K$1,2),"'!$F$8:$N$88")),MATCH($A30,INDIRECT(CONCATENATE("'",RIGHT(K$1,2),IF($B30="chemicals","'!$C$8:$C$88","'!$B$8:$B$88"))),0),MATCH('Other Industrial Processes'!$C30,INDIRECT(CONCATENATE("'",RIGHT(K$1,2),"'!$F$4:$N$4")),0))</f>
        <v>0</v>
      </c>
      <c r="L30" s="25">
        <f ca="1">INDEX(INDIRECT(CONCATENATE("'",RIGHT(L$1,2),"'!$F$8:$N$88")),MATCH($A30,INDIRECT(CONCATENATE("'",RIGHT(L$1,2),IF($B30="chemicals","'!$C$8:$C$88","'!$B$8:$B$88"))),0),MATCH('Other Industrial Processes'!$C30,INDIRECT(CONCATENATE("'",RIGHT(L$1,2),"'!$F$4:$N$4")),0))</f>
        <v>0</v>
      </c>
      <c r="M30" s="25">
        <f ca="1">INDEX(INDIRECT(CONCATENATE("'",RIGHT(M$1,2),"'!$F$8:$N$88")),MATCH($A30,INDIRECT(CONCATENATE("'",RIGHT(M$1,2),IF($B30="chemicals","'!$C$8:$C$88","'!$B$8:$B$88"))),0),MATCH('Other Industrial Processes'!$C30,INDIRECT(CONCATENATE("'",RIGHT(M$1,2),"'!$F$4:$N$4")),0))</f>
        <v>0</v>
      </c>
      <c r="N30" s="301">
        <f t="shared" ref="N30:AR30" ca="1" si="28">IFERROR(IF($M30-$D30&gt;=0,($M30-$D30)/COUNT($E$1:$M$1)+M30,$F94*$E94^N$1),0)</f>
        <v>0</v>
      </c>
      <c r="O30" s="301">
        <f t="shared" ca="1" si="28"/>
        <v>0</v>
      </c>
      <c r="P30" s="301">
        <f t="shared" ca="1" si="28"/>
        <v>0</v>
      </c>
      <c r="Q30" s="301">
        <f t="shared" ca="1" si="28"/>
        <v>0</v>
      </c>
      <c r="R30" s="301">
        <f t="shared" ca="1" si="28"/>
        <v>0</v>
      </c>
      <c r="S30" s="301">
        <f t="shared" ca="1" si="28"/>
        <v>0</v>
      </c>
      <c r="T30" s="301">
        <f t="shared" ca="1" si="28"/>
        <v>0</v>
      </c>
      <c r="U30" s="301">
        <f t="shared" ca="1" si="28"/>
        <v>0</v>
      </c>
      <c r="V30" s="301">
        <f t="shared" ca="1" si="28"/>
        <v>0</v>
      </c>
      <c r="W30" s="301">
        <f t="shared" ca="1" si="28"/>
        <v>0</v>
      </c>
      <c r="X30" s="301">
        <f t="shared" ca="1" si="28"/>
        <v>0</v>
      </c>
      <c r="Y30" s="301">
        <f t="shared" ca="1" si="28"/>
        <v>0</v>
      </c>
      <c r="Z30" s="301">
        <f t="shared" ca="1" si="28"/>
        <v>0</v>
      </c>
      <c r="AA30" s="301">
        <f t="shared" ca="1" si="28"/>
        <v>0</v>
      </c>
      <c r="AB30" s="301">
        <f t="shared" ca="1" si="28"/>
        <v>0</v>
      </c>
      <c r="AC30" s="301">
        <f t="shared" ca="1" si="28"/>
        <v>0</v>
      </c>
      <c r="AD30" s="301">
        <f t="shared" ca="1" si="28"/>
        <v>0</v>
      </c>
      <c r="AE30" s="301">
        <f t="shared" ca="1" si="28"/>
        <v>0</v>
      </c>
      <c r="AF30" s="301">
        <f t="shared" ca="1" si="28"/>
        <v>0</v>
      </c>
      <c r="AG30" s="301">
        <f t="shared" ca="1" si="28"/>
        <v>0</v>
      </c>
      <c r="AH30" s="301">
        <f t="shared" ca="1" si="28"/>
        <v>0</v>
      </c>
      <c r="AI30" s="301">
        <f t="shared" ca="1" si="28"/>
        <v>0</v>
      </c>
      <c r="AJ30" s="301">
        <f t="shared" ca="1" si="28"/>
        <v>0</v>
      </c>
      <c r="AK30" s="301">
        <f t="shared" ca="1" si="28"/>
        <v>0</v>
      </c>
      <c r="AL30" s="301">
        <f t="shared" ca="1" si="28"/>
        <v>0</v>
      </c>
      <c r="AM30" s="301">
        <f t="shared" ca="1" si="28"/>
        <v>0</v>
      </c>
      <c r="AN30" s="301">
        <f t="shared" ca="1" si="28"/>
        <v>0</v>
      </c>
      <c r="AO30" s="301">
        <f t="shared" ca="1" si="28"/>
        <v>0</v>
      </c>
      <c r="AP30" s="301">
        <f t="shared" ca="1" si="28"/>
        <v>0</v>
      </c>
      <c r="AQ30" s="301">
        <f t="shared" ca="1" si="28"/>
        <v>0</v>
      </c>
      <c r="AR30" s="301">
        <f t="shared" ca="1" si="28"/>
        <v>0</v>
      </c>
      <c r="AS30" s="301">
        <f t="shared" ca="1" si="18"/>
        <v>0</v>
      </c>
      <c r="AT30" s="301">
        <f t="shared" ca="1" si="18"/>
        <v>0</v>
      </c>
      <c r="AU30" s="301">
        <f t="shared" ca="1" si="18"/>
        <v>0</v>
      </c>
      <c r="AV30" s="301">
        <f t="shared" ca="1" si="18"/>
        <v>0</v>
      </c>
    </row>
    <row r="31" spans="1:48" x14ac:dyDescent="0.25">
      <c r="A31" s="25" t="s">
        <v>779</v>
      </c>
      <c r="B31" t="s">
        <v>835</v>
      </c>
      <c r="C31" s="25" t="s">
        <v>196</v>
      </c>
      <c r="D31" s="25">
        <f ca="1">INDEX(INDIRECT(CONCATENATE("'",RIGHT(D$1,2),"'!$F$8:$N$88")),MATCH($A31,INDIRECT(CONCATENATE("'",RIGHT(D$1,2),IF($B31="chemicals","'!$C$8:$C$88","'!$B$8:$B$88"))),0),MATCH('Other Industrial Processes'!$C31,INDIRECT(CONCATENATE("'",RIGHT(D$1,2),"'!$F$4:$N$4")),0))</f>
        <v>0</v>
      </c>
      <c r="E31" s="25">
        <f ca="1">INDEX(INDIRECT(CONCATENATE("'",RIGHT(E$1,2),"'!$F$8:$N$88")),MATCH($A31,INDIRECT(CONCATENATE("'",RIGHT(E$1,2),IF($B31="chemicals","'!$C$8:$C$88","'!$B$8:$B$88"))),0),MATCH('Other Industrial Processes'!$C31,INDIRECT(CONCATENATE("'",RIGHT(E$1,2),"'!$F$4:$N$4")),0))</f>
        <v>0</v>
      </c>
      <c r="F31" s="25">
        <f ca="1">INDEX(INDIRECT(CONCATENATE("'",RIGHT(F$1,2),"'!$F$8:$N$88")),MATCH($A31,INDIRECT(CONCATENATE("'",RIGHT(F$1,2),IF($B31="chemicals","'!$C$8:$C$88","'!$B$8:$B$88"))),0),MATCH('Other Industrial Processes'!$C31,INDIRECT(CONCATENATE("'",RIGHT(F$1,2),"'!$F$4:$N$4")),0))</f>
        <v>0</v>
      </c>
      <c r="G31" s="25">
        <f ca="1">INDEX(INDIRECT(CONCATENATE("'",RIGHT(G$1,2),"'!$F$8:$N$88")),MATCH($A31,INDIRECT(CONCATENATE("'",RIGHT(G$1,2),IF($B31="chemicals","'!$C$8:$C$88","'!$B$8:$B$88"))),0),MATCH('Other Industrial Processes'!$C31,INDIRECT(CONCATENATE("'",RIGHT(G$1,2),"'!$F$4:$N$4")),0))</f>
        <v>0</v>
      </c>
      <c r="H31" s="25">
        <f ca="1">INDEX(INDIRECT(CONCATENATE("'",RIGHT(H$1,2),"'!$F$8:$N$88")),MATCH($A31,INDIRECT(CONCATENATE("'",RIGHT(H$1,2),IF($B31="chemicals","'!$C$8:$C$88","'!$B$8:$B$88"))),0),MATCH('Other Industrial Processes'!$C31,INDIRECT(CONCATENATE("'",RIGHT(H$1,2),"'!$F$4:$N$4")),0))</f>
        <v>0</v>
      </c>
      <c r="I31" s="25">
        <f ca="1">INDEX(INDIRECT(CONCATENATE("'",RIGHT(I$1,2),"'!$F$8:$N$88")),MATCH($A31,INDIRECT(CONCATENATE("'",RIGHT(I$1,2),IF($B31="chemicals","'!$C$8:$C$88","'!$B$8:$B$88"))),0),MATCH('Other Industrial Processes'!$C31,INDIRECT(CONCATENATE("'",RIGHT(I$1,2),"'!$F$4:$N$4")),0))</f>
        <v>0</v>
      </c>
      <c r="J31" s="25">
        <f ca="1">INDEX(INDIRECT(CONCATENATE("'",RIGHT(J$1,2),"'!$F$8:$N$88")),MATCH($A31,INDIRECT(CONCATENATE("'",RIGHT(J$1,2),IF($B31="chemicals","'!$C$8:$C$88","'!$B$8:$B$88"))),0),MATCH('Other Industrial Processes'!$C31,INDIRECT(CONCATENATE("'",RIGHT(J$1,2),"'!$F$4:$N$4")),0))</f>
        <v>0</v>
      </c>
      <c r="K31" s="25">
        <f ca="1">INDEX(INDIRECT(CONCATENATE("'",RIGHT(K$1,2),"'!$F$8:$N$88")),MATCH($A31,INDIRECT(CONCATENATE("'",RIGHT(K$1,2),IF($B31="chemicals","'!$C$8:$C$88","'!$B$8:$B$88"))),0),MATCH('Other Industrial Processes'!$C31,INDIRECT(CONCATENATE("'",RIGHT(K$1,2),"'!$F$4:$N$4")),0))</f>
        <v>0</v>
      </c>
      <c r="L31" s="25">
        <f ca="1">INDEX(INDIRECT(CONCATENATE("'",RIGHT(L$1,2),"'!$F$8:$N$88")),MATCH($A31,INDIRECT(CONCATENATE("'",RIGHT(L$1,2),IF($B31="chemicals","'!$C$8:$C$88","'!$B$8:$B$88"))),0),MATCH('Other Industrial Processes'!$C31,INDIRECT(CONCATENATE("'",RIGHT(L$1,2),"'!$F$4:$N$4")),0))</f>
        <v>0</v>
      </c>
      <c r="M31" s="25">
        <f ca="1">INDEX(INDIRECT(CONCATENATE("'",RIGHT(M$1,2),"'!$F$8:$N$88")),MATCH($A31,INDIRECT(CONCATENATE("'",RIGHT(M$1,2),IF($B31="chemicals","'!$C$8:$C$88","'!$B$8:$B$88"))),0),MATCH('Other Industrial Processes'!$C31,INDIRECT(CONCATENATE("'",RIGHT(M$1,2),"'!$F$4:$N$4")),0))</f>
        <v>0</v>
      </c>
      <c r="N31" s="301">
        <f t="shared" ref="N31:AR31" ca="1" si="29">IFERROR(IF($M31-$D31&gt;=0,($M31-$D31)/COUNT($E$1:$M$1)+M31,$F95*$E95^N$1),0)</f>
        <v>0</v>
      </c>
      <c r="O31" s="301">
        <f t="shared" ca="1" si="29"/>
        <v>0</v>
      </c>
      <c r="P31" s="301">
        <f t="shared" ca="1" si="29"/>
        <v>0</v>
      </c>
      <c r="Q31" s="301">
        <f t="shared" ca="1" si="29"/>
        <v>0</v>
      </c>
      <c r="R31" s="301">
        <f t="shared" ca="1" si="29"/>
        <v>0</v>
      </c>
      <c r="S31" s="301">
        <f t="shared" ca="1" si="29"/>
        <v>0</v>
      </c>
      <c r="T31" s="301">
        <f t="shared" ca="1" si="29"/>
        <v>0</v>
      </c>
      <c r="U31" s="301">
        <f t="shared" ca="1" si="29"/>
        <v>0</v>
      </c>
      <c r="V31" s="301">
        <f t="shared" ca="1" si="29"/>
        <v>0</v>
      </c>
      <c r="W31" s="301">
        <f t="shared" ca="1" si="29"/>
        <v>0</v>
      </c>
      <c r="X31" s="301">
        <f t="shared" ca="1" si="29"/>
        <v>0</v>
      </c>
      <c r="Y31" s="301">
        <f t="shared" ca="1" si="29"/>
        <v>0</v>
      </c>
      <c r="Z31" s="301">
        <f t="shared" ca="1" si="29"/>
        <v>0</v>
      </c>
      <c r="AA31" s="301">
        <f t="shared" ca="1" si="29"/>
        <v>0</v>
      </c>
      <c r="AB31" s="301">
        <f t="shared" ca="1" si="29"/>
        <v>0</v>
      </c>
      <c r="AC31" s="301">
        <f t="shared" ca="1" si="29"/>
        <v>0</v>
      </c>
      <c r="AD31" s="301">
        <f t="shared" ca="1" si="29"/>
        <v>0</v>
      </c>
      <c r="AE31" s="301">
        <f t="shared" ca="1" si="29"/>
        <v>0</v>
      </c>
      <c r="AF31" s="301">
        <f t="shared" ca="1" si="29"/>
        <v>0</v>
      </c>
      <c r="AG31" s="301">
        <f t="shared" ca="1" si="29"/>
        <v>0</v>
      </c>
      <c r="AH31" s="301">
        <f t="shared" ca="1" si="29"/>
        <v>0</v>
      </c>
      <c r="AI31" s="301">
        <f t="shared" ca="1" si="29"/>
        <v>0</v>
      </c>
      <c r="AJ31" s="301">
        <f t="shared" ca="1" si="29"/>
        <v>0</v>
      </c>
      <c r="AK31" s="301">
        <f t="shared" ca="1" si="29"/>
        <v>0</v>
      </c>
      <c r="AL31" s="301">
        <f t="shared" ca="1" si="29"/>
        <v>0</v>
      </c>
      <c r="AM31" s="301">
        <f t="shared" ca="1" si="29"/>
        <v>0</v>
      </c>
      <c r="AN31" s="301">
        <f t="shared" ca="1" si="29"/>
        <v>0</v>
      </c>
      <c r="AO31" s="301">
        <f t="shared" ca="1" si="29"/>
        <v>0</v>
      </c>
      <c r="AP31" s="301">
        <f t="shared" ca="1" si="29"/>
        <v>0</v>
      </c>
      <c r="AQ31" s="301">
        <f t="shared" ca="1" si="29"/>
        <v>0</v>
      </c>
      <c r="AR31" s="301">
        <f t="shared" ca="1" si="29"/>
        <v>0</v>
      </c>
      <c r="AS31" s="301">
        <f t="shared" ca="1" si="18"/>
        <v>0</v>
      </c>
      <c r="AT31" s="301">
        <f t="shared" ca="1" si="18"/>
        <v>0</v>
      </c>
      <c r="AU31" s="301">
        <f t="shared" ca="1" si="18"/>
        <v>0</v>
      </c>
      <c r="AV31" s="301">
        <f t="shared" ca="1" si="18"/>
        <v>0</v>
      </c>
    </row>
    <row r="32" spans="1:48" x14ac:dyDescent="0.25">
      <c r="A32" s="25" t="s">
        <v>193</v>
      </c>
      <c r="B32" t="s">
        <v>26</v>
      </c>
      <c r="C32" s="25" t="s">
        <v>196</v>
      </c>
      <c r="D32" s="25">
        <f ca="1">INDEX(INDIRECT(CONCATENATE("'",RIGHT(D$1,2),"'!$F$8:$N$88")),MATCH($A32,INDIRECT(CONCATENATE("'",RIGHT(D$1,2),IF($B32="chemicals","'!$C$8:$C$88","'!$B$8:$B$88"))),0),MATCH('Other Industrial Processes'!$C32,INDIRECT(CONCATENATE("'",RIGHT(D$1,2),"'!$F$4:$N$4")),0))</f>
        <v>0</v>
      </c>
      <c r="E32" s="25">
        <f ca="1">INDEX(INDIRECT(CONCATENATE("'",RIGHT(E$1,2),"'!$F$8:$N$88")),MATCH($A32,INDIRECT(CONCATENATE("'",RIGHT(E$1,2),IF($B32="chemicals","'!$C$8:$C$88","'!$B$8:$B$88"))),0),MATCH('Other Industrial Processes'!$C32,INDIRECT(CONCATENATE("'",RIGHT(E$1,2),"'!$F$4:$N$4")),0))</f>
        <v>0</v>
      </c>
      <c r="F32" s="25">
        <f ca="1">INDEX(INDIRECT(CONCATENATE("'",RIGHT(F$1,2),"'!$F$8:$N$88")),MATCH($A32,INDIRECT(CONCATENATE("'",RIGHT(F$1,2),IF($B32="chemicals","'!$C$8:$C$88","'!$B$8:$B$88"))),0),MATCH('Other Industrial Processes'!$C32,INDIRECT(CONCATENATE("'",RIGHT(F$1,2),"'!$F$4:$N$4")),0))</f>
        <v>0</v>
      </c>
      <c r="G32" s="25">
        <f ca="1">INDEX(INDIRECT(CONCATENATE("'",RIGHT(G$1,2),"'!$F$8:$N$88")),MATCH($A32,INDIRECT(CONCATENATE("'",RIGHT(G$1,2),IF($B32="chemicals","'!$C$8:$C$88","'!$B$8:$B$88"))),0),MATCH('Other Industrial Processes'!$C32,INDIRECT(CONCATENATE("'",RIGHT(G$1,2),"'!$F$4:$N$4")),0))</f>
        <v>0</v>
      </c>
      <c r="H32" s="25">
        <f ca="1">INDEX(INDIRECT(CONCATENATE("'",RIGHT(H$1,2),"'!$F$8:$N$88")),MATCH($A32,INDIRECT(CONCATENATE("'",RIGHT(H$1,2),IF($B32="chemicals","'!$C$8:$C$88","'!$B$8:$B$88"))),0),MATCH('Other Industrial Processes'!$C32,INDIRECT(CONCATENATE("'",RIGHT(H$1,2),"'!$F$4:$N$4")),0))</f>
        <v>0</v>
      </c>
      <c r="I32" s="25">
        <f ca="1">INDEX(INDIRECT(CONCATENATE("'",RIGHT(I$1,2),"'!$F$8:$N$88")),MATCH($A32,INDIRECT(CONCATENATE("'",RIGHT(I$1,2),IF($B32="chemicals","'!$C$8:$C$88","'!$B$8:$B$88"))),0),MATCH('Other Industrial Processes'!$C32,INDIRECT(CONCATENATE("'",RIGHT(I$1,2),"'!$F$4:$N$4")),0))</f>
        <v>0</v>
      </c>
      <c r="J32" s="25">
        <f ca="1">INDEX(INDIRECT(CONCATENATE("'",RIGHT(J$1,2),"'!$F$8:$N$88")),MATCH($A32,INDIRECT(CONCATENATE("'",RIGHT(J$1,2),IF($B32="chemicals","'!$C$8:$C$88","'!$B$8:$B$88"))),0),MATCH('Other Industrial Processes'!$C32,INDIRECT(CONCATENATE("'",RIGHT(J$1,2),"'!$F$4:$N$4")),0))</f>
        <v>0</v>
      </c>
      <c r="K32" s="25">
        <f ca="1">INDEX(INDIRECT(CONCATENATE("'",RIGHT(K$1,2),"'!$F$8:$N$88")),MATCH($A32,INDIRECT(CONCATENATE("'",RIGHT(K$1,2),IF($B32="chemicals","'!$C$8:$C$88","'!$B$8:$B$88"))),0),MATCH('Other Industrial Processes'!$C32,INDIRECT(CONCATENATE("'",RIGHT(K$1,2),"'!$F$4:$N$4")),0))</f>
        <v>0</v>
      </c>
      <c r="L32" s="25">
        <f ca="1">INDEX(INDIRECT(CONCATENATE("'",RIGHT(L$1,2),"'!$F$8:$N$88")),MATCH($A32,INDIRECT(CONCATENATE("'",RIGHT(L$1,2),IF($B32="chemicals","'!$C$8:$C$88","'!$B$8:$B$88"))),0),MATCH('Other Industrial Processes'!$C32,INDIRECT(CONCATENATE("'",RIGHT(L$1,2),"'!$F$4:$N$4")),0))</f>
        <v>0</v>
      </c>
      <c r="M32" s="25">
        <f ca="1">INDEX(INDIRECT(CONCATENATE("'",RIGHT(M$1,2),"'!$F$8:$N$88")),MATCH($A32,INDIRECT(CONCATENATE("'",RIGHT(M$1,2),IF($B32="chemicals","'!$C$8:$C$88","'!$B$8:$B$88"))),0),MATCH('Other Industrial Processes'!$C32,INDIRECT(CONCATENATE("'",RIGHT(M$1,2),"'!$F$4:$N$4")),0))</f>
        <v>0</v>
      </c>
      <c r="N32" s="301">
        <f t="shared" ref="N32:AR32" ca="1" si="30">IFERROR(IF($M32-$D32&gt;=0,($M32-$D32)/COUNT($E$1:$M$1)+M32,$F96*$E96^N$1),0)</f>
        <v>0</v>
      </c>
      <c r="O32" s="301">
        <f t="shared" ca="1" si="30"/>
        <v>0</v>
      </c>
      <c r="P32" s="301">
        <f t="shared" ca="1" si="30"/>
        <v>0</v>
      </c>
      <c r="Q32" s="301">
        <f t="shared" ca="1" si="30"/>
        <v>0</v>
      </c>
      <c r="R32" s="301">
        <f t="shared" ca="1" si="30"/>
        <v>0</v>
      </c>
      <c r="S32" s="301">
        <f t="shared" ca="1" si="30"/>
        <v>0</v>
      </c>
      <c r="T32" s="301">
        <f t="shared" ca="1" si="30"/>
        <v>0</v>
      </c>
      <c r="U32" s="301">
        <f t="shared" ca="1" si="30"/>
        <v>0</v>
      </c>
      <c r="V32" s="301">
        <f t="shared" ca="1" si="30"/>
        <v>0</v>
      </c>
      <c r="W32" s="301">
        <f t="shared" ca="1" si="30"/>
        <v>0</v>
      </c>
      <c r="X32" s="301">
        <f t="shared" ca="1" si="30"/>
        <v>0</v>
      </c>
      <c r="Y32" s="301">
        <f t="shared" ca="1" si="30"/>
        <v>0</v>
      </c>
      <c r="Z32" s="301">
        <f t="shared" ca="1" si="30"/>
        <v>0</v>
      </c>
      <c r="AA32" s="301">
        <f t="shared" ca="1" si="30"/>
        <v>0</v>
      </c>
      <c r="AB32" s="301">
        <f t="shared" ca="1" si="30"/>
        <v>0</v>
      </c>
      <c r="AC32" s="301">
        <f t="shared" ca="1" si="30"/>
        <v>0</v>
      </c>
      <c r="AD32" s="301">
        <f t="shared" ca="1" si="30"/>
        <v>0</v>
      </c>
      <c r="AE32" s="301">
        <f t="shared" ca="1" si="30"/>
        <v>0</v>
      </c>
      <c r="AF32" s="301">
        <f t="shared" ca="1" si="30"/>
        <v>0</v>
      </c>
      <c r="AG32" s="301">
        <f t="shared" ca="1" si="30"/>
        <v>0</v>
      </c>
      <c r="AH32" s="301">
        <f t="shared" ca="1" si="30"/>
        <v>0</v>
      </c>
      <c r="AI32" s="301">
        <f t="shared" ca="1" si="30"/>
        <v>0</v>
      </c>
      <c r="AJ32" s="301">
        <f t="shared" ca="1" si="30"/>
        <v>0</v>
      </c>
      <c r="AK32" s="301">
        <f t="shared" ca="1" si="30"/>
        <v>0</v>
      </c>
      <c r="AL32" s="301">
        <f t="shared" ca="1" si="30"/>
        <v>0</v>
      </c>
      <c r="AM32" s="301">
        <f t="shared" ca="1" si="30"/>
        <v>0</v>
      </c>
      <c r="AN32" s="301">
        <f t="shared" ca="1" si="30"/>
        <v>0</v>
      </c>
      <c r="AO32" s="301">
        <f t="shared" ca="1" si="30"/>
        <v>0</v>
      </c>
      <c r="AP32" s="301">
        <f t="shared" ca="1" si="30"/>
        <v>0</v>
      </c>
      <c r="AQ32" s="301">
        <f t="shared" ca="1" si="30"/>
        <v>0</v>
      </c>
      <c r="AR32" s="301">
        <f t="shared" ca="1" si="30"/>
        <v>0</v>
      </c>
      <c r="AS32" s="301">
        <f t="shared" ca="1" si="18"/>
        <v>0</v>
      </c>
      <c r="AT32" s="301">
        <f t="shared" ca="1" si="18"/>
        <v>0</v>
      </c>
      <c r="AU32" s="301">
        <f t="shared" ca="1" si="18"/>
        <v>0</v>
      </c>
      <c r="AV32" s="301">
        <f t="shared" ca="1" si="18"/>
        <v>0</v>
      </c>
    </row>
    <row r="33" spans="1:48" x14ac:dyDescent="0.25">
      <c r="A33" s="25" t="s">
        <v>784</v>
      </c>
      <c r="B33" t="s">
        <v>26</v>
      </c>
      <c r="C33" s="25" t="s">
        <v>196</v>
      </c>
      <c r="D33" s="25">
        <f ca="1">INDEX(INDIRECT(CONCATENATE("'",RIGHT(D$1,2),"'!$F$8:$N$88")),MATCH($A33,INDIRECT(CONCATENATE("'",RIGHT(D$1,2),IF($B33="chemicals","'!$C$8:$C$88","'!$B$8:$B$88"))),0),MATCH('Other Industrial Processes'!$C33,INDIRECT(CONCATENATE("'",RIGHT(D$1,2),"'!$F$4:$N$4")),0))</f>
        <v>0</v>
      </c>
      <c r="E33" s="25">
        <f ca="1">INDEX(INDIRECT(CONCATENATE("'",RIGHT(E$1,2),"'!$F$8:$N$88")),MATCH($A33,INDIRECT(CONCATENATE("'",RIGHT(E$1,2),IF($B33="chemicals","'!$C$8:$C$88","'!$B$8:$B$88"))),0),MATCH('Other Industrial Processes'!$C33,INDIRECT(CONCATENATE("'",RIGHT(E$1,2),"'!$F$4:$N$4")),0))</f>
        <v>0</v>
      </c>
      <c r="F33" s="25">
        <f ca="1">INDEX(INDIRECT(CONCATENATE("'",RIGHT(F$1,2),"'!$F$8:$N$88")),MATCH($A33,INDIRECT(CONCATENATE("'",RIGHT(F$1,2),IF($B33="chemicals","'!$C$8:$C$88","'!$B$8:$B$88"))),0),MATCH('Other Industrial Processes'!$C33,INDIRECT(CONCATENATE("'",RIGHT(F$1,2),"'!$F$4:$N$4")),0))</f>
        <v>0</v>
      </c>
      <c r="G33" s="25">
        <f ca="1">INDEX(INDIRECT(CONCATENATE("'",RIGHT(G$1,2),"'!$F$8:$N$88")),MATCH($A33,INDIRECT(CONCATENATE("'",RIGHT(G$1,2),IF($B33="chemicals","'!$C$8:$C$88","'!$B$8:$B$88"))),0),MATCH('Other Industrial Processes'!$C33,INDIRECT(CONCATENATE("'",RIGHT(G$1,2),"'!$F$4:$N$4")),0))</f>
        <v>0</v>
      </c>
      <c r="H33" s="25">
        <f ca="1">INDEX(INDIRECT(CONCATENATE("'",RIGHT(H$1,2),"'!$F$8:$N$88")),MATCH($A33,INDIRECT(CONCATENATE("'",RIGHT(H$1,2),IF($B33="chemicals","'!$C$8:$C$88","'!$B$8:$B$88"))),0),MATCH('Other Industrial Processes'!$C33,INDIRECT(CONCATENATE("'",RIGHT(H$1,2),"'!$F$4:$N$4")),0))</f>
        <v>0</v>
      </c>
      <c r="I33" s="25">
        <f ca="1">INDEX(INDIRECT(CONCATENATE("'",RIGHT(I$1,2),"'!$F$8:$N$88")),MATCH($A33,INDIRECT(CONCATENATE("'",RIGHT(I$1,2),IF($B33="chemicals","'!$C$8:$C$88","'!$B$8:$B$88"))),0),MATCH('Other Industrial Processes'!$C33,INDIRECT(CONCATENATE("'",RIGHT(I$1,2),"'!$F$4:$N$4")),0))</f>
        <v>0</v>
      </c>
      <c r="J33" s="25">
        <f ca="1">INDEX(INDIRECT(CONCATENATE("'",RIGHT(J$1,2),"'!$F$8:$N$88")),MATCH($A33,INDIRECT(CONCATENATE("'",RIGHT(J$1,2),IF($B33="chemicals","'!$C$8:$C$88","'!$B$8:$B$88"))),0),MATCH('Other Industrial Processes'!$C33,INDIRECT(CONCATENATE("'",RIGHT(J$1,2),"'!$F$4:$N$4")),0))</f>
        <v>0</v>
      </c>
      <c r="K33" s="25">
        <f ca="1">INDEX(INDIRECT(CONCATENATE("'",RIGHT(K$1,2),"'!$F$8:$N$88")),MATCH($A33,INDIRECT(CONCATENATE("'",RIGHT(K$1,2),IF($B33="chemicals","'!$C$8:$C$88","'!$B$8:$B$88"))),0),MATCH('Other Industrial Processes'!$C33,INDIRECT(CONCATENATE("'",RIGHT(K$1,2),"'!$F$4:$N$4")),0))</f>
        <v>0</v>
      </c>
      <c r="L33" s="25">
        <f ca="1">INDEX(INDIRECT(CONCATENATE("'",RIGHT(L$1,2),"'!$F$8:$N$88")),MATCH($A33,INDIRECT(CONCATENATE("'",RIGHT(L$1,2),IF($B33="chemicals","'!$C$8:$C$88","'!$B$8:$B$88"))),0),MATCH('Other Industrial Processes'!$C33,INDIRECT(CONCATENATE("'",RIGHT(L$1,2),"'!$F$4:$N$4")),0))</f>
        <v>0</v>
      </c>
      <c r="M33" s="25">
        <f ca="1">INDEX(INDIRECT(CONCATENATE("'",RIGHT(M$1,2),"'!$F$8:$N$88")),MATCH($A33,INDIRECT(CONCATENATE("'",RIGHT(M$1,2),IF($B33="chemicals","'!$C$8:$C$88","'!$B$8:$B$88"))),0),MATCH('Other Industrial Processes'!$C33,INDIRECT(CONCATENATE("'",RIGHT(M$1,2),"'!$F$4:$N$4")),0))</f>
        <v>0</v>
      </c>
      <c r="N33" s="301">
        <f t="shared" ref="N33:AR33" ca="1" si="31">IFERROR(IF($M33-$D33&gt;=0,($M33-$D33)/COUNT($E$1:$M$1)+M33,$F97*$E97^N$1),0)</f>
        <v>0</v>
      </c>
      <c r="O33" s="301">
        <f t="shared" ca="1" si="31"/>
        <v>0</v>
      </c>
      <c r="P33" s="301">
        <f t="shared" ca="1" si="31"/>
        <v>0</v>
      </c>
      <c r="Q33" s="301">
        <f t="shared" ca="1" si="31"/>
        <v>0</v>
      </c>
      <c r="R33" s="301">
        <f t="shared" ca="1" si="31"/>
        <v>0</v>
      </c>
      <c r="S33" s="301">
        <f t="shared" ca="1" si="31"/>
        <v>0</v>
      </c>
      <c r="T33" s="301">
        <f t="shared" ca="1" si="31"/>
        <v>0</v>
      </c>
      <c r="U33" s="301">
        <f t="shared" ca="1" si="31"/>
        <v>0</v>
      </c>
      <c r="V33" s="301">
        <f t="shared" ca="1" si="31"/>
        <v>0</v>
      </c>
      <c r="W33" s="301">
        <f t="shared" ca="1" si="31"/>
        <v>0</v>
      </c>
      <c r="X33" s="301">
        <f t="shared" ca="1" si="31"/>
        <v>0</v>
      </c>
      <c r="Y33" s="301">
        <f t="shared" ca="1" si="31"/>
        <v>0</v>
      </c>
      <c r="Z33" s="301">
        <f t="shared" ca="1" si="31"/>
        <v>0</v>
      </c>
      <c r="AA33" s="301">
        <f t="shared" ca="1" si="31"/>
        <v>0</v>
      </c>
      <c r="AB33" s="301">
        <f t="shared" ca="1" si="31"/>
        <v>0</v>
      </c>
      <c r="AC33" s="301">
        <f t="shared" ca="1" si="31"/>
        <v>0</v>
      </c>
      <c r="AD33" s="301">
        <f t="shared" ca="1" si="31"/>
        <v>0</v>
      </c>
      <c r="AE33" s="301">
        <f t="shared" ca="1" si="31"/>
        <v>0</v>
      </c>
      <c r="AF33" s="301">
        <f t="shared" ca="1" si="31"/>
        <v>0</v>
      </c>
      <c r="AG33" s="301">
        <f t="shared" ca="1" si="31"/>
        <v>0</v>
      </c>
      <c r="AH33" s="301">
        <f t="shared" ca="1" si="31"/>
        <v>0</v>
      </c>
      <c r="AI33" s="301">
        <f t="shared" ca="1" si="31"/>
        <v>0</v>
      </c>
      <c r="AJ33" s="301">
        <f t="shared" ca="1" si="31"/>
        <v>0</v>
      </c>
      <c r="AK33" s="301">
        <f t="shared" ca="1" si="31"/>
        <v>0</v>
      </c>
      <c r="AL33" s="301">
        <f t="shared" ca="1" si="31"/>
        <v>0</v>
      </c>
      <c r="AM33" s="301">
        <f t="shared" ca="1" si="31"/>
        <v>0</v>
      </c>
      <c r="AN33" s="301">
        <f t="shared" ca="1" si="31"/>
        <v>0</v>
      </c>
      <c r="AO33" s="301">
        <f t="shared" ca="1" si="31"/>
        <v>0</v>
      </c>
      <c r="AP33" s="301">
        <f t="shared" ca="1" si="31"/>
        <v>0</v>
      </c>
      <c r="AQ33" s="301">
        <f t="shared" ca="1" si="31"/>
        <v>0</v>
      </c>
      <c r="AR33" s="301">
        <f t="shared" ca="1" si="31"/>
        <v>0</v>
      </c>
      <c r="AS33" s="301">
        <f t="shared" ca="1" si="18"/>
        <v>0</v>
      </c>
      <c r="AT33" s="301">
        <f t="shared" ca="1" si="18"/>
        <v>0</v>
      </c>
      <c r="AU33" s="301">
        <f t="shared" ca="1" si="18"/>
        <v>0</v>
      </c>
      <c r="AV33" s="301">
        <f t="shared" ca="1" si="18"/>
        <v>0</v>
      </c>
    </row>
    <row r="34" spans="1:48" x14ac:dyDescent="0.25">
      <c r="A34" s="25" t="s">
        <v>192</v>
      </c>
      <c r="B34" t="s">
        <v>4</v>
      </c>
      <c r="C34" s="25" t="s">
        <v>197</v>
      </c>
      <c r="D34" s="25">
        <f ca="1">INDEX(INDIRECT(CONCATENATE("'",RIGHT(D$1,2),"'!$F$8:$N$88")),MATCH($A34,INDIRECT(CONCATENATE("'",RIGHT(D$1,2),IF($B34="chemicals","'!$C$8:$C$88","'!$B$8:$B$88"))),0),MATCH('Other Industrial Processes'!$C34,INDIRECT(CONCATENATE("'",RIGHT(D$1,2),"'!$F$4:$N$4")),0))</f>
        <v>0</v>
      </c>
      <c r="E34" s="25">
        <f ca="1">INDEX(INDIRECT(CONCATENATE("'",RIGHT(E$1,2),"'!$F$8:$N$88")),MATCH($A34,INDIRECT(CONCATENATE("'",RIGHT(E$1,2),IF($B34="chemicals","'!$C$8:$C$88","'!$B$8:$B$88"))),0),MATCH('Other Industrial Processes'!$C34,INDIRECT(CONCATENATE("'",RIGHT(E$1,2),"'!$F$4:$N$4")),0))</f>
        <v>0</v>
      </c>
      <c r="F34" s="25">
        <f ca="1">INDEX(INDIRECT(CONCATENATE("'",RIGHT(F$1,2),"'!$F$8:$N$88")),MATCH($A34,INDIRECT(CONCATENATE("'",RIGHT(F$1,2),IF($B34="chemicals","'!$C$8:$C$88","'!$B$8:$B$88"))),0),MATCH('Other Industrial Processes'!$C34,INDIRECT(CONCATENATE("'",RIGHT(F$1,2),"'!$F$4:$N$4")),0))</f>
        <v>0</v>
      </c>
      <c r="G34" s="25">
        <f ca="1">INDEX(INDIRECT(CONCATENATE("'",RIGHT(G$1,2),"'!$F$8:$N$88")),MATCH($A34,INDIRECT(CONCATENATE("'",RIGHT(G$1,2),IF($B34="chemicals","'!$C$8:$C$88","'!$B$8:$B$88"))),0),MATCH('Other Industrial Processes'!$C34,INDIRECT(CONCATENATE("'",RIGHT(G$1,2),"'!$F$4:$N$4")),0))</f>
        <v>0</v>
      </c>
      <c r="H34" s="25">
        <f ca="1">INDEX(INDIRECT(CONCATENATE("'",RIGHT(H$1,2),"'!$F$8:$N$88")),MATCH($A34,INDIRECT(CONCATENATE("'",RIGHT(H$1,2),IF($B34="chemicals","'!$C$8:$C$88","'!$B$8:$B$88"))),0),MATCH('Other Industrial Processes'!$C34,INDIRECT(CONCATENATE("'",RIGHT(H$1,2),"'!$F$4:$N$4")),0))</f>
        <v>0</v>
      </c>
      <c r="I34" s="25">
        <f ca="1">INDEX(INDIRECT(CONCATENATE("'",RIGHT(I$1,2),"'!$F$8:$N$88")),MATCH($A34,INDIRECT(CONCATENATE("'",RIGHT(I$1,2),IF($B34="chemicals","'!$C$8:$C$88","'!$B$8:$B$88"))),0),MATCH('Other Industrial Processes'!$C34,INDIRECT(CONCATENATE("'",RIGHT(I$1,2),"'!$F$4:$N$4")),0))</f>
        <v>0</v>
      </c>
      <c r="J34" s="25">
        <f ca="1">INDEX(INDIRECT(CONCATENATE("'",RIGHT(J$1,2),"'!$F$8:$N$88")),MATCH($A34,INDIRECT(CONCATENATE("'",RIGHT(J$1,2),IF($B34="chemicals","'!$C$8:$C$88","'!$B$8:$B$88"))),0),MATCH('Other Industrial Processes'!$C34,INDIRECT(CONCATENATE("'",RIGHT(J$1,2),"'!$F$4:$N$4")),0))</f>
        <v>0</v>
      </c>
      <c r="K34" s="25">
        <f ca="1">INDEX(INDIRECT(CONCATENATE("'",RIGHT(K$1,2),"'!$F$8:$N$88")),MATCH($A34,INDIRECT(CONCATENATE("'",RIGHT(K$1,2),IF($B34="chemicals","'!$C$8:$C$88","'!$B$8:$B$88"))),0),MATCH('Other Industrial Processes'!$C34,INDIRECT(CONCATENATE("'",RIGHT(K$1,2),"'!$F$4:$N$4")),0))</f>
        <v>0</v>
      </c>
      <c r="L34" s="25">
        <f ca="1">INDEX(INDIRECT(CONCATENATE("'",RIGHT(L$1,2),"'!$F$8:$N$88")),MATCH($A34,INDIRECT(CONCATENATE("'",RIGHT(L$1,2),IF($B34="chemicals","'!$C$8:$C$88","'!$B$8:$B$88"))),0),MATCH('Other Industrial Processes'!$C34,INDIRECT(CONCATENATE("'",RIGHT(L$1,2),"'!$F$4:$N$4")),0))</f>
        <v>0</v>
      </c>
      <c r="M34" s="25">
        <f ca="1">INDEX(INDIRECT(CONCATENATE("'",RIGHT(M$1,2),"'!$F$8:$N$88")),MATCH($A34,INDIRECT(CONCATENATE("'",RIGHT(M$1,2),IF($B34="chemicals","'!$C$8:$C$88","'!$B$8:$B$88"))),0),MATCH('Other Industrial Processes'!$C34,INDIRECT(CONCATENATE("'",RIGHT(M$1,2),"'!$F$4:$N$4")),0))</f>
        <v>0</v>
      </c>
      <c r="N34" s="301">
        <f t="shared" ref="N34:AR34" ca="1" si="32">IFERROR(IF($M34-$D34&gt;=0,($M34-$D34)/COUNT($E$1:$M$1)+M34,$F98*$E98^N$1),0)</f>
        <v>0</v>
      </c>
      <c r="O34" s="301">
        <f t="shared" ca="1" si="32"/>
        <v>0</v>
      </c>
      <c r="P34" s="301">
        <f t="shared" ca="1" si="32"/>
        <v>0</v>
      </c>
      <c r="Q34" s="301">
        <f t="shared" ca="1" si="32"/>
        <v>0</v>
      </c>
      <c r="R34" s="301">
        <f t="shared" ca="1" si="32"/>
        <v>0</v>
      </c>
      <c r="S34" s="301">
        <f t="shared" ca="1" si="32"/>
        <v>0</v>
      </c>
      <c r="T34" s="301">
        <f t="shared" ca="1" si="32"/>
        <v>0</v>
      </c>
      <c r="U34" s="301">
        <f t="shared" ca="1" si="32"/>
        <v>0</v>
      </c>
      <c r="V34" s="301">
        <f t="shared" ca="1" si="32"/>
        <v>0</v>
      </c>
      <c r="W34" s="301">
        <f t="shared" ca="1" si="32"/>
        <v>0</v>
      </c>
      <c r="X34" s="301">
        <f t="shared" ca="1" si="32"/>
        <v>0</v>
      </c>
      <c r="Y34" s="301">
        <f t="shared" ca="1" si="32"/>
        <v>0</v>
      </c>
      <c r="Z34" s="301">
        <f t="shared" ca="1" si="32"/>
        <v>0</v>
      </c>
      <c r="AA34" s="301">
        <f t="shared" ca="1" si="32"/>
        <v>0</v>
      </c>
      <c r="AB34" s="301">
        <f t="shared" ca="1" si="32"/>
        <v>0</v>
      </c>
      <c r="AC34" s="301">
        <f t="shared" ca="1" si="32"/>
        <v>0</v>
      </c>
      <c r="AD34" s="301">
        <f t="shared" ca="1" si="32"/>
        <v>0</v>
      </c>
      <c r="AE34" s="301">
        <f t="shared" ca="1" si="32"/>
        <v>0</v>
      </c>
      <c r="AF34" s="301">
        <f t="shared" ca="1" si="32"/>
        <v>0</v>
      </c>
      <c r="AG34" s="301">
        <f t="shared" ca="1" si="32"/>
        <v>0</v>
      </c>
      <c r="AH34" s="301">
        <f t="shared" ca="1" si="32"/>
        <v>0</v>
      </c>
      <c r="AI34" s="301">
        <f t="shared" ca="1" si="32"/>
        <v>0</v>
      </c>
      <c r="AJ34" s="301">
        <f t="shared" ca="1" si="32"/>
        <v>0</v>
      </c>
      <c r="AK34" s="301">
        <f t="shared" ca="1" si="32"/>
        <v>0</v>
      </c>
      <c r="AL34" s="301">
        <f t="shared" ca="1" si="32"/>
        <v>0</v>
      </c>
      <c r="AM34" s="301">
        <f t="shared" ca="1" si="32"/>
        <v>0</v>
      </c>
      <c r="AN34" s="301">
        <f t="shared" ca="1" si="32"/>
        <v>0</v>
      </c>
      <c r="AO34" s="301">
        <f t="shared" ca="1" si="32"/>
        <v>0</v>
      </c>
      <c r="AP34" s="301">
        <f t="shared" ca="1" si="32"/>
        <v>0</v>
      </c>
      <c r="AQ34" s="301">
        <f t="shared" ca="1" si="32"/>
        <v>0</v>
      </c>
      <c r="AR34" s="301">
        <f t="shared" ca="1" si="32"/>
        <v>0</v>
      </c>
      <c r="AS34" s="301">
        <f t="shared" ca="1" si="18"/>
        <v>0</v>
      </c>
      <c r="AT34" s="301">
        <f t="shared" ca="1" si="18"/>
        <v>0</v>
      </c>
      <c r="AU34" s="301">
        <f t="shared" ca="1" si="18"/>
        <v>0</v>
      </c>
      <c r="AV34" s="301">
        <f t="shared" ca="1" si="18"/>
        <v>0</v>
      </c>
    </row>
    <row r="35" spans="1:48" x14ac:dyDescent="0.25">
      <c r="A35" s="25" t="s">
        <v>190</v>
      </c>
      <c r="B35" t="s">
        <v>4</v>
      </c>
      <c r="C35" s="25" t="s">
        <v>197</v>
      </c>
      <c r="D35" s="25">
        <f ca="1">INDEX(INDIRECT(CONCATENATE("'",RIGHT(D$1,2),"'!$F$8:$N$88")),MATCH($A35,INDIRECT(CONCATENATE("'",RIGHT(D$1,2),IF($B35="chemicals","'!$C$8:$C$88","'!$B$8:$B$88"))),0),MATCH('Other Industrial Processes'!$C35,INDIRECT(CONCATENATE("'",RIGHT(D$1,2),"'!$F$4:$N$4")),0))</f>
        <v>0</v>
      </c>
      <c r="E35" s="25">
        <f ca="1">INDEX(INDIRECT(CONCATENATE("'",RIGHT(E$1,2),"'!$F$8:$N$88")),MATCH($A35,INDIRECT(CONCATENATE("'",RIGHT(E$1,2),IF($B35="chemicals","'!$C$8:$C$88","'!$B$8:$B$88"))),0),MATCH('Other Industrial Processes'!$C35,INDIRECT(CONCATENATE("'",RIGHT(E$1,2),"'!$F$4:$N$4")),0))</f>
        <v>0</v>
      </c>
      <c r="F35" s="25">
        <f ca="1">INDEX(INDIRECT(CONCATENATE("'",RIGHT(F$1,2),"'!$F$8:$N$88")),MATCH($A35,INDIRECT(CONCATENATE("'",RIGHT(F$1,2),IF($B35="chemicals","'!$C$8:$C$88","'!$B$8:$B$88"))),0),MATCH('Other Industrial Processes'!$C35,INDIRECT(CONCATENATE("'",RIGHT(F$1,2),"'!$F$4:$N$4")),0))</f>
        <v>0</v>
      </c>
      <c r="G35" s="25">
        <f ca="1">INDEX(INDIRECT(CONCATENATE("'",RIGHT(G$1,2),"'!$F$8:$N$88")),MATCH($A35,INDIRECT(CONCATENATE("'",RIGHT(G$1,2),IF($B35="chemicals","'!$C$8:$C$88","'!$B$8:$B$88"))),0),MATCH('Other Industrial Processes'!$C35,INDIRECT(CONCATENATE("'",RIGHT(G$1,2),"'!$F$4:$N$4")),0))</f>
        <v>0</v>
      </c>
      <c r="H35" s="25">
        <f ca="1">INDEX(INDIRECT(CONCATENATE("'",RIGHT(H$1,2),"'!$F$8:$N$88")),MATCH($A35,INDIRECT(CONCATENATE("'",RIGHT(H$1,2),IF($B35="chemicals","'!$C$8:$C$88","'!$B$8:$B$88"))),0),MATCH('Other Industrial Processes'!$C35,INDIRECT(CONCATENATE("'",RIGHT(H$1,2),"'!$F$4:$N$4")),0))</f>
        <v>0</v>
      </c>
      <c r="I35" s="25">
        <f ca="1">INDEX(INDIRECT(CONCATENATE("'",RIGHT(I$1,2),"'!$F$8:$N$88")),MATCH($A35,INDIRECT(CONCATENATE("'",RIGHT(I$1,2),IF($B35="chemicals","'!$C$8:$C$88","'!$B$8:$B$88"))),0),MATCH('Other Industrial Processes'!$C35,INDIRECT(CONCATENATE("'",RIGHT(I$1,2),"'!$F$4:$N$4")),0))</f>
        <v>0</v>
      </c>
      <c r="J35" s="25">
        <f ca="1">INDEX(INDIRECT(CONCATENATE("'",RIGHT(J$1,2),"'!$F$8:$N$88")),MATCH($A35,INDIRECT(CONCATENATE("'",RIGHT(J$1,2),IF($B35="chemicals","'!$C$8:$C$88","'!$B$8:$B$88"))),0),MATCH('Other Industrial Processes'!$C35,INDIRECT(CONCATENATE("'",RIGHT(J$1,2),"'!$F$4:$N$4")),0))</f>
        <v>0</v>
      </c>
      <c r="K35" s="25">
        <f ca="1">INDEX(INDIRECT(CONCATENATE("'",RIGHT(K$1,2),"'!$F$8:$N$88")),MATCH($A35,INDIRECT(CONCATENATE("'",RIGHT(K$1,2),IF($B35="chemicals","'!$C$8:$C$88","'!$B$8:$B$88"))),0),MATCH('Other Industrial Processes'!$C35,INDIRECT(CONCATENATE("'",RIGHT(K$1,2),"'!$F$4:$N$4")),0))</f>
        <v>0</v>
      </c>
      <c r="L35" s="25">
        <f ca="1">INDEX(INDIRECT(CONCATENATE("'",RIGHT(L$1,2),"'!$F$8:$N$88")),MATCH($A35,INDIRECT(CONCATENATE("'",RIGHT(L$1,2),IF($B35="chemicals","'!$C$8:$C$88","'!$B$8:$B$88"))),0),MATCH('Other Industrial Processes'!$C35,INDIRECT(CONCATENATE("'",RIGHT(L$1,2),"'!$F$4:$N$4")),0))</f>
        <v>0</v>
      </c>
      <c r="M35" s="25">
        <f ca="1">INDEX(INDIRECT(CONCATENATE("'",RIGHT(M$1,2),"'!$F$8:$N$88")),MATCH($A35,INDIRECT(CONCATENATE("'",RIGHT(M$1,2),IF($B35="chemicals","'!$C$8:$C$88","'!$B$8:$B$88"))),0),MATCH('Other Industrial Processes'!$C35,INDIRECT(CONCATENATE("'",RIGHT(M$1,2),"'!$F$4:$N$4")),0))</f>
        <v>0</v>
      </c>
      <c r="N35" s="301">
        <f t="shared" ref="N35:AR35" ca="1" si="33">IFERROR(IF($M35-$D35&gt;=0,($M35-$D35)/COUNT($E$1:$M$1)+M35,$F99*$E99^N$1),0)</f>
        <v>0</v>
      </c>
      <c r="O35" s="301">
        <f t="shared" ca="1" si="33"/>
        <v>0</v>
      </c>
      <c r="P35" s="301">
        <f t="shared" ca="1" si="33"/>
        <v>0</v>
      </c>
      <c r="Q35" s="301">
        <f t="shared" ca="1" si="33"/>
        <v>0</v>
      </c>
      <c r="R35" s="301">
        <f t="shared" ca="1" si="33"/>
        <v>0</v>
      </c>
      <c r="S35" s="301">
        <f t="shared" ca="1" si="33"/>
        <v>0</v>
      </c>
      <c r="T35" s="301">
        <f t="shared" ca="1" si="33"/>
        <v>0</v>
      </c>
      <c r="U35" s="301">
        <f t="shared" ca="1" si="33"/>
        <v>0</v>
      </c>
      <c r="V35" s="301">
        <f t="shared" ca="1" si="33"/>
        <v>0</v>
      </c>
      <c r="W35" s="301">
        <f t="shared" ca="1" si="33"/>
        <v>0</v>
      </c>
      <c r="X35" s="301">
        <f t="shared" ca="1" si="33"/>
        <v>0</v>
      </c>
      <c r="Y35" s="301">
        <f t="shared" ca="1" si="33"/>
        <v>0</v>
      </c>
      <c r="Z35" s="301">
        <f t="shared" ca="1" si="33"/>
        <v>0</v>
      </c>
      <c r="AA35" s="301">
        <f t="shared" ca="1" si="33"/>
        <v>0</v>
      </c>
      <c r="AB35" s="301">
        <f t="shared" ca="1" si="33"/>
        <v>0</v>
      </c>
      <c r="AC35" s="301">
        <f t="shared" ca="1" si="33"/>
        <v>0</v>
      </c>
      <c r="AD35" s="301">
        <f t="shared" ca="1" si="33"/>
        <v>0</v>
      </c>
      <c r="AE35" s="301">
        <f t="shared" ca="1" si="33"/>
        <v>0</v>
      </c>
      <c r="AF35" s="301">
        <f t="shared" ca="1" si="33"/>
        <v>0</v>
      </c>
      <c r="AG35" s="301">
        <f t="shared" ca="1" si="33"/>
        <v>0</v>
      </c>
      <c r="AH35" s="301">
        <f t="shared" ca="1" si="33"/>
        <v>0</v>
      </c>
      <c r="AI35" s="301">
        <f t="shared" ca="1" si="33"/>
        <v>0</v>
      </c>
      <c r="AJ35" s="301">
        <f t="shared" ca="1" si="33"/>
        <v>0</v>
      </c>
      <c r="AK35" s="301">
        <f t="shared" ca="1" si="33"/>
        <v>0</v>
      </c>
      <c r="AL35" s="301">
        <f t="shared" ca="1" si="33"/>
        <v>0</v>
      </c>
      <c r="AM35" s="301">
        <f t="shared" ca="1" si="33"/>
        <v>0</v>
      </c>
      <c r="AN35" s="301">
        <f t="shared" ca="1" si="33"/>
        <v>0</v>
      </c>
      <c r="AO35" s="301">
        <f t="shared" ca="1" si="33"/>
        <v>0</v>
      </c>
      <c r="AP35" s="301">
        <f t="shared" ca="1" si="33"/>
        <v>0</v>
      </c>
      <c r="AQ35" s="301">
        <f t="shared" ca="1" si="33"/>
        <v>0</v>
      </c>
      <c r="AR35" s="301">
        <f t="shared" ca="1" si="33"/>
        <v>0</v>
      </c>
      <c r="AS35" s="301">
        <f t="shared" ca="1" si="18"/>
        <v>0</v>
      </c>
      <c r="AT35" s="301">
        <f t="shared" ca="1" si="18"/>
        <v>0</v>
      </c>
      <c r="AU35" s="301">
        <f t="shared" ca="1" si="18"/>
        <v>0</v>
      </c>
      <c r="AV35" s="301">
        <f t="shared" ca="1" si="18"/>
        <v>0</v>
      </c>
    </row>
    <row r="36" spans="1:48" x14ac:dyDescent="0.25">
      <c r="A36" s="25" t="s">
        <v>770</v>
      </c>
      <c r="B36" t="s">
        <v>4</v>
      </c>
      <c r="C36" s="25" t="s">
        <v>197</v>
      </c>
      <c r="D36" s="25">
        <f ca="1">INDEX(INDIRECT(CONCATENATE("'",RIGHT(D$1,2),"'!$F$8:$N$88")),MATCH($A36,INDIRECT(CONCATENATE("'",RIGHT(D$1,2),IF($B36="chemicals","'!$C$8:$C$88","'!$B$8:$B$88"))),0),MATCH('Other Industrial Processes'!$C36,INDIRECT(CONCATENATE("'",RIGHT(D$1,2),"'!$F$4:$N$4")),0))</f>
        <v>0</v>
      </c>
      <c r="E36" s="25">
        <f ca="1">INDEX(INDIRECT(CONCATENATE("'",RIGHT(E$1,2),"'!$F$8:$N$88")),MATCH($A36,INDIRECT(CONCATENATE("'",RIGHT(E$1,2),IF($B36="chemicals","'!$C$8:$C$88","'!$B$8:$B$88"))),0),MATCH('Other Industrial Processes'!$C36,INDIRECT(CONCATENATE("'",RIGHT(E$1,2),"'!$F$4:$N$4")),0))</f>
        <v>0</v>
      </c>
      <c r="F36" s="25">
        <f ca="1">INDEX(INDIRECT(CONCATENATE("'",RIGHT(F$1,2),"'!$F$8:$N$88")),MATCH($A36,INDIRECT(CONCATENATE("'",RIGHT(F$1,2),IF($B36="chemicals","'!$C$8:$C$88","'!$B$8:$B$88"))),0),MATCH('Other Industrial Processes'!$C36,INDIRECT(CONCATENATE("'",RIGHT(F$1,2),"'!$F$4:$N$4")),0))</f>
        <v>0</v>
      </c>
      <c r="G36" s="25">
        <f ca="1">INDEX(INDIRECT(CONCATENATE("'",RIGHT(G$1,2),"'!$F$8:$N$88")),MATCH($A36,INDIRECT(CONCATENATE("'",RIGHT(G$1,2),IF($B36="chemicals","'!$C$8:$C$88","'!$B$8:$B$88"))),0),MATCH('Other Industrial Processes'!$C36,INDIRECT(CONCATENATE("'",RIGHT(G$1,2),"'!$F$4:$N$4")),0))</f>
        <v>0</v>
      </c>
      <c r="H36" s="25">
        <f ca="1">INDEX(INDIRECT(CONCATENATE("'",RIGHT(H$1,2),"'!$F$8:$N$88")),MATCH($A36,INDIRECT(CONCATENATE("'",RIGHT(H$1,2),IF($B36="chemicals","'!$C$8:$C$88","'!$B$8:$B$88"))),0),MATCH('Other Industrial Processes'!$C36,INDIRECT(CONCATENATE("'",RIGHT(H$1,2),"'!$F$4:$N$4")),0))</f>
        <v>0</v>
      </c>
      <c r="I36" s="25">
        <f ca="1">INDEX(INDIRECT(CONCATENATE("'",RIGHT(I$1,2),"'!$F$8:$N$88")),MATCH($A36,INDIRECT(CONCATENATE("'",RIGHT(I$1,2),IF($B36="chemicals","'!$C$8:$C$88","'!$B$8:$B$88"))),0),MATCH('Other Industrial Processes'!$C36,INDIRECT(CONCATENATE("'",RIGHT(I$1,2),"'!$F$4:$N$4")),0))</f>
        <v>0</v>
      </c>
      <c r="J36" s="25">
        <f ca="1">INDEX(INDIRECT(CONCATENATE("'",RIGHT(J$1,2),"'!$F$8:$N$88")),MATCH($A36,INDIRECT(CONCATENATE("'",RIGHT(J$1,2),IF($B36="chemicals","'!$C$8:$C$88","'!$B$8:$B$88"))),0),MATCH('Other Industrial Processes'!$C36,INDIRECT(CONCATENATE("'",RIGHT(J$1,2),"'!$F$4:$N$4")),0))</f>
        <v>0</v>
      </c>
      <c r="K36" s="25">
        <f ca="1">INDEX(INDIRECT(CONCATENATE("'",RIGHT(K$1,2),"'!$F$8:$N$88")),MATCH($A36,INDIRECT(CONCATENATE("'",RIGHT(K$1,2),IF($B36="chemicals","'!$C$8:$C$88","'!$B$8:$B$88"))),0),MATCH('Other Industrial Processes'!$C36,INDIRECT(CONCATENATE("'",RIGHT(K$1,2),"'!$F$4:$N$4")),0))</f>
        <v>0</v>
      </c>
      <c r="L36" s="25">
        <f ca="1">INDEX(INDIRECT(CONCATENATE("'",RIGHT(L$1,2),"'!$F$8:$N$88")),MATCH($A36,INDIRECT(CONCATENATE("'",RIGHT(L$1,2),IF($B36="chemicals","'!$C$8:$C$88","'!$B$8:$B$88"))),0),MATCH('Other Industrial Processes'!$C36,INDIRECT(CONCATENATE("'",RIGHT(L$1,2),"'!$F$4:$N$4")),0))</f>
        <v>0</v>
      </c>
      <c r="M36" s="25">
        <f ca="1">INDEX(INDIRECT(CONCATENATE("'",RIGHT(M$1,2),"'!$F$8:$N$88")),MATCH($A36,INDIRECT(CONCATENATE("'",RIGHT(M$1,2),IF($B36="chemicals","'!$C$8:$C$88","'!$B$8:$B$88"))),0),MATCH('Other Industrial Processes'!$C36,INDIRECT(CONCATENATE("'",RIGHT(M$1,2),"'!$F$4:$N$4")),0))</f>
        <v>0</v>
      </c>
      <c r="N36" s="301">
        <f t="shared" ref="N36:AR36" ca="1" si="34">IFERROR(IF($M36-$D36&gt;=0,($M36-$D36)/COUNT($E$1:$M$1)+M36,$F100*$E100^N$1),0)</f>
        <v>0</v>
      </c>
      <c r="O36" s="301">
        <f t="shared" ca="1" si="34"/>
        <v>0</v>
      </c>
      <c r="P36" s="301">
        <f t="shared" ca="1" si="34"/>
        <v>0</v>
      </c>
      <c r="Q36" s="301">
        <f t="shared" ca="1" si="34"/>
        <v>0</v>
      </c>
      <c r="R36" s="301">
        <f t="shared" ca="1" si="34"/>
        <v>0</v>
      </c>
      <c r="S36" s="301">
        <f t="shared" ca="1" si="34"/>
        <v>0</v>
      </c>
      <c r="T36" s="301">
        <f t="shared" ca="1" si="34"/>
        <v>0</v>
      </c>
      <c r="U36" s="301">
        <f t="shared" ca="1" si="34"/>
        <v>0</v>
      </c>
      <c r="V36" s="301">
        <f t="shared" ca="1" si="34"/>
        <v>0</v>
      </c>
      <c r="W36" s="301">
        <f t="shared" ca="1" si="34"/>
        <v>0</v>
      </c>
      <c r="X36" s="301">
        <f t="shared" ca="1" si="34"/>
        <v>0</v>
      </c>
      <c r="Y36" s="301">
        <f t="shared" ca="1" si="34"/>
        <v>0</v>
      </c>
      <c r="Z36" s="301">
        <f t="shared" ca="1" si="34"/>
        <v>0</v>
      </c>
      <c r="AA36" s="301">
        <f t="shared" ca="1" si="34"/>
        <v>0</v>
      </c>
      <c r="AB36" s="301">
        <f t="shared" ca="1" si="34"/>
        <v>0</v>
      </c>
      <c r="AC36" s="301">
        <f t="shared" ca="1" si="34"/>
        <v>0</v>
      </c>
      <c r="AD36" s="301">
        <f t="shared" ca="1" si="34"/>
        <v>0</v>
      </c>
      <c r="AE36" s="301">
        <f t="shared" ca="1" si="34"/>
        <v>0</v>
      </c>
      <c r="AF36" s="301">
        <f t="shared" ca="1" si="34"/>
        <v>0</v>
      </c>
      <c r="AG36" s="301">
        <f t="shared" ca="1" si="34"/>
        <v>0</v>
      </c>
      <c r="AH36" s="301">
        <f t="shared" ca="1" si="34"/>
        <v>0</v>
      </c>
      <c r="AI36" s="301">
        <f t="shared" ca="1" si="34"/>
        <v>0</v>
      </c>
      <c r="AJ36" s="301">
        <f t="shared" ca="1" si="34"/>
        <v>0</v>
      </c>
      <c r="AK36" s="301">
        <f t="shared" ca="1" si="34"/>
        <v>0</v>
      </c>
      <c r="AL36" s="301">
        <f t="shared" ca="1" si="34"/>
        <v>0</v>
      </c>
      <c r="AM36" s="301">
        <f t="shared" ca="1" si="34"/>
        <v>0</v>
      </c>
      <c r="AN36" s="301">
        <f t="shared" ca="1" si="34"/>
        <v>0</v>
      </c>
      <c r="AO36" s="301">
        <f t="shared" ca="1" si="34"/>
        <v>0</v>
      </c>
      <c r="AP36" s="301">
        <f t="shared" ca="1" si="34"/>
        <v>0</v>
      </c>
      <c r="AQ36" s="301">
        <f t="shared" ca="1" si="34"/>
        <v>0</v>
      </c>
      <c r="AR36" s="301">
        <f t="shared" ca="1" si="34"/>
        <v>0</v>
      </c>
      <c r="AS36" s="301">
        <f t="shared" ca="1" si="18"/>
        <v>0</v>
      </c>
      <c r="AT36" s="301">
        <f t="shared" ca="1" si="18"/>
        <v>0</v>
      </c>
      <c r="AU36" s="301">
        <f t="shared" ca="1" si="18"/>
        <v>0</v>
      </c>
      <c r="AV36" s="301">
        <f t="shared" ca="1" si="18"/>
        <v>0</v>
      </c>
    </row>
    <row r="37" spans="1:48" x14ac:dyDescent="0.25">
      <c r="A37" s="25" t="s">
        <v>771</v>
      </c>
      <c r="B37" t="s">
        <v>4</v>
      </c>
      <c r="C37" s="25" t="s">
        <v>197</v>
      </c>
      <c r="D37" s="25">
        <f ca="1">INDEX(INDIRECT(CONCATENATE("'",RIGHT(D$1,2),"'!$F$8:$N$88")),MATCH($A37,INDIRECT(CONCATENATE("'",RIGHT(D$1,2),IF($B37="chemicals","'!$C$8:$C$88","'!$B$8:$B$88"))),0),MATCH('Other Industrial Processes'!$C37,INDIRECT(CONCATENATE("'",RIGHT(D$1,2),"'!$F$4:$N$4")),0))</f>
        <v>0</v>
      </c>
      <c r="E37" s="25">
        <f ca="1">INDEX(INDIRECT(CONCATENATE("'",RIGHT(E$1,2),"'!$F$8:$N$88")),MATCH($A37,INDIRECT(CONCATENATE("'",RIGHT(E$1,2),IF($B37="chemicals","'!$C$8:$C$88","'!$B$8:$B$88"))),0),MATCH('Other Industrial Processes'!$C37,INDIRECT(CONCATENATE("'",RIGHT(E$1,2),"'!$F$4:$N$4")),0))</f>
        <v>0</v>
      </c>
      <c r="F37" s="25">
        <f ca="1">INDEX(INDIRECT(CONCATENATE("'",RIGHT(F$1,2),"'!$F$8:$N$88")),MATCH($A37,INDIRECT(CONCATENATE("'",RIGHT(F$1,2),IF($B37="chemicals","'!$C$8:$C$88","'!$B$8:$B$88"))),0),MATCH('Other Industrial Processes'!$C37,INDIRECT(CONCATENATE("'",RIGHT(F$1,2),"'!$F$4:$N$4")),0))</f>
        <v>0</v>
      </c>
      <c r="G37" s="25">
        <f ca="1">INDEX(INDIRECT(CONCATENATE("'",RIGHT(G$1,2),"'!$F$8:$N$88")),MATCH($A37,INDIRECT(CONCATENATE("'",RIGHT(G$1,2),IF($B37="chemicals","'!$C$8:$C$88","'!$B$8:$B$88"))),0),MATCH('Other Industrial Processes'!$C37,INDIRECT(CONCATENATE("'",RIGHT(G$1,2),"'!$F$4:$N$4")),0))</f>
        <v>0</v>
      </c>
      <c r="H37" s="25">
        <f ca="1">INDEX(INDIRECT(CONCATENATE("'",RIGHT(H$1,2),"'!$F$8:$N$88")),MATCH($A37,INDIRECT(CONCATENATE("'",RIGHT(H$1,2),IF($B37="chemicals","'!$C$8:$C$88","'!$B$8:$B$88"))),0),MATCH('Other Industrial Processes'!$C37,INDIRECT(CONCATENATE("'",RIGHT(H$1,2),"'!$F$4:$N$4")),0))</f>
        <v>0</v>
      </c>
      <c r="I37" s="25">
        <f ca="1">INDEX(INDIRECT(CONCATENATE("'",RIGHT(I$1,2),"'!$F$8:$N$88")),MATCH($A37,INDIRECT(CONCATENATE("'",RIGHT(I$1,2),IF($B37="chemicals","'!$C$8:$C$88","'!$B$8:$B$88"))),0),MATCH('Other Industrial Processes'!$C37,INDIRECT(CONCATENATE("'",RIGHT(I$1,2),"'!$F$4:$N$4")),0))</f>
        <v>0</v>
      </c>
      <c r="J37" s="25">
        <f ca="1">INDEX(INDIRECT(CONCATENATE("'",RIGHT(J$1,2),"'!$F$8:$N$88")),MATCH($A37,INDIRECT(CONCATENATE("'",RIGHT(J$1,2),IF($B37="chemicals","'!$C$8:$C$88","'!$B$8:$B$88"))),0),MATCH('Other Industrial Processes'!$C37,INDIRECT(CONCATENATE("'",RIGHT(J$1,2),"'!$F$4:$N$4")),0))</f>
        <v>0</v>
      </c>
      <c r="K37" s="25">
        <f ca="1">INDEX(INDIRECT(CONCATENATE("'",RIGHT(K$1,2),"'!$F$8:$N$88")),MATCH($A37,INDIRECT(CONCATENATE("'",RIGHT(K$1,2),IF($B37="chemicals","'!$C$8:$C$88","'!$B$8:$B$88"))),0),MATCH('Other Industrial Processes'!$C37,INDIRECT(CONCATENATE("'",RIGHT(K$1,2),"'!$F$4:$N$4")),0))</f>
        <v>0</v>
      </c>
      <c r="L37" s="25">
        <f ca="1">INDEX(INDIRECT(CONCATENATE("'",RIGHT(L$1,2),"'!$F$8:$N$88")),MATCH($A37,INDIRECT(CONCATENATE("'",RIGHT(L$1,2),IF($B37="chemicals","'!$C$8:$C$88","'!$B$8:$B$88"))),0),MATCH('Other Industrial Processes'!$C37,INDIRECT(CONCATENATE("'",RIGHT(L$1,2),"'!$F$4:$N$4")),0))</f>
        <v>0</v>
      </c>
      <c r="M37" s="25">
        <f ca="1">INDEX(INDIRECT(CONCATENATE("'",RIGHT(M$1,2),"'!$F$8:$N$88")),MATCH($A37,INDIRECT(CONCATENATE("'",RIGHT(M$1,2),IF($B37="chemicals","'!$C$8:$C$88","'!$B$8:$B$88"))),0),MATCH('Other Industrial Processes'!$C37,INDIRECT(CONCATENATE("'",RIGHT(M$1,2),"'!$F$4:$N$4")),0))</f>
        <v>0</v>
      </c>
      <c r="N37" s="301">
        <f t="shared" ref="N37:AR37" ca="1" si="35">IFERROR(IF($M37-$D37&gt;=0,($M37-$D37)/COUNT($E$1:$M$1)+M37,$F101*$E101^N$1),0)</f>
        <v>0</v>
      </c>
      <c r="O37" s="301">
        <f t="shared" ca="1" si="35"/>
        <v>0</v>
      </c>
      <c r="P37" s="301">
        <f t="shared" ca="1" si="35"/>
        <v>0</v>
      </c>
      <c r="Q37" s="301">
        <f t="shared" ca="1" si="35"/>
        <v>0</v>
      </c>
      <c r="R37" s="301">
        <f t="shared" ca="1" si="35"/>
        <v>0</v>
      </c>
      <c r="S37" s="301">
        <f t="shared" ca="1" si="35"/>
        <v>0</v>
      </c>
      <c r="T37" s="301">
        <f t="shared" ca="1" si="35"/>
        <v>0</v>
      </c>
      <c r="U37" s="301">
        <f t="shared" ca="1" si="35"/>
        <v>0</v>
      </c>
      <c r="V37" s="301">
        <f t="shared" ca="1" si="35"/>
        <v>0</v>
      </c>
      <c r="W37" s="301">
        <f t="shared" ca="1" si="35"/>
        <v>0</v>
      </c>
      <c r="X37" s="301">
        <f t="shared" ca="1" si="35"/>
        <v>0</v>
      </c>
      <c r="Y37" s="301">
        <f t="shared" ca="1" si="35"/>
        <v>0</v>
      </c>
      <c r="Z37" s="301">
        <f t="shared" ca="1" si="35"/>
        <v>0</v>
      </c>
      <c r="AA37" s="301">
        <f t="shared" ca="1" si="35"/>
        <v>0</v>
      </c>
      <c r="AB37" s="301">
        <f t="shared" ca="1" si="35"/>
        <v>0</v>
      </c>
      <c r="AC37" s="301">
        <f t="shared" ca="1" si="35"/>
        <v>0</v>
      </c>
      <c r="AD37" s="301">
        <f t="shared" ca="1" si="35"/>
        <v>0</v>
      </c>
      <c r="AE37" s="301">
        <f t="shared" ca="1" si="35"/>
        <v>0</v>
      </c>
      <c r="AF37" s="301">
        <f t="shared" ca="1" si="35"/>
        <v>0</v>
      </c>
      <c r="AG37" s="301">
        <f t="shared" ca="1" si="35"/>
        <v>0</v>
      </c>
      <c r="AH37" s="301">
        <f t="shared" ca="1" si="35"/>
        <v>0</v>
      </c>
      <c r="AI37" s="301">
        <f t="shared" ca="1" si="35"/>
        <v>0</v>
      </c>
      <c r="AJ37" s="301">
        <f t="shared" ca="1" si="35"/>
        <v>0</v>
      </c>
      <c r="AK37" s="301">
        <f t="shared" ca="1" si="35"/>
        <v>0</v>
      </c>
      <c r="AL37" s="301">
        <f t="shared" ca="1" si="35"/>
        <v>0</v>
      </c>
      <c r="AM37" s="301">
        <f t="shared" ca="1" si="35"/>
        <v>0</v>
      </c>
      <c r="AN37" s="301">
        <f t="shared" ca="1" si="35"/>
        <v>0</v>
      </c>
      <c r="AO37" s="301">
        <f t="shared" ca="1" si="35"/>
        <v>0</v>
      </c>
      <c r="AP37" s="301">
        <f t="shared" ca="1" si="35"/>
        <v>0</v>
      </c>
      <c r="AQ37" s="301">
        <f t="shared" ca="1" si="35"/>
        <v>0</v>
      </c>
      <c r="AR37" s="301">
        <f t="shared" ca="1" si="35"/>
        <v>0</v>
      </c>
      <c r="AS37" s="301">
        <f t="shared" ca="1" si="18"/>
        <v>0</v>
      </c>
      <c r="AT37" s="301">
        <f t="shared" ca="1" si="18"/>
        <v>0</v>
      </c>
      <c r="AU37" s="301">
        <f t="shared" ca="1" si="18"/>
        <v>0</v>
      </c>
      <c r="AV37" s="301">
        <f t="shared" ca="1" si="18"/>
        <v>0</v>
      </c>
    </row>
    <row r="38" spans="1:48" x14ac:dyDescent="0.25">
      <c r="A38" s="25" t="s">
        <v>777</v>
      </c>
      <c r="B38" t="s">
        <v>2</v>
      </c>
      <c r="C38" s="25" t="s">
        <v>197</v>
      </c>
      <c r="D38" s="25">
        <f ca="1">INDEX(INDIRECT(CONCATENATE("'",RIGHT(D$1,2),"'!$F$8:$N$88")),MATCH($A38,INDIRECT(CONCATENATE("'",RIGHT(D$1,2),IF($B38="chemicals","'!$C$8:$C$88","'!$B$8:$B$88"))),0),MATCH('Other Industrial Processes'!$C38,INDIRECT(CONCATENATE("'",RIGHT(D$1,2),"'!$F$4:$N$4")),0))</f>
        <v>0</v>
      </c>
      <c r="E38" s="25">
        <f ca="1">INDEX(INDIRECT(CONCATENATE("'",RIGHT(E$1,2),"'!$F$8:$N$88")),MATCH($A38,INDIRECT(CONCATENATE("'",RIGHT(E$1,2),IF($B38="chemicals","'!$C$8:$C$88","'!$B$8:$B$88"))),0),MATCH('Other Industrial Processes'!$C38,INDIRECT(CONCATENATE("'",RIGHT(E$1,2),"'!$F$4:$N$4")),0))</f>
        <v>0</v>
      </c>
      <c r="F38" s="25">
        <f ca="1">INDEX(INDIRECT(CONCATENATE("'",RIGHT(F$1,2),"'!$F$8:$N$88")),MATCH($A38,INDIRECT(CONCATENATE("'",RIGHT(F$1,2),IF($B38="chemicals","'!$C$8:$C$88","'!$B$8:$B$88"))),0),MATCH('Other Industrial Processes'!$C38,INDIRECT(CONCATENATE("'",RIGHT(F$1,2),"'!$F$4:$N$4")),0))</f>
        <v>0</v>
      </c>
      <c r="G38" s="25">
        <f ca="1">INDEX(INDIRECT(CONCATENATE("'",RIGHT(G$1,2),"'!$F$8:$N$88")),MATCH($A38,INDIRECT(CONCATENATE("'",RIGHT(G$1,2),IF($B38="chemicals","'!$C$8:$C$88","'!$B$8:$B$88"))),0),MATCH('Other Industrial Processes'!$C38,INDIRECT(CONCATENATE("'",RIGHT(G$1,2),"'!$F$4:$N$4")),0))</f>
        <v>0</v>
      </c>
      <c r="H38" s="25">
        <f ca="1">INDEX(INDIRECT(CONCATENATE("'",RIGHT(H$1,2),"'!$F$8:$N$88")),MATCH($A38,INDIRECT(CONCATENATE("'",RIGHT(H$1,2),IF($B38="chemicals","'!$C$8:$C$88","'!$B$8:$B$88"))),0),MATCH('Other Industrial Processes'!$C38,INDIRECT(CONCATENATE("'",RIGHT(H$1,2),"'!$F$4:$N$4")),0))</f>
        <v>0</v>
      </c>
      <c r="I38" s="25">
        <f ca="1">INDEX(INDIRECT(CONCATENATE("'",RIGHT(I$1,2),"'!$F$8:$N$88")),MATCH($A38,INDIRECT(CONCATENATE("'",RIGHT(I$1,2),IF($B38="chemicals","'!$C$8:$C$88","'!$B$8:$B$88"))),0),MATCH('Other Industrial Processes'!$C38,INDIRECT(CONCATENATE("'",RIGHT(I$1,2),"'!$F$4:$N$4")),0))</f>
        <v>0</v>
      </c>
      <c r="J38" s="25">
        <f ca="1">INDEX(INDIRECT(CONCATENATE("'",RIGHT(J$1,2),"'!$F$8:$N$88")),MATCH($A38,INDIRECT(CONCATENATE("'",RIGHT(J$1,2),IF($B38="chemicals","'!$C$8:$C$88","'!$B$8:$B$88"))),0),MATCH('Other Industrial Processes'!$C38,INDIRECT(CONCATENATE("'",RIGHT(J$1,2),"'!$F$4:$N$4")),0))</f>
        <v>0</v>
      </c>
      <c r="K38" s="25">
        <f ca="1">INDEX(INDIRECT(CONCATENATE("'",RIGHT(K$1,2),"'!$F$8:$N$88")),MATCH($A38,INDIRECT(CONCATENATE("'",RIGHT(K$1,2),IF($B38="chemicals","'!$C$8:$C$88","'!$B$8:$B$88"))),0),MATCH('Other Industrial Processes'!$C38,INDIRECT(CONCATENATE("'",RIGHT(K$1,2),"'!$F$4:$N$4")),0))</f>
        <v>0</v>
      </c>
      <c r="L38" s="25">
        <f ca="1">INDEX(INDIRECT(CONCATENATE("'",RIGHT(L$1,2),"'!$F$8:$N$88")),MATCH($A38,INDIRECT(CONCATENATE("'",RIGHT(L$1,2),IF($B38="chemicals","'!$C$8:$C$88","'!$B$8:$B$88"))),0),MATCH('Other Industrial Processes'!$C38,INDIRECT(CONCATENATE("'",RIGHT(L$1,2),"'!$F$4:$N$4")),0))</f>
        <v>0</v>
      </c>
      <c r="M38" s="25">
        <f ca="1">INDEX(INDIRECT(CONCATENATE("'",RIGHT(M$1,2),"'!$F$8:$N$88")),MATCH($A38,INDIRECT(CONCATENATE("'",RIGHT(M$1,2),IF($B38="chemicals","'!$C$8:$C$88","'!$B$8:$B$88"))),0),MATCH('Other Industrial Processes'!$C38,INDIRECT(CONCATENATE("'",RIGHT(M$1,2),"'!$F$4:$N$4")),0))</f>
        <v>0</v>
      </c>
      <c r="N38" s="301">
        <f t="shared" ref="N38:AR38" ca="1" si="36">IFERROR(IF($M38-$D38&gt;=0,($M38-$D38)/COUNT($E$1:$M$1)+M38,$F102*$E102^N$1),0)</f>
        <v>0</v>
      </c>
      <c r="O38" s="301">
        <f t="shared" ca="1" si="36"/>
        <v>0</v>
      </c>
      <c r="P38" s="301">
        <f t="shared" ca="1" si="36"/>
        <v>0</v>
      </c>
      <c r="Q38" s="301">
        <f t="shared" ca="1" si="36"/>
        <v>0</v>
      </c>
      <c r="R38" s="301">
        <f t="shared" ca="1" si="36"/>
        <v>0</v>
      </c>
      <c r="S38" s="301">
        <f t="shared" ca="1" si="36"/>
        <v>0</v>
      </c>
      <c r="T38" s="301">
        <f t="shared" ca="1" si="36"/>
        <v>0</v>
      </c>
      <c r="U38" s="301">
        <f t="shared" ca="1" si="36"/>
        <v>0</v>
      </c>
      <c r="V38" s="301">
        <f t="shared" ca="1" si="36"/>
        <v>0</v>
      </c>
      <c r="W38" s="301">
        <f t="shared" ca="1" si="36"/>
        <v>0</v>
      </c>
      <c r="X38" s="301">
        <f t="shared" ca="1" si="36"/>
        <v>0</v>
      </c>
      <c r="Y38" s="301">
        <f t="shared" ca="1" si="36"/>
        <v>0</v>
      </c>
      <c r="Z38" s="301">
        <f t="shared" ca="1" si="36"/>
        <v>0</v>
      </c>
      <c r="AA38" s="301">
        <f t="shared" ca="1" si="36"/>
        <v>0</v>
      </c>
      <c r="AB38" s="301">
        <f t="shared" ca="1" si="36"/>
        <v>0</v>
      </c>
      <c r="AC38" s="301">
        <f t="shared" ca="1" si="36"/>
        <v>0</v>
      </c>
      <c r="AD38" s="301">
        <f t="shared" ca="1" si="36"/>
        <v>0</v>
      </c>
      <c r="AE38" s="301">
        <f t="shared" ca="1" si="36"/>
        <v>0</v>
      </c>
      <c r="AF38" s="301">
        <f t="shared" ca="1" si="36"/>
        <v>0</v>
      </c>
      <c r="AG38" s="301">
        <f t="shared" ca="1" si="36"/>
        <v>0</v>
      </c>
      <c r="AH38" s="301">
        <f t="shared" ca="1" si="36"/>
        <v>0</v>
      </c>
      <c r="AI38" s="301">
        <f t="shared" ca="1" si="36"/>
        <v>0</v>
      </c>
      <c r="AJ38" s="301">
        <f t="shared" ca="1" si="36"/>
        <v>0</v>
      </c>
      <c r="AK38" s="301">
        <f t="shared" ca="1" si="36"/>
        <v>0</v>
      </c>
      <c r="AL38" s="301">
        <f t="shared" ca="1" si="36"/>
        <v>0</v>
      </c>
      <c r="AM38" s="301">
        <f t="shared" ca="1" si="36"/>
        <v>0</v>
      </c>
      <c r="AN38" s="301">
        <f t="shared" ca="1" si="36"/>
        <v>0</v>
      </c>
      <c r="AO38" s="301">
        <f t="shared" ca="1" si="36"/>
        <v>0</v>
      </c>
      <c r="AP38" s="301">
        <f t="shared" ca="1" si="36"/>
        <v>0</v>
      </c>
      <c r="AQ38" s="301">
        <f t="shared" ca="1" si="36"/>
        <v>0</v>
      </c>
      <c r="AR38" s="301">
        <f t="shared" ca="1" si="36"/>
        <v>0</v>
      </c>
      <c r="AS38" s="301">
        <f t="shared" ca="1" si="18"/>
        <v>0</v>
      </c>
      <c r="AT38" s="301">
        <f t="shared" ca="1" si="18"/>
        <v>0</v>
      </c>
      <c r="AU38" s="301">
        <f t="shared" ca="1" si="18"/>
        <v>0</v>
      </c>
      <c r="AV38" s="301">
        <f t="shared" ca="1" si="18"/>
        <v>0</v>
      </c>
    </row>
    <row r="39" spans="1:48" x14ac:dyDescent="0.25">
      <c r="A39" s="25" t="s">
        <v>779</v>
      </c>
      <c r="B39" t="s">
        <v>835</v>
      </c>
      <c r="C39" s="25" t="s">
        <v>197</v>
      </c>
      <c r="D39" s="25">
        <f ca="1">INDEX(INDIRECT(CONCATENATE("'",RIGHT(D$1,2),"'!$F$8:$N$88")),MATCH($A39,INDIRECT(CONCATENATE("'",RIGHT(D$1,2),IF($B39="chemicals","'!$C$8:$C$88","'!$B$8:$B$88"))),0),MATCH('Other Industrial Processes'!$C39,INDIRECT(CONCATENATE("'",RIGHT(D$1,2),"'!$F$4:$N$4")),0))</f>
        <v>3.4627751260233199</v>
      </c>
      <c r="E39" s="25">
        <f ca="1">INDEX(INDIRECT(CONCATENATE("'",RIGHT(E$1,2),"'!$F$8:$N$88")),MATCH($A39,INDIRECT(CONCATENATE("'",RIGHT(E$1,2),IF($B39="chemicals","'!$C$8:$C$88","'!$B$8:$B$88"))),0),MATCH('Other Industrial Processes'!$C39,INDIRECT(CONCATENATE("'",RIGHT(E$1,2),"'!$F$4:$N$4")),0))</f>
        <v>3.8499452311317199</v>
      </c>
      <c r="F39" s="25">
        <f ca="1">INDEX(INDIRECT(CONCATENATE("'",RIGHT(F$1,2),"'!$F$8:$N$88")),MATCH($A39,INDIRECT(CONCATENATE("'",RIGHT(F$1,2),IF($B39="chemicals","'!$C$8:$C$88","'!$B$8:$B$88"))),0),MATCH('Other Industrial Processes'!$C39,INDIRECT(CONCATENATE("'",RIGHT(F$1,2),"'!$F$4:$N$4")),0))</f>
        <v>4.3017846924712604</v>
      </c>
      <c r="G39" s="25">
        <f ca="1">INDEX(INDIRECT(CONCATENATE("'",RIGHT(G$1,2),"'!$F$8:$N$88")),MATCH($A39,INDIRECT(CONCATENATE("'",RIGHT(G$1,2),IF($B39="chemicals","'!$C$8:$C$88","'!$B$8:$B$88"))),0),MATCH('Other Industrial Processes'!$C39,INDIRECT(CONCATENATE("'",RIGHT(G$1,2),"'!$F$4:$N$4")),0))</f>
        <v>4.8132896186218304</v>
      </c>
      <c r="H39" s="25">
        <f ca="1">INDEX(INDIRECT(CONCATENATE("'",RIGHT(H$1,2),"'!$F$8:$N$88")),MATCH($A39,INDIRECT(CONCATENATE("'",RIGHT(H$1,2),IF($B39="chemicals","'!$C$8:$C$88","'!$B$8:$B$88"))),0),MATCH('Other Industrial Processes'!$C39,INDIRECT(CONCATENATE("'",RIGHT(H$1,2),"'!$F$4:$N$4")),0))</f>
        <v>7.2834381221483202</v>
      </c>
      <c r="I39" s="25">
        <f ca="1">INDEX(INDIRECT(CONCATENATE("'",RIGHT(I$1,2),"'!$F$8:$N$88")),MATCH($A39,INDIRECT(CONCATENATE("'",RIGHT(I$1,2),IF($B39="chemicals","'!$C$8:$C$88","'!$B$8:$B$88"))),0),MATCH('Other Industrial Processes'!$C39,INDIRECT(CONCATENATE("'",RIGHT(I$1,2),"'!$F$4:$N$4")),0))</f>
        <v>15.026309063362699</v>
      </c>
      <c r="J39" s="25">
        <f ca="1">INDEX(INDIRECT(CONCATENATE("'",RIGHT(J$1,2),"'!$F$8:$N$88")),MATCH($A39,INDIRECT(CONCATENATE("'",RIGHT(J$1,2),IF($B39="chemicals","'!$C$8:$C$88","'!$B$8:$B$88"))),0),MATCH('Other Industrial Processes'!$C39,INDIRECT(CONCATENATE("'",RIGHT(J$1,2),"'!$F$4:$N$4")),0))</f>
        <v>36.396441500992097</v>
      </c>
      <c r="K39" s="25">
        <f ca="1">INDEX(INDIRECT(CONCATENATE("'",RIGHT(K$1,2),"'!$F$8:$N$88")),MATCH($A39,INDIRECT(CONCATENATE("'",RIGHT(K$1,2),IF($B39="chemicals","'!$C$8:$C$88","'!$B$8:$B$88"))),0),MATCH('Other Industrial Processes'!$C39,INDIRECT(CONCATENATE("'",RIGHT(K$1,2),"'!$F$4:$N$4")),0))</f>
        <v>19.409455915912101</v>
      </c>
      <c r="L39" s="25">
        <f ca="1">INDEX(INDIRECT(CONCATENATE("'",RIGHT(L$1,2),"'!$F$8:$N$88")),MATCH($A39,INDIRECT(CONCATENATE("'",RIGHT(L$1,2),IF($B39="chemicals","'!$C$8:$C$88","'!$B$8:$B$88"))),0),MATCH('Other Industrial Processes'!$C39,INDIRECT(CONCATENATE("'",RIGHT(L$1,2),"'!$F$4:$N$4")),0))</f>
        <v>11.944067686838499</v>
      </c>
      <c r="M39" s="25">
        <f ca="1">INDEX(INDIRECT(CONCATENATE("'",RIGHT(M$1,2),"'!$F$8:$N$88")),MATCH($A39,INDIRECT(CONCATENATE("'",RIGHT(M$1,2),IF($B39="chemicals","'!$C$8:$C$88","'!$B$8:$B$88"))),0),MATCH('Other Industrial Processes'!$C39,INDIRECT(CONCATENATE("'",RIGHT(M$1,2),"'!$F$4:$N$4")),0))</f>
        <v>10.7026151524695</v>
      </c>
      <c r="N39" s="301">
        <f t="shared" ref="N39:AR39" ca="1" si="37">IFERROR(IF($M39-$D39&gt;=0,($M39-$D39)/COUNT($E$1:$M$1)+M39,$F103*$E103^N$1),0)</f>
        <v>11.507041822074632</v>
      </c>
      <c r="O39" s="301">
        <f t="shared" ca="1" si="37"/>
        <v>12.311468491679763</v>
      </c>
      <c r="P39" s="301">
        <f t="shared" ca="1" si="37"/>
        <v>13.115895161284895</v>
      </c>
      <c r="Q39" s="301">
        <f t="shared" ca="1" si="37"/>
        <v>13.920321830890027</v>
      </c>
      <c r="R39" s="301">
        <f t="shared" ca="1" si="37"/>
        <v>14.724748500495158</v>
      </c>
      <c r="S39" s="301">
        <f t="shared" ca="1" si="37"/>
        <v>15.52917517010029</v>
      </c>
      <c r="T39" s="301">
        <f t="shared" ca="1" si="37"/>
        <v>16.33360183970542</v>
      </c>
      <c r="U39" s="301">
        <f t="shared" ca="1" si="37"/>
        <v>17.138028509310551</v>
      </c>
      <c r="V39" s="301">
        <f t="shared" ca="1" si="37"/>
        <v>17.942455178915683</v>
      </c>
      <c r="W39" s="301">
        <f t="shared" ca="1" si="37"/>
        <v>18.746881848520815</v>
      </c>
      <c r="X39" s="301">
        <f t="shared" ca="1" si="37"/>
        <v>19.551308518125946</v>
      </c>
      <c r="Y39" s="301">
        <f t="shared" ca="1" si="37"/>
        <v>20.355735187731078</v>
      </c>
      <c r="Z39" s="301">
        <f t="shared" ca="1" si="37"/>
        <v>21.16016185733621</v>
      </c>
      <c r="AA39" s="301">
        <f t="shared" ca="1" si="37"/>
        <v>21.964588526941341</v>
      </c>
      <c r="AB39" s="301">
        <f t="shared" ca="1" si="37"/>
        <v>22.769015196546473</v>
      </c>
      <c r="AC39" s="301">
        <f t="shared" ca="1" si="37"/>
        <v>23.573441866151605</v>
      </c>
      <c r="AD39" s="301">
        <f t="shared" ca="1" si="37"/>
        <v>24.377868535756736</v>
      </c>
      <c r="AE39" s="301">
        <f t="shared" ca="1" si="37"/>
        <v>25.182295205361868</v>
      </c>
      <c r="AF39" s="301">
        <f t="shared" ca="1" si="37"/>
        <v>25.986721874966999</v>
      </c>
      <c r="AG39" s="301">
        <f t="shared" ca="1" si="37"/>
        <v>26.791148544572131</v>
      </c>
      <c r="AH39" s="301">
        <f t="shared" ca="1" si="37"/>
        <v>27.595575214177263</v>
      </c>
      <c r="AI39" s="301">
        <f t="shared" ca="1" si="37"/>
        <v>28.400001883782394</v>
      </c>
      <c r="AJ39" s="301">
        <f t="shared" ca="1" si="37"/>
        <v>29.204428553387526</v>
      </c>
      <c r="AK39" s="301">
        <f t="shared" ca="1" si="37"/>
        <v>30.008855222992658</v>
      </c>
      <c r="AL39" s="301">
        <f t="shared" ca="1" si="37"/>
        <v>30.813281892597789</v>
      </c>
      <c r="AM39" s="301">
        <f t="shared" ca="1" si="37"/>
        <v>31.617708562202921</v>
      </c>
      <c r="AN39" s="301">
        <f t="shared" ca="1" si="37"/>
        <v>32.422135231808049</v>
      </c>
      <c r="AO39" s="301">
        <f t="shared" ca="1" si="37"/>
        <v>33.226561901413177</v>
      </c>
      <c r="AP39" s="301">
        <f t="shared" ca="1" si="37"/>
        <v>34.030988571018305</v>
      </c>
      <c r="AQ39" s="301">
        <f t="shared" ca="1" si="37"/>
        <v>34.835415240623433</v>
      </c>
      <c r="AR39" s="301">
        <f t="shared" ca="1" si="37"/>
        <v>35.639841910228562</v>
      </c>
      <c r="AS39" s="301">
        <f t="shared" ca="1" si="18"/>
        <v>36.44426857983369</v>
      </c>
      <c r="AT39" s="301">
        <f t="shared" ca="1" si="18"/>
        <v>37.248695249438818</v>
      </c>
      <c r="AU39" s="301">
        <f t="shared" ca="1" si="18"/>
        <v>38.053121919043946</v>
      </c>
      <c r="AV39" s="301">
        <f t="shared" ca="1" si="18"/>
        <v>38.857548588649074</v>
      </c>
    </row>
    <row r="40" spans="1:48" x14ac:dyDescent="0.25">
      <c r="A40" s="25" t="s">
        <v>193</v>
      </c>
      <c r="B40" t="s">
        <v>26</v>
      </c>
      <c r="C40" s="25" t="s">
        <v>197</v>
      </c>
      <c r="D40" s="25">
        <f ca="1">INDEX(INDIRECT(CONCATENATE("'",RIGHT(D$1,2),"'!$F$8:$N$88")),MATCH($A40,INDIRECT(CONCATENATE("'",RIGHT(D$1,2),IF($B40="chemicals","'!$C$8:$C$88","'!$B$8:$B$88"))),0),MATCH('Other Industrial Processes'!$C40,INDIRECT(CONCATENATE("'",RIGHT(D$1,2),"'!$F$4:$N$4")),0))</f>
        <v>0</v>
      </c>
      <c r="E40" s="25">
        <f ca="1">INDEX(INDIRECT(CONCATENATE("'",RIGHT(E$1,2),"'!$F$8:$N$88")),MATCH($A40,INDIRECT(CONCATENATE("'",RIGHT(E$1,2),IF($B40="chemicals","'!$C$8:$C$88","'!$B$8:$B$88"))),0),MATCH('Other Industrial Processes'!$C40,INDIRECT(CONCATENATE("'",RIGHT(E$1,2),"'!$F$4:$N$4")),0))</f>
        <v>0</v>
      </c>
      <c r="F40" s="25">
        <f ca="1">INDEX(INDIRECT(CONCATENATE("'",RIGHT(F$1,2),"'!$F$8:$N$88")),MATCH($A40,INDIRECT(CONCATENATE("'",RIGHT(F$1,2),IF($B40="chemicals","'!$C$8:$C$88","'!$B$8:$B$88"))),0),MATCH('Other Industrial Processes'!$C40,INDIRECT(CONCATENATE("'",RIGHT(F$1,2),"'!$F$4:$N$4")),0))</f>
        <v>0</v>
      </c>
      <c r="G40" s="25">
        <f ca="1">INDEX(INDIRECT(CONCATENATE("'",RIGHT(G$1,2),"'!$F$8:$N$88")),MATCH($A40,INDIRECT(CONCATENATE("'",RIGHT(G$1,2),IF($B40="chemicals","'!$C$8:$C$88","'!$B$8:$B$88"))),0),MATCH('Other Industrial Processes'!$C40,INDIRECT(CONCATENATE("'",RIGHT(G$1,2),"'!$F$4:$N$4")),0))</f>
        <v>0</v>
      </c>
      <c r="H40" s="25">
        <f ca="1">INDEX(INDIRECT(CONCATENATE("'",RIGHT(H$1,2),"'!$F$8:$N$88")),MATCH($A40,INDIRECT(CONCATENATE("'",RIGHT(H$1,2),IF($B40="chemicals","'!$C$8:$C$88","'!$B$8:$B$88"))),0),MATCH('Other Industrial Processes'!$C40,INDIRECT(CONCATENATE("'",RIGHT(H$1,2),"'!$F$4:$N$4")),0))</f>
        <v>0</v>
      </c>
      <c r="I40" s="25">
        <f ca="1">INDEX(INDIRECT(CONCATENATE("'",RIGHT(I$1,2),"'!$F$8:$N$88")),MATCH($A40,INDIRECT(CONCATENATE("'",RIGHT(I$1,2),IF($B40="chemicals","'!$C$8:$C$88","'!$B$8:$B$88"))),0),MATCH('Other Industrial Processes'!$C40,INDIRECT(CONCATENATE("'",RIGHT(I$1,2),"'!$F$4:$N$4")),0))</f>
        <v>0</v>
      </c>
      <c r="J40" s="25">
        <f ca="1">INDEX(INDIRECT(CONCATENATE("'",RIGHT(J$1,2),"'!$F$8:$N$88")),MATCH($A40,INDIRECT(CONCATENATE("'",RIGHT(J$1,2),IF($B40="chemicals","'!$C$8:$C$88","'!$B$8:$B$88"))),0),MATCH('Other Industrial Processes'!$C40,INDIRECT(CONCATENATE("'",RIGHT(J$1,2),"'!$F$4:$N$4")),0))</f>
        <v>0</v>
      </c>
      <c r="K40" s="25">
        <f ca="1">INDEX(INDIRECT(CONCATENATE("'",RIGHT(K$1,2),"'!$F$8:$N$88")),MATCH($A40,INDIRECT(CONCATENATE("'",RIGHT(K$1,2),IF($B40="chemicals","'!$C$8:$C$88","'!$B$8:$B$88"))),0),MATCH('Other Industrial Processes'!$C40,INDIRECT(CONCATENATE("'",RIGHT(K$1,2),"'!$F$4:$N$4")),0))</f>
        <v>0</v>
      </c>
      <c r="L40" s="25">
        <f ca="1">INDEX(INDIRECT(CONCATENATE("'",RIGHT(L$1,2),"'!$F$8:$N$88")),MATCH($A40,INDIRECT(CONCATENATE("'",RIGHT(L$1,2),IF($B40="chemicals","'!$C$8:$C$88","'!$B$8:$B$88"))),0),MATCH('Other Industrial Processes'!$C40,INDIRECT(CONCATENATE("'",RIGHT(L$1,2),"'!$F$4:$N$4")),0))</f>
        <v>0</v>
      </c>
      <c r="M40" s="25">
        <f ca="1">INDEX(INDIRECT(CONCATENATE("'",RIGHT(M$1,2),"'!$F$8:$N$88")),MATCH($A40,INDIRECT(CONCATENATE("'",RIGHT(M$1,2),IF($B40="chemicals","'!$C$8:$C$88","'!$B$8:$B$88"))),0),MATCH('Other Industrial Processes'!$C40,INDIRECT(CONCATENATE("'",RIGHT(M$1,2),"'!$F$4:$N$4")),0))</f>
        <v>0</v>
      </c>
      <c r="N40" s="301">
        <f t="shared" ref="N40:AR40" ca="1" si="38">IFERROR(IF($M40-$D40&gt;=0,($M40-$D40)/COUNT($E$1:$M$1)+M40,$F104*$E104^N$1),0)</f>
        <v>0</v>
      </c>
      <c r="O40" s="301">
        <f t="shared" ca="1" si="38"/>
        <v>0</v>
      </c>
      <c r="P40" s="301">
        <f t="shared" ca="1" si="38"/>
        <v>0</v>
      </c>
      <c r="Q40" s="301">
        <f t="shared" ca="1" si="38"/>
        <v>0</v>
      </c>
      <c r="R40" s="301">
        <f t="shared" ca="1" si="38"/>
        <v>0</v>
      </c>
      <c r="S40" s="301">
        <f t="shared" ca="1" si="38"/>
        <v>0</v>
      </c>
      <c r="T40" s="301">
        <f t="shared" ca="1" si="38"/>
        <v>0</v>
      </c>
      <c r="U40" s="301">
        <f t="shared" ca="1" si="38"/>
        <v>0</v>
      </c>
      <c r="V40" s="301">
        <f t="shared" ca="1" si="38"/>
        <v>0</v>
      </c>
      <c r="W40" s="301">
        <f t="shared" ca="1" si="38"/>
        <v>0</v>
      </c>
      <c r="X40" s="301">
        <f t="shared" ca="1" si="38"/>
        <v>0</v>
      </c>
      <c r="Y40" s="301">
        <f t="shared" ca="1" si="38"/>
        <v>0</v>
      </c>
      <c r="Z40" s="301">
        <f t="shared" ca="1" si="38"/>
        <v>0</v>
      </c>
      <c r="AA40" s="301">
        <f t="shared" ca="1" si="38"/>
        <v>0</v>
      </c>
      <c r="AB40" s="301">
        <f t="shared" ca="1" si="38"/>
        <v>0</v>
      </c>
      <c r="AC40" s="301">
        <f t="shared" ca="1" si="38"/>
        <v>0</v>
      </c>
      <c r="AD40" s="301">
        <f t="shared" ca="1" si="38"/>
        <v>0</v>
      </c>
      <c r="AE40" s="301">
        <f t="shared" ca="1" si="38"/>
        <v>0</v>
      </c>
      <c r="AF40" s="301">
        <f t="shared" ca="1" si="38"/>
        <v>0</v>
      </c>
      <c r="AG40" s="301">
        <f t="shared" ca="1" si="38"/>
        <v>0</v>
      </c>
      <c r="AH40" s="301">
        <f t="shared" ca="1" si="38"/>
        <v>0</v>
      </c>
      <c r="AI40" s="301">
        <f t="shared" ca="1" si="38"/>
        <v>0</v>
      </c>
      <c r="AJ40" s="301">
        <f t="shared" ca="1" si="38"/>
        <v>0</v>
      </c>
      <c r="AK40" s="301">
        <f t="shared" ca="1" si="38"/>
        <v>0</v>
      </c>
      <c r="AL40" s="301">
        <f t="shared" ca="1" si="38"/>
        <v>0</v>
      </c>
      <c r="AM40" s="301">
        <f t="shared" ca="1" si="38"/>
        <v>0</v>
      </c>
      <c r="AN40" s="301">
        <f t="shared" ca="1" si="38"/>
        <v>0</v>
      </c>
      <c r="AO40" s="301">
        <f t="shared" ca="1" si="38"/>
        <v>0</v>
      </c>
      <c r="AP40" s="301">
        <f t="shared" ca="1" si="38"/>
        <v>0</v>
      </c>
      <c r="AQ40" s="301">
        <f t="shared" ca="1" si="38"/>
        <v>0</v>
      </c>
      <c r="AR40" s="301">
        <f t="shared" ca="1" si="38"/>
        <v>0</v>
      </c>
      <c r="AS40" s="301">
        <f t="shared" ref="AS40:AV55" ca="1" si="39">IFERROR(IF($M40-$D40&gt;=0,($M40-$D40)/COUNT($E$1:$M$1)+AR40,$F104*$E104^AS$1),0)</f>
        <v>0</v>
      </c>
      <c r="AT40" s="301">
        <f t="shared" ca="1" si="39"/>
        <v>0</v>
      </c>
      <c r="AU40" s="301">
        <f t="shared" ca="1" si="39"/>
        <v>0</v>
      </c>
      <c r="AV40" s="301">
        <f t="shared" ca="1" si="39"/>
        <v>0</v>
      </c>
    </row>
    <row r="41" spans="1:48" x14ac:dyDescent="0.25">
      <c r="A41" s="25" t="s">
        <v>784</v>
      </c>
      <c r="B41" t="s">
        <v>26</v>
      </c>
      <c r="C41" s="25" t="s">
        <v>197</v>
      </c>
      <c r="D41" s="25">
        <f ca="1">INDEX(INDIRECT(CONCATENATE("'",RIGHT(D$1,2),"'!$F$8:$N$88")),MATCH($A41,INDIRECT(CONCATENATE("'",RIGHT(D$1,2),IF($B41="chemicals","'!$C$8:$C$88","'!$B$8:$B$88"))),0),MATCH('Other Industrial Processes'!$C41,INDIRECT(CONCATENATE("'",RIGHT(D$1,2),"'!$F$4:$N$4")),0))</f>
        <v>0</v>
      </c>
      <c r="E41" s="25">
        <f ca="1">INDEX(INDIRECT(CONCATENATE("'",RIGHT(E$1,2),"'!$F$8:$N$88")),MATCH($A41,INDIRECT(CONCATENATE("'",RIGHT(E$1,2),IF($B41="chemicals","'!$C$8:$C$88","'!$B$8:$B$88"))),0),MATCH('Other Industrial Processes'!$C41,INDIRECT(CONCATENATE("'",RIGHT(E$1,2),"'!$F$4:$N$4")),0))</f>
        <v>0</v>
      </c>
      <c r="F41" s="25">
        <f ca="1">INDEX(INDIRECT(CONCATENATE("'",RIGHT(F$1,2),"'!$F$8:$N$88")),MATCH($A41,INDIRECT(CONCATENATE("'",RIGHT(F$1,2),IF($B41="chemicals","'!$C$8:$C$88","'!$B$8:$B$88"))),0),MATCH('Other Industrial Processes'!$C41,INDIRECT(CONCATENATE("'",RIGHT(F$1,2),"'!$F$4:$N$4")),0))</f>
        <v>0</v>
      </c>
      <c r="G41" s="25">
        <f ca="1">INDEX(INDIRECT(CONCATENATE("'",RIGHT(G$1,2),"'!$F$8:$N$88")),MATCH($A41,INDIRECT(CONCATENATE("'",RIGHT(G$1,2),IF($B41="chemicals","'!$C$8:$C$88","'!$B$8:$B$88"))),0),MATCH('Other Industrial Processes'!$C41,INDIRECT(CONCATENATE("'",RIGHT(G$1,2),"'!$F$4:$N$4")),0))</f>
        <v>0</v>
      </c>
      <c r="H41" s="25">
        <f ca="1">INDEX(INDIRECT(CONCATENATE("'",RIGHT(H$1,2),"'!$F$8:$N$88")),MATCH($A41,INDIRECT(CONCATENATE("'",RIGHT(H$1,2),IF($B41="chemicals","'!$C$8:$C$88","'!$B$8:$B$88"))),0),MATCH('Other Industrial Processes'!$C41,INDIRECT(CONCATENATE("'",RIGHT(H$1,2),"'!$F$4:$N$4")),0))</f>
        <v>0</v>
      </c>
      <c r="I41" s="25">
        <f ca="1">INDEX(INDIRECT(CONCATENATE("'",RIGHT(I$1,2),"'!$F$8:$N$88")),MATCH($A41,INDIRECT(CONCATENATE("'",RIGHT(I$1,2),IF($B41="chemicals","'!$C$8:$C$88","'!$B$8:$B$88"))),0),MATCH('Other Industrial Processes'!$C41,INDIRECT(CONCATENATE("'",RIGHT(I$1,2),"'!$F$4:$N$4")),0))</f>
        <v>0</v>
      </c>
      <c r="J41" s="25">
        <f ca="1">INDEX(INDIRECT(CONCATENATE("'",RIGHT(J$1,2),"'!$F$8:$N$88")),MATCH($A41,INDIRECT(CONCATENATE("'",RIGHT(J$1,2),IF($B41="chemicals","'!$C$8:$C$88","'!$B$8:$B$88"))),0),MATCH('Other Industrial Processes'!$C41,INDIRECT(CONCATENATE("'",RIGHT(J$1,2),"'!$F$4:$N$4")),0))</f>
        <v>0</v>
      </c>
      <c r="K41" s="25">
        <f ca="1">INDEX(INDIRECT(CONCATENATE("'",RIGHT(K$1,2),"'!$F$8:$N$88")),MATCH($A41,INDIRECT(CONCATENATE("'",RIGHT(K$1,2),IF($B41="chemicals","'!$C$8:$C$88","'!$B$8:$B$88"))),0),MATCH('Other Industrial Processes'!$C41,INDIRECT(CONCATENATE("'",RIGHT(K$1,2),"'!$F$4:$N$4")),0))</f>
        <v>0</v>
      </c>
      <c r="L41" s="25">
        <f ca="1">INDEX(INDIRECT(CONCATENATE("'",RIGHT(L$1,2),"'!$F$8:$N$88")),MATCH($A41,INDIRECT(CONCATENATE("'",RIGHT(L$1,2),IF($B41="chemicals","'!$C$8:$C$88","'!$B$8:$B$88"))),0),MATCH('Other Industrial Processes'!$C41,INDIRECT(CONCATENATE("'",RIGHT(L$1,2),"'!$F$4:$N$4")),0))</f>
        <v>0</v>
      </c>
      <c r="M41" s="25">
        <f ca="1">INDEX(INDIRECT(CONCATENATE("'",RIGHT(M$1,2),"'!$F$8:$N$88")),MATCH($A41,INDIRECT(CONCATENATE("'",RIGHT(M$1,2),IF($B41="chemicals","'!$C$8:$C$88","'!$B$8:$B$88"))),0),MATCH('Other Industrial Processes'!$C41,INDIRECT(CONCATENATE("'",RIGHT(M$1,2),"'!$F$4:$N$4")),0))</f>
        <v>0</v>
      </c>
      <c r="N41" s="301">
        <f t="shared" ref="N41:AR41" ca="1" si="40">IFERROR(IF($M41-$D41&gt;=0,($M41-$D41)/COUNT($E$1:$M$1)+M41,$F105*$E105^N$1),0)</f>
        <v>0</v>
      </c>
      <c r="O41" s="301">
        <f t="shared" ca="1" si="40"/>
        <v>0</v>
      </c>
      <c r="P41" s="301">
        <f t="shared" ca="1" si="40"/>
        <v>0</v>
      </c>
      <c r="Q41" s="301">
        <f t="shared" ca="1" si="40"/>
        <v>0</v>
      </c>
      <c r="R41" s="301">
        <f t="shared" ca="1" si="40"/>
        <v>0</v>
      </c>
      <c r="S41" s="301">
        <f t="shared" ca="1" si="40"/>
        <v>0</v>
      </c>
      <c r="T41" s="301">
        <f t="shared" ca="1" si="40"/>
        <v>0</v>
      </c>
      <c r="U41" s="301">
        <f t="shared" ca="1" si="40"/>
        <v>0</v>
      </c>
      <c r="V41" s="301">
        <f t="shared" ca="1" si="40"/>
        <v>0</v>
      </c>
      <c r="W41" s="301">
        <f t="shared" ca="1" si="40"/>
        <v>0</v>
      </c>
      <c r="X41" s="301">
        <f t="shared" ca="1" si="40"/>
        <v>0</v>
      </c>
      <c r="Y41" s="301">
        <f t="shared" ca="1" si="40"/>
        <v>0</v>
      </c>
      <c r="Z41" s="301">
        <f t="shared" ca="1" si="40"/>
        <v>0</v>
      </c>
      <c r="AA41" s="301">
        <f t="shared" ca="1" si="40"/>
        <v>0</v>
      </c>
      <c r="AB41" s="301">
        <f t="shared" ca="1" si="40"/>
        <v>0</v>
      </c>
      <c r="AC41" s="301">
        <f t="shared" ca="1" si="40"/>
        <v>0</v>
      </c>
      <c r="AD41" s="301">
        <f t="shared" ca="1" si="40"/>
        <v>0</v>
      </c>
      <c r="AE41" s="301">
        <f t="shared" ca="1" si="40"/>
        <v>0</v>
      </c>
      <c r="AF41" s="301">
        <f t="shared" ca="1" si="40"/>
        <v>0</v>
      </c>
      <c r="AG41" s="301">
        <f t="shared" ca="1" si="40"/>
        <v>0</v>
      </c>
      <c r="AH41" s="301">
        <f t="shared" ca="1" si="40"/>
        <v>0</v>
      </c>
      <c r="AI41" s="301">
        <f t="shared" ca="1" si="40"/>
        <v>0</v>
      </c>
      <c r="AJ41" s="301">
        <f t="shared" ca="1" si="40"/>
        <v>0</v>
      </c>
      <c r="AK41" s="301">
        <f t="shared" ca="1" si="40"/>
        <v>0</v>
      </c>
      <c r="AL41" s="301">
        <f t="shared" ca="1" si="40"/>
        <v>0</v>
      </c>
      <c r="AM41" s="301">
        <f t="shared" ca="1" si="40"/>
        <v>0</v>
      </c>
      <c r="AN41" s="301">
        <f t="shared" ca="1" si="40"/>
        <v>0</v>
      </c>
      <c r="AO41" s="301">
        <f t="shared" ca="1" si="40"/>
        <v>0</v>
      </c>
      <c r="AP41" s="301">
        <f t="shared" ca="1" si="40"/>
        <v>0</v>
      </c>
      <c r="AQ41" s="301">
        <f t="shared" ca="1" si="40"/>
        <v>0</v>
      </c>
      <c r="AR41" s="301">
        <f t="shared" ca="1" si="40"/>
        <v>0</v>
      </c>
      <c r="AS41" s="301">
        <f t="shared" ca="1" si="39"/>
        <v>0</v>
      </c>
      <c r="AT41" s="301">
        <f t="shared" ca="1" si="39"/>
        <v>0</v>
      </c>
      <c r="AU41" s="301">
        <f t="shared" ca="1" si="39"/>
        <v>0</v>
      </c>
      <c r="AV41" s="301">
        <f t="shared" ca="1" si="39"/>
        <v>0</v>
      </c>
    </row>
    <row r="42" spans="1:48" x14ac:dyDescent="0.25">
      <c r="A42" s="25" t="s">
        <v>192</v>
      </c>
      <c r="B42" t="s">
        <v>4</v>
      </c>
      <c r="C42" s="25" t="s">
        <v>198</v>
      </c>
      <c r="D42" s="25">
        <f ca="1">INDEX(INDIRECT(CONCATENATE("'",RIGHT(D$1,2),"'!$F$8:$N$88")),MATCH($A42,INDIRECT(CONCATENATE("'",RIGHT(D$1,2),IF($B42="chemicals","'!$C$8:$C$88","'!$B$8:$B$88"))),0),MATCH('Other Industrial Processes'!$C42,INDIRECT(CONCATENATE("'",RIGHT(D$1,2),"'!$F$4:$N$4")),0))</f>
        <v>0</v>
      </c>
      <c r="E42" s="25">
        <f ca="1">INDEX(INDIRECT(CONCATENATE("'",RIGHT(E$1,2),"'!$F$8:$N$88")),MATCH($A42,INDIRECT(CONCATENATE("'",RIGHT(E$1,2),IF($B42="chemicals","'!$C$8:$C$88","'!$B$8:$B$88"))),0),MATCH('Other Industrial Processes'!$C42,INDIRECT(CONCATENATE("'",RIGHT(E$1,2),"'!$F$4:$N$4")),0))</f>
        <v>0</v>
      </c>
      <c r="F42" s="25">
        <f ca="1">INDEX(INDIRECT(CONCATENATE("'",RIGHT(F$1,2),"'!$F$8:$N$88")),MATCH($A42,INDIRECT(CONCATENATE("'",RIGHT(F$1,2),IF($B42="chemicals","'!$C$8:$C$88","'!$B$8:$B$88"))),0),MATCH('Other Industrial Processes'!$C42,INDIRECT(CONCATENATE("'",RIGHT(F$1,2),"'!$F$4:$N$4")),0))</f>
        <v>0</v>
      </c>
      <c r="G42" s="25">
        <f ca="1">INDEX(INDIRECT(CONCATENATE("'",RIGHT(G$1,2),"'!$F$8:$N$88")),MATCH($A42,INDIRECT(CONCATENATE("'",RIGHT(G$1,2),IF($B42="chemicals","'!$C$8:$C$88","'!$B$8:$B$88"))),0),MATCH('Other Industrial Processes'!$C42,INDIRECT(CONCATENATE("'",RIGHT(G$1,2),"'!$F$4:$N$4")),0))</f>
        <v>0</v>
      </c>
      <c r="H42" s="25">
        <f ca="1">INDEX(INDIRECT(CONCATENATE("'",RIGHT(H$1,2),"'!$F$8:$N$88")),MATCH($A42,INDIRECT(CONCATENATE("'",RIGHT(H$1,2),IF($B42="chemicals","'!$C$8:$C$88","'!$B$8:$B$88"))),0),MATCH('Other Industrial Processes'!$C42,INDIRECT(CONCATENATE("'",RIGHT(H$1,2),"'!$F$4:$N$4")),0))</f>
        <v>0</v>
      </c>
      <c r="I42" s="25">
        <f ca="1">INDEX(INDIRECT(CONCATENATE("'",RIGHT(I$1,2),"'!$F$8:$N$88")),MATCH($A42,INDIRECT(CONCATENATE("'",RIGHT(I$1,2),IF($B42="chemicals","'!$C$8:$C$88","'!$B$8:$B$88"))),0),MATCH('Other Industrial Processes'!$C42,INDIRECT(CONCATENATE("'",RIGHT(I$1,2),"'!$F$4:$N$4")),0))</f>
        <v>0</v>
      </c>
      <c r="J42" s="25">
        <f ca="1">INDEX(INDIRECT(CONCATENATE("'",RIGHT(J$1,2),"'!$F$8:$N$88")),MATCH($A42,INDIRECT(CONCATENATE("'",RIGHT(J$1,2),IF($B42="chemicals","'!$C$8:$C$88","'!$B$8:$B$88"))),0),MATCH('Other Industrial Processes'!$C42,INDIRECT(CONCATENATE("'",RIGHT(J$1,2),"'!$F$4:$N$4")),0))</f>
        <v>0</v>
      </c>
      <c r="K42" s="25">
        <f ca="1">INDEX(INDIRECT(CONCATENATE("'",RIGHT(K$1,2),"'!$F$8:$N$88")),MATCH($A42,INDIRECT(CONCATENATE("'",RIGHT(K$1,2),IF($B42="chemicals","'!$C$8:$C$88","'!$B$8:$B$88"))),0),MATCH('Other Industrial Processes'!$C42,INDIRECT(CONCATENATE("'",RIGHT(K$1,2),"'!$F$4:$N$4")),0))</f>
        <v>0</v>
      </c>
      <c r="L42" s="25">
        <f ca="1">INDEX(INDIRECT(CONCATENATE("'",RIGHT(L$1,2),"'!$F$8:$N$88")),MATCH($A42,INDIRECT(CONCATENATE("'",RIGHT(L$1,2),IF($B42="chemicals","'!$C$8:$C$88","'!$B$8:$B$88"))),0),MATCH('Other Industrial Processes'!$C42,INDIRECT(CONCATENATE("'",RIGHT(L$1,2),"'!$F$4:$N$4")),0))</f>
        <v>0</v>
      </c>
      <c r="M42" s="25">
        <f ca="1">INDEX(INDIRECT(CONCATENATE("'",RIGHT(M$1,2),"'!$F$8:$N$88")),MATCH($A42,INDIRECT(CONCATENATE("'",RIGHT(M$1,2),IF($B42="chemicals","'!$C$8:$C$88","'!$B$8:$B$88"))),0),MATCH('Other Industrial Processes'!$C42,INDIRECT(CONCATENATE("'",RIGHT(M$1,2),"'!$F$4:$N$4")),0))</f>
        <v>0</v>
      </c>
      <c r="N42" s="301">
        <f t="shared" ref="N42:AR42" ca="1" si="41">IFERROR(IF($M42-$D42&gt;=0,($M42-$D42)/COUNT($E$1:$M$1)+M42,$F106*$E106^N$1),0)</f>
        <v>0</v>
      </c>
      <c r="O42" s="301">
        <f t="shared" ca="1" si="41"/>
        <v>0</v>
      </c>
      <c r="P42" s="301">
        <f t="shared" ca="1" si="41"/>
        <v>0</v>
      </c>
      <c r="Q42" s="301">
        <f t="shared" ca="1" si="41"/>
        <v>0</v>
      </c>
      <c r="R42" s="301">
        <f t="shared" ca="1" si="41"/>
        <v>0</v>
      </c>
      <c r="S42" s="301">
        <f t="shared" ca="1" si="41"/>
        <v>0</v>
      </c>
      <c r="T42" s="301">
        <f t="shared" ca="1" si="41"/>
        <v>0</v>
      </c>
      <c r="U42" s="301">
        <f t="shared" ca="1" si="41"/>
        <v>0</v>
      </c>
      <c r="V42" s="301">
        <f t="shared" ca="1" si="41"/>
        <v>0</v>
      </c>
      <c r="W42" s="301">
        <f t="shared" ca="1" si="41"/>
        <v>0</v>
      </c>
      <c r="X42" s="301">
        <f t="shared" ca="1" si="41"/>
        <v>0</v>
      </c>
      <c r="Y42" s="301">
        <f t="shared" ca="1" si="41"/>
        <v>0</v>
      </c>
      <c r="Z42" s="301">
        <f t="shared" ca="1" si="41"/>
        <v>0</v>
      </c>
      <c r="AA42" s="301">
        <f t="shared" ca="1" si="41"/>
        <v>0</v>
      </c>
      <c r="AB42" s="301">
        <f t="shared" ca="1" si="41"/>
        <v>0</v>
      </c>
      <c r="AC42" s="301">
        <f t="shared" ca="1" si="41"/>
        <v>0</v>
      </c>
      <c r="AD42" s="301">
        <f t="shared" ca="1" si="41"/>
        <v>0</v>
      </c>
      <c r="AE42" s="301">
        <f t="shared" ca="1" si="41"/>
        <v>0</v>
      </c>
      <c r="AF42" s="301">
        <f t="shared" ca="1" si="41"/>
        <v>0</v>
      </c>
      <c r="AG42" s="301">
        <f t="shared" ca="1" si="41"/>
        <v>0</v>
      </c>
      <c r="AH42" s="301">
        <f t="shared" ca="1" si="41"/>
        <v>0</v>
      </c>
      <c r="AI42" s="301">
        <f t="shared" ca="1" si="41"/>
        <v>0</v>
      </c>
      <c r="AJ42" s="301">
        <f t="shared" ca="1" si="41"/>
        <v>0</v>
      </c>
      <c r="AK42" s="301">
        <f t="shared" ca="1" si="41"/>
        <v>0</v>
      </c>
      <c r="AL42" s="301">
        <f t="shared" ca="1" si="41"/>
        <v>0</v>
      </c>
      <c r="AM42" s="301">
        <f t="shared" ca="1" si="41"/>
        <v>0</v>
      </c>
      <c r="AN42" s="301">
        <f t="shared" ca="1" si="41"/>
        <v>0</v>
      </c>
      <c r="AO42" s="301">
        <f t="shared" ca="1" si="41"/>
        <v>0</v>
      </c>
      <c r="AP42" s="301">
        <f t="shared" ca="1" si="41"/>
        <v>0</v>
      </c>
      <c r="AQ42" s="301">
        <f t="shared" ca="1" si="41"/>
        <v>0</v>
      </c>
      <c r="AR42" s="301">
        <f t="shared" ca="1" si="41"/>
        <v>0</v>
      </c>
      <c r="AS42" s="301">
        <f t="shared" ca="1" si="39"/>
        <v>0</v>
      </c>
      <c r="AT42" s="301">
        <f t="shared" ca="1" si="39"/>
        <v>0</v>
      </c>
      <c r="AU42" s="301">
        <f t="shared" ca="1" si="39"/>
        <v>0</v>
      </c>
      <c r="AV42" s="301">
        <f t="shared" ca="1" si="39"/>
        <v>0</v>
      </c>
    </row>
    <row r="43" spans="1:48" x14ac:dyDescent="0.25">
      <c r="A43" s="25" t="s">
        <v>190</v>
      </c>
      <c r="B43" t="s">
        <v>4</v>
      </c>
      <c r="C43" s="25" t="s">
        <v>198</v>
      </c>
      <c r="D43" s="25">
        <f ca="1">INDEX(INDIRECT(CONCATENATE("'",RIGHT(D$1,2),"'!$F$8:$N$88")),MATCH($A43,INDIRECT(CONCATENATE("'",RIGHT(D$1,2),IF($B43="chemicals","'!$C$8:$C$88","'!$B$8:$B$88"))),0),MATCH('Other Industrial Processes'!$C43,INDIRECT(CONCATENATE("'",RIGHT(D$1,2),"'!$F$4:$N$4")),0))</f>
        <v>0</v>
      </c>
      <c r="E43" s="25">
        <f ca="1">INDEX(INDIRECT(CONCATENATE("'",RIGHT(E$1,2),"'!$F$8:$N$88")),MATCH($A43,INDIRECT(CONCATENATE("'",RIGHT(E$1,2),IF($B43="chemicals","'!$C$8:$C$88","'!$B$8:$B$88"))),0),MATCH('Other Industrial Processes'!$C43,INDIRECT(CONCATENATE("'",RIGHT(E$1,2),"'!$F$4:$N$4")),0))</f>
        <v>0</v>
      </c>
      <c r="F43" s="25">
        <f ca="1">INDEX(INDIRECT(CONCATENATE("'",RIGHT(F$1,2),"'!$F$8:$N$88")),MATCH($A43,INDIRECT(CONCATENATE("'",RIGHT(F$1,2),IF($B43="chemicals","'!$C$8:$C$88","'!$B$8:$B$88"))),0),MATCH('Other Industrial Processes'!$C43,INDIRECT(CONCATENATE("'",RIGHT(F$1,2),"'!$F$4:$N$4")),0))</f>
        <v>0</v>
      </c>
      <c r="G43" s="25">
        <f ca="1">INDEX(INDIRECT(CONCATENATE("'",RIGHT(G$1,2),"'!$F$8:$N$88")),MATCH($A43,INDIRECT(CONCATENATE("'",RIGHT(G$1,2),IF($B43="chemicals","'!$C$8:$C$88","'!$B$8:$B$88"))),0),MATCH('Other Industrial Processes'!$C43,INDIRECT(CONCATENATE("'",RIGHT(G$1,2),"'!$F$4:$N$4")),0))</f>
        <v>0</v>
      </c>
      <c r="H43" s="25">
        <f ca="1">INDEX(INDIRECT(CONCATENATE("'",RIGHT(H$1,2),"'!$F$8:$N$88")),MATCH($A43,INDIRECT(CONCATENATE("'",RIGHT(H$1,2),IF($B43="chemicals","'!$C$8:$C$88","'!$B$8:$B$88"))),0),MATCH('Other Industrial Processes'!$C43,INDIRECT(CONCATENATE("'",RIGHT(H$1,2),"'!$F$4:$N$4")),0))</f>
        <v>0</v>
      </c>
      <c r="I43" s="25">
        <f ca="1">INDEX(INDIRECT(CONCATENATE("'",RIGHT(I$1,2),"'!$F$8:$N$88")),MATCH($A43,INDIRECT(CONCATENATE("'",RIGHT(I$1,2),IF($B43="chemicals","'!$C$8:$C$88","'!$B$8:$B$88"))),0),MATCH('Other Industrial Processes'!$C43,INDIRECT(CONCATENATE("'",RIGHT(I$1,2),"'!$F$4:$N$4")),0))</f>
        <v>0</v>
      </c>
      <c r="J43" s="25">
        <f ca="1">INDEX(INDIRECT(CONCATENATE("'",RIGHT(J$1,2),"'!$F$8:$N$88")),MATCH($A43,INDIRECT(CONCATENATE("'",RIGHT(J$1,2),IF($B43="chemicals","'!$C$8:$C$88","'!$B$8:$B$88"))),0),MATCH('Other Industrial Processes'!$C43,INDIRECT(CONCATENATE("'",RIGHT(J$1,2),"'!$F$4:$N$4")),0))</f>
        <v>0</v>
      </c>
      <c r="K43" s="25">
        <f ca="1">INDEX(INDIRECT(CONCATENATE("'",RIGHT(K$1,2),"'!$F$8:$N$88")),MATCH($A43,INDIRECT(CONCATENATE("'",RIGHT(K$1,2),IF($B43="chemicals","'!$C$8:$C$88","'!$B$8:$B$88"))),0),MATCH('Other Industrial Processes'!$C43,INDIRECT(CONCATENATE("'",RIGHT(K$1,2),"'!$F$4:$N$4")),0))</f>
        <v>0</v>
      </c>
      <c r="L43" s="25">
        <f ca="1">INDEX(INDIRECT(CONCATENATE("'",RIGHT(L$1,2),"'!$F$8:$N$88")),MATCH($A43,INDIRECT(CONCATENATE("'",RIGHT(L$1,2),IF($B43="chemicals","'!$C$8:$C$88","'!$B$8:$B$88"))),0),MATCH('Other Industrial Processes'!$C43,INDIRECT(CONCATENATE("'",RIGHT(L$1,2),"'!$F$4:$N$4")),0))</f>
        <v>0</v>
      </c>
      <c r="M43" s="25">
        <f ca="1">INDEX(INDIRECT(CONCATENATE("'",RIGHT(M$1,2),"'!$F$8:$N$88")),MATCH($A43,INDIRECT(CONCATENATE("'",RIGHT(M$1,2),IF($B43="chemicals","'!$C$8:$C$88","'!$B$8:$B$88"))),0),MATCH('Other Industrial Processes'!$C43,INDIRECT(CONCATENATE("'",RIGHT(M$1,2),"'!$F$4:$N$4")),0))</f>
        <v>0</v>
      </c>
      <c r="N43" s="301">
        <f t="shared" ref="N43:AR43" ca="1" si="42">IFERROR(IF($M43-$D43&gt;=0,($M43-$D43)/COUNT($E$1:$M$1)+M43,$F107*$E107^N$1),0)</f>
        <v>0</v>
      </c>
      <c r="O43" s="301">
        <f t="shared" ca="1" si="42"/>
        <v>0</v>
      </c>
      <c r="P43" s="301">
        <f t="shared" ca="1" si="42"/>
        <v>0</v>
      </c>
      <c r="Q43" s="301">
        <f t="shared" ca="1" si="42"/>
        <v>0</v>
      </c>
      <c r="R43" s="301">
        <f t="shared" ca="1" si="42"/>
        <v>0</v>
      </c>
      <c r="S43" s="301">
        <f t="shared" ca="1" si="42"/>
        <v>0</v>
      </c>
      <c r="T43" s="301">
        <f t="shared" ca="1" si="42"/>
        <v>0</v>
      </c>
      <c r="U43" s="301">
        <f t="shared" ca="1" si="42"/>
        <v>0</v>
      </c>
      <c r="V43" s="301">
        <f t="shared" ca="1" si="42"/>
        <v>0</v>
      </c>
      <c r="W43" s="301">
        <f t="shared" ca="1" si="42"/>
        <v>0</v>
      </c>
      <c r="X43" s="301">
        <f t="shared" ca="1" si="42"/>
        <v>0</v>
      </c>
      <c r="Y43" s="301">
        <f t="shared" ca="1" si="42"/>
        <v>0</v>
      </c>
      <c r="Z43" s="301">
        <f t="shared" ca="1" si="42"/>
        <v>0</v>
      </c>
      <c r="AA43" s="301">
        <f t="shared" ca="1" si="42"/>
        <v>0</v>
      </c>
      <c r="AB43" s="301">
        <f t="shared" ca="1" si="42"/>
        <v>0</v>
      </c>
      <c r="AC43" s="301">
        <f t="shared" ca="1" si="42"/>
        <v>0</v>
      </c>
      <c r="AD43" s="301">
        <f t="shared" ca="1" si="42"/>
        <v>0</v>
      </c>
      <c r="AE43" s="301">
        <f t="shared" ca="1" si="42"/>
        <v>0</v>
      </c>
      <c r="AF43" s="301">
        <f t="shared" ca="1" si="42"/>
        <v>0</v>
      </c>
      <c r="AG43" s="301">
        <f t="shared" ca="1" si="42"/>
        <v>0</v>
      </c>
      <c r="AH43" s="301">
        <f t="shared" ca="1" si="42"/>
        <v>0</v>
      </c>
      <c r="AI43" s="301">
        <f t="shared" ca="1" si="42"/>
        <v>0</v>
      </c>
      <c r="AJ43" s="301">
        <f t="shared" ca="1" si="42"/>
        <v>0</v>
      </c>
      <c r="AK43" s="301">
        <f t="shared" ca="1" si="42"/>
        <v>0</v>
      </c>
      <c r="AL43" s="301">
        <f t="shared" ca="1" si="42"/>
        <v>0</v>
      </c>
      <c r="AM43" s="301">
        <f t="shared" ca="1" si="42"/>
        <v>0</v>
      </c>
      <c r="AN43" s="301">
        <f t="shared" ca="1" si="42"/>
        <v>0</v>
      </c>
      <c r="AO43" s="301">
        <f t="shared" ca="1" si="42"/>
        <v>0</v>
      </c>
      <c r="AP43" s="301">
        <f t="shared" ca="1" si="42"/>
        <v>0</v>
      </c>
      <c r="AQ43" s="301">
        <f t="shared" ca="1" si="42"/>
        <v>0</v>
      </c>
      <c r="AR43" s="301">
        <f t="shared" ca="1" si="42"/>
        <v>0</v>
      </c>
      <c r="AS43" s="301">
        <f t="shared" ca="1" si="39"/>
        <v>0</v>
      </c>
      <c r="AT43" s="301">
        <f t="shared" ca="1" si="39"/>
        <v>0</v>
      </c>
      <c r="AU43" s="301">
        <f t="shared" ca="1" si="39"/>
        <v>0</v>
      </c>
      <c r="AV43" s="301">
        <f t="shared" ca="1" si="39"/>
        <v>0</v>
      </c>
    </row>
    <row r="44" spans="1:48" s="24" customFormat="1" x14ac:dyDescent="0.25">
      <c r="A44" s="25" t="s">
        <v>770</v>
      </c>
      <c r="B44" t="s">
        <v>4</v>
      </c>
      <c r="C44" s="25" t="s">
        <v>198</v>
      </c>
      <c r="D44" s="25">
        <f ca="1">INDEX(INDIRECT(CONCATENATE("'",RIGHT(D$1,2),"'!$F$8:$N$88")),MATCH($A44,INDIRECT(CONCATENATE("'",RIGHT(D$1,2),IF($B44="chemicals","'!$C$8:$C$88","'!$B$8:$B$88"))),0),MATCH('Other Industrial Processes'!$C44,INDIRECT(CONCATENATE("'",RIGHT(D$1,2),"'!$F$4:$N$4")),0))</f>
        <v>0</v>
      </c>
      <c r="E44" s="25">
        <f ca="1">INDEX(INDIRECT(CONCATENATE("'",RIGHT(E$1,2),"'!$F$8:$N$88")),MATCH($A44,INDIRECT(CONCATENATE("'",RIGHT(E$1,2),IF($B44="chemicals","'!$C$8:$C$88","'!$B$8:$B$88"))),0),MATCH('Other Industrial Processes'!$C44,INDIRECT(CONCATENATE("'",RIGHT(E$1,2),"'!$F$4:$N$4")),0))</f>
        <v>0</v>
      </c>
      <c r="F44" s="25">
        <f ca="1">INDEX(INDIRECT(CONCATENATE("'",RIGHT(F$1,2),"'!$F$8:$N$88")),MATCH($A44,INDIRECT(CONCATENATE("'",RIGHT(F$1,2),IF($B44="chemicals","'!$C$8:$C$88","'!$B$8:$B$88"))),0),MATCH('Other Industrial Processes'!$C44,INDIRECT(CONCATENATE("'",RIGHT(F$1,2),"'!$F$4:$N$4")),0))</f>
        <v>0</v>
      </c>
      <c r="G44" s="25">
        <f ca="1">INDEX(INDIRECT(CONCATENATE("'",RIGHT(G$1,2),"'!$F$8:$N$88")),MATCH($A44,INDIRECT(CONCATENATE("'",RIGHT(G$1,2),IF($B44="chemicals","'!$C$8:$C$88","'!$B$8:$B$88"))),0),MATCH('Other Industrial Processes'!$C44,INDIRECT(CONCATENATE("'",RIGHT(G$1,2),"'!$F$4:$N$4")),0))</f>
        <v>0</v>
      </c>
      <c r="H44" s="25">
        <f ca="1">INDEX(INDIRECT(CONCATENATE("'",RIGHT(H$1,2),"'!$F$8:$N$88")),MATCH($A44,INDIRECT(CONCATENATE("'",RIGHT(H$1,2),IF($B44="chemicals","'!$C$8:$C$88","'!$B$8:$B$88"))),0),MATCH('Other Industrial Processes'!$C44,INDIRECT(CONCATENATE("'",RIGHT(H$1,2),"'!$F$4:$N$4")),0))</f>
        <v>0</v>
      </c>
      <c r="I44" s="25">
        <f ca="1">INDEX(INDIRECT(CONCATENATE("'",RIGHT(I$1,2),"'!$F$8:$N$88")),MATCH($A44,INDIRECT(CONCATENATE("'",RIGHT(I$1,2),IF($B44="chemicals","'!$C$8:$C$88","'!$B$8:$B$88"))),0),MATCH('Other Industrial Processes'!$C44,INDIRECT(CONCATENATE("'",RIGHT(I$1,2),"'!$F$4:$N$4")),0))</f>
        <v>0</v>
      </c>
      <c r="J44" s="25">
        <f ca="1">INDEX(INDIRECT(CONCATENATE("'",RIGHT(J$1,2),"'!$F$8:$N$88")),MATCH($A44,INDIRECT(CONCATENATE("'",RIGHT(J$1,2),IF($B44="chemicals","'!$C$8:$C$88","'!$B$8:$B$88"))),0),MATCH('Other Industrial Processes'!$C44,INDIRECT(CONCATENATE("'",RIGHT(J$1,2),"'!$F$4:$N$4")),0))</f>
        <v>0</v>
      </c>
      <c r="K44" s="25">
        <f ca="1">INDEX(INDIRECT(CONCATENATE("'",RIGHT(K$1,2),"'!$F$8:$N$88")),MATCH($A44,INDIRECT(CONCATENATE("'",RIGHT(K$1,2),IF($B44="chemicals","'!$C$8:$C$88","'!$B$8:$B$88"))),0),MATCH('Other Industrial Processes'!$C44,INDIRECT(CONCATENATE("'",RIGHT(K$1,2),"'!$F$4:$N$4")),0))</f>
        <v>0</v>
      </c>
      <c r="L44" s="25">
        <f ca="1">INDEX(INDIRECT(CONCATENATE("'",RIGHT(L$1,2),"'!$F$8:$N$88")),MATCH($A44,INDIRECT(CONCATENATE("'",RIGHT(L$1,2),IF($B44="chemicals","'!$C$8:$C$88","'!$B$8:$B$88"))),0),MATCH('Other Industrial Processes'!$C44,INDIRECT(CONCATENATE("'",RIGHT(L$1,2),"'!$F$4:$N$4")),0))</f>
        <v>0</v>
      </c>
      <c r="M44" s="25">
        <f ca="1">INDEX(INDIRECT(CONCATENATE("'",RIGHT(M$1,2),"'!$F$8:$N$88")),MATCH($A44,INDIRECT(CONCATENATE("'",RIGHT(M$1,2),IF($B44="chemicals","'!$C$8:$C$88","'!$B$8:$B$88"))),0),MATCH('Other Industrial Processes'!$C44,INDIRECT(CONCATENATE("'",RIGHT(M$1,2),"'!$F$4:$N$4")),0))</f>
        <v>0</v>
      </c>
      <c r="N44" s="301">
        <f t="shared" ref="N44:AR44" ca="1" si="43">IFERROR(IF($M44-$D44&gt;=0,($M44-$D44)/COUNT($E$1:$M$1)+M44,$F108*$E108^N$1),0)</f>
        <v>0</v>
      </c>
      <c r="O44" s="301">
        <f t="shared" ca="1" si="43"/>
        <v>0</v>
      </c>
      <c r="P44" s="301">
        <f t="shared" ca="1" si="43"/>
        <v>0</v>
      </c>
      <c r="Q44" s="301">
        <f t="shared" ca="1" si="43"/>
        <v>0</v>
      </c>
      <c r="R44" s="301">
        <f t="shared" ca="1" si="43"/>
        <v>0</v>
      </c>
      <c r="S44" s="301">
        <f t="shared" ca="1" si="43"/>
        <v>0</v>
      </c>
      <c r="T44" s="301">
        <f t="shared" ca="1" si="43"/>
        <v>0</v>
      </c>
      <c r="U44" s="301">
        <f t="shared" ca="1" si="43"/>
        <v>0</v>
      </c>
      <c r="V44" s="301">
        <f t="shared" ca="1" si="43"/>
        <v>0</v>
      </c>
      <c r="W44" s="301">
        <f t="shared" ca="1" si="43"/>
        <v>0</v>
      </c>
      <c r="X44" s="301">
        <f t="shared" ca="1" si="43"/>
        <v>0</v>
      </c>
      <c r="Y44" s="301">
        <f t="shared" ca="1" si="43"/>
        <v>0</v>
      </c>
      <c r="Z44" s="301">
        <f t="shared" ca="1" si="43"/>
        <v>0</v>
      </c>
      <c r="AA44" s="301">
        <f t="shared" ca="1" si="43"/>
        <v>0</v>
      </c>
      <c r="AB44" s="301">
        <f t="shared" ca="1" si="43"/>
        <v>0</v>
      </c>
      <c r="AC44" s="301">
        <f t="shared" ca="1" si="43"/>
        <v>0</v>
      </c>
      <c r="AD44" s="301">
        <f t="shared" ca="1" si="43"/>
        <v>0</v>
      </c>
      <c r="AE44" s="301">
        <f t="shared" ca="1" si="43"/>
        <v>0</v>
      </c>
      <c r="AF44" s="301">
        <f t="shared" ca="1" si="43"/>
        <v>0</v>
      </c>
      <c r="AG44" s="301">
        <f t="shared" ca="1" si="43"/>
        <v>0</v>
      </c>
      <c r="AH44" s="301">
        <f t="shared" ca="1" si="43"/>
        <v>0</v>
      </c>
      <c r="AI44" s="301">
        <f t="shared" ca="1" si="43"/>
        <v>0</v>
      </c>
      <c r="AJ44" s="301">
        <f t="shared" ca="1" si="43"/>
        <v>0</v>
      </c>
      <c r="AK44" s="301">
        <f t="shared" ca="1" si="43"/>
        <v>0</v>
      </c>
      <c r="AL44" s="301">
        <f t="shared" ca="1" si="43"/>
        <v>0</v>
      </c>
      <c r="AM44" s="301">
        <f t="shared" ca="1" si="43"/>
        <v>0</v>
      </c>
      <c r="AN44" s="301">
        <f t="shared" ca="1" si="43"/>
        <v>0</v>
      </c>
      <c r="AO44" s="301">
        <f t="shared" ca="1" si="43"/>
        <v>0</v>
      </c>
      <c r="AP44" s="301">
        <f t="shared" ca="1" si="43"/>
        <v>0</v>
      </c>
      <c r="AQ44" s="301">
        <f t="shared" ca="1" si="43"/>
        <v>0</v>
      </c>
      <c r="AR44" s="301">
        <f t="shared" ca="1" si="43"/>
        <v>0</v>
      </c>
      <c r="AS44" s="301">
        <f t="shared" ca="1" si="39"/>
        <v>0</v>
      </c>
      <c r="AT44" s="301">
        <f t="shared" ca="1" si="39"/>
        <v>0</v>
      </c>
      <c r="AU44" s="301">
        <f t="shared" ca="1" si="39"/>
        <v>0</v>
      </c>
      <c r="AV44" s="301">
        <f t="shared" ca="1" si="39"/>
        <v>0</v>
      </c>
    </row>
    <row r="45" spans="1:48" x14ac:dyDescent="0.25">
      <c r="A45" s="25" t="s">
        <v>771</v>
      </c>
      <c r="B45" t="s">
        <v>4</v>
      </c>
      <c r="C45" s="25" t="s">
        <v>198</v>
      </c>
      <c r="D45" s="25">
        <f ca="1">INDEX(INDIRECT(CONCATENATE("'",RIGHT(D$1,2),"'!$F$8:$N$88")),MATCH($A45,INDIRECT(CONCATENATE("'",RIGHT(D$1,2),IF($B45="chemicals","'!$C$8:$C$88","'!$B$8:$B$88"))),0),MATCH('Other Industrial Processes'!$C45,INDIRECT(CONCATENATE("'",RIGHT(D$1,2),"'!$F$4:$N$4")),0))</f>
        <v>0</v>
      </c>
      <c r="E45" s="25">
        <f ca="1">INDEX(INDIRECT(CONCATENATE("'",RIGHT(E$1,2),"'!$F$8:$N$88")),MATCH($A45,INDIRECT(CONCATENATE("'",RIGHT(E$1,2),IF($B45="chemicals","'!$C$8:$C$88","'!$B$8:$B$88"))),0),MATCH('Other Industrial Processes'!$C45,INDIRECT(CONCATENATE("'",RIGHT(E$1,2),"'!$F$4:$N$4")),0))</f>
        <v>0</v>
      </c>
      <c r="F45" s="25">
        <f ca="1">INDEX(INDIRECT(CONCATENATE("'",RIGHT(F$1,2),"'!$F$8:$N$88")),MATCH($A45,INDIRECT(CONCATENATE("'",RIGHT(F$1,2),IF($B45="chemicals","'!$C$8:$C$88","'!$B$8:$B$88"))),0),MATCH('Other Industrial Processes'!$C45,INDIRECT(CONCATENATE("'",RIGHT(F$1,2),"'!$F$4:$N$4")),0))</f>
        <v>0</v>
      </c>
      <c r="G45" s="25">
        <f ca="1">INDEX(INDIRECT(CONCATENATE("'",RIGHT(G$1,2),"'!$F$8:$N$88")),MATCH($A45,INDIRECT(CONCATENATE("'",RIGHT(G$1,2),IF($B45="chemicals","'!$C$8:$C$88","'!$B$8:$B$88"))),0),MATCH('Other Industrial Processes'!$C45,INDIRECT(CONCATENATE("'",RIGHT(G$1,2),"'!$F$4:$N$4")),0))</f>
        <v>0</v>
      </c>
      <c r="H45" s="25">
        <f ca="1">INDEX(INDIRECT(CONCATENATE("'",RIGHT(H$1,2),"'!$F$8:$N$88")),MATCH($A45,INDIRECT(CONCATENATE("'",RIGHT(H$1,2),IF($B45="chemicals","'!$C$8:$C$88","'!$B$8:$B$88"))),0),MATCH('Other Industrial Processes'!$C45,INDIRECT(CONCATENATE("'",RIGHT(H$1,2),"'!$F$4:$N$4")),0))</f>
        <v>0</v>
      </c>
      <c r="I45" s="25">
        <f ca="1">INDEX(INDIRECT(CONCATENATE("'",RIGHT(I$1,2),"'!$F$8:$N$88")),MATCH($A45,INDIRECT(CONCATENATE("'",RIGHT(I$1,2),IF($B45="chemicals","'!$C$8:$C$88","'!$B$8:$B$88"))),0),MATCH('Other Industrial Processes'!$C45,INDIRECT(CONCATENATE("'",RIGHT(I$1,2),"'!$F$4:$N$4")),0))</f>
        <v>0</v>
      </c>
      <c r="J45" s="25">
        <f ca="1">INDEX(INDIRECT(CONCATENATE("'",RIGHT(J$1,2),"'!$F$8:$N$88")),MATCH($A45,INDIRECT(CONCATENATE("'",RIGHT(J$1,2),IF($B45="chemicals","'!$C$8:$C$88","'!$B$8:$B$88"))),0),MATCH('Other Industrial Processes'!$C45,INDIRECT(CONCATENATE("'",RIGHT(J$1,2),"'!$F$4:$N$4")),0))</f>
        <v>0</v>
      </c>
      <c r="K45" s="25">
        <f ca="1">INDEX(INDIRECT(CONCATENATE("'",RIGHT(K$1,2),"'!$F$8:$N$88")),MATCH($A45,INDIRECT(CONCATENATE("'",RIGHT(K$1,2),IF($B45="chemicals","'!$C$8:$C$88","'!$B$8:$B$88"))),0),MATCH('Other Industrial Processes'!$C45,INDIRECT(CONCATENATE("'",RIGHT(K$1,2),"'!$F$4:$N$4")),0))</f>
        <v>0</v>
      </c>
      <c r="L45" s="25">
        <f ca="1">INDEX(INDIRECT(CONCATENATE("'",RIGHT(L$1,2),"'!$F$8:$N$88")),MATCH($A45,INDIRECT(CONCATENATE("'",RIGHT(L$1,2),IF($B45="chemicals","'!$C$8:$C$88","'!$B$8:$B$88"))),0),MATCH('Other Industrial Processes'!$C45,INDIRECT(CONCATENATE("'",RIGHT(L$1,2),"'!$F$4:$N$4")),0))</f>
        <v>0</v>
      </c>
      <c r="M45" s="25">
        <f ca="1">INDEX(INDIRECT(CONCATENATE("'",RIGHT(M$1,2),"'!$F$8:$N$88")),MATCH($A45,INDIRECT(CONCATENATE("'",RIGHT(M$1,2),IF($B45="chemicals","'!$C$8:$C$88","'!$B$8:$B$88"))),0),MATCH('Other Industrial Processes'!$C45,INDIRECT(CONCATENATE("'",RIGHT(M$1,2),"'!$F$4:$N$4")),0))</f>
        <v>0</v>
      </c>
      <c r="N45" s="301">
        <f t="shared" ref="N45:AR45" ca="1" si="44">IFERROR(IF($M45-$D45&gt;=0,($M45-$D45)/COUNT($E$1:$M$1)+M45,$F109*$E109^N$1),0)</f>
        <v>0</v>
      </c>
      <c r="O45" s="301">
        <f t="shared" ca="1" si="44"/>
        <v>0</v>
      </c>
      <c r="P45" s="301">
        <f t="shared" ca="1" si="44"/>
        <v>0</v>
      </c>
      <c r="Q45" s="301">
        <f t="shared" ca="1" si="44"/>
        <v>0</v>
      </c>
      <c r="R45" s="301">
        <f t="shared" ca="1" si="44"/>
        <v>0</v>
      </c>
      <c r="S45" s="301">
        <f t="shared" ca="1" si="44"/>
        <v>0</v>
      </c>
      <c r="T45" s="301">
        <f t="shared" ca="1" si="44"/>
        <v>0</v>
      </c>
      <c r="U45" s="301">
        <f t="shared" ca="1" si="44"/>
        <v>0</v>
      </c>
      <c r="V45" s="301">
        <f t="shared" ca="1" si="44"/>
        <v>0</v>
      </c>
      <c r="W45" s="301">
        <f t="shared" ca="1" si="44"/>
        <v>0</v>
      </c>
      <c r="X45" s="301">
        <f t="shared" ca="1" si="44"/>
        <v>0</v>
      </c>
      <c r="Y45" s="301">
        <f t="shared" ca="1" si="44"/>
        <v>0</v>
      </c>
      <c r="Z45" s="301">
        <f t="shared" ca="1" si="44"/>
        <v>0</v>
      </c>
      <c r="AA45" s="301">
        <f t="shared" ca="1" si="44"/>
        <v>0</v>
      </c>
      <c r="AB45" s="301">
        <f t="shared" ca="1" si="44"/>
        <v>0</v>
      </c>
      <c r="AC45" s="301">
        <f t="shared" ca="1" si="44"/>
        <v>0</v>
      </c>
      <c r="AD45" s="301">
        <f t="shared" ca="1" si="44"/>
        <v>0</v>
      </c>
      <c r="AE45" s="301">
        <f t="shared" ca="1" si="44"/>
        <v>0</v>
      </c>
      <c r="AF45" s="301">
        <f t="shared" ca="1" si="44"/>
        <v>0</v>
      </c>
      <c r="AG45" s="301">
        <f t="shared" ca="1" si="44"/>
        <v>0</v>
      </c>
      <c r="AH45" s="301">
        <f t="shared" ca="1" si="44"/>
        <v>0</v>
      </c>
      <c r="AI45" s="301">
        <f t="shared" ca="1" si="44"/>
        <v>0</v>
      </c>
      <c r="AJ45" s="301">
        <f t="shared" ca="1" si="44"/>
        <v>0</v>
      </c>
      <c r="AK45" s="301">
        <f t="shared" ca="1" si="44"/>
        <v>0</v>
      </c>
      <c r="AL45" s="301">
        <f t="shared" ca="1" si="44"/>
        <v>0</v>
      </c>
      <c r="AM45" s="301">
        <f t="shared" ca="1" si="44"/>
        <v>0</v>
      </c>
      <c r="AN45" s="301">
        <f t="shared" ca="1" si="44"/>
        <v>0</v>
      </c>
      <c r="AO45" s="301">
        <f t="shared" ca="1" si="44"/>
        <v>0</v>
      </c>
      <c r="AP45" s="301">
        <f t="shared" ca="1" si="44"/>
        <v>0</v>
      </c>
      <c r="AQ45" s="301">
        <f t="shared" ca="1" si="44"/>
        <v>0</v>
      </c>
      <c r="AR45" s="301">
        <f t="shared" ca="1" si="44"/>
        <v>0</v>
      </c>
      <c r="AS45" s="301">
        <f t="shared" ca="1" si="39"/>
        <v>0</v>
      </c>
      <c r="AT45" s="301">
        <f t="shared" ca="1" si="39"/>
        <v>0</v>
      </c>
      <c r="AU45" s="301">
        <f t="shared" ca="1" si="39"/>
        <v>0</v>
      </c>
      <c r="AV45" s="301">
        <f t="shared" ca="1" si="39"/>
        <v>0</v>
      </c>
    </row>
    <row r="46" spans="1:48" x14ac:dyDescent="0.25">
      <c r="A46" s="25" t="s">
        <v>777</v>
      </c>
      <c r="B46" t="s">
        <v>2</v>
      </c>
      <c r="C46" s="25" t="s">
        <v>198</v>
      </c>
      <c r="D46" s="25">
        <f ca="1">INDEX(INDIRECT(CONCATENATE("'",RIGHT(D$1,2),"'!$F$8:$N$88")),MATCH($A46,INDIRECT(CONCATENATE("'",RIGHT(D$1,2),IF($B46="chemicals","'!$C$8:$C$88","'!$B$8:$B$88"))),0),MATCH('Other Industrial Processes'!$C46,INDIRECT(CONCATENATE("'",RIGHT(D$1,2),"'!$F$4:$N$4")),0))</f>
        <v>0</v>
      </c>
      <c r="E46" s="25">
        <f ca="1">INDEX(INDIRECT(CONCATENATE("'",RIGHT(E$1,2),"'!$F$8:$N$88")),MATCH($A46,INDIRECT(CONCATENATE("'",RIGHT(E$1,2),IF($B46="chemicals","'!$C$8:$C$88","'!$B$8:$B$88"))),0),MATCH('Other Industrial Processes'!$C46,INDIRECT(CONCATENATE("'",RIGHT(E$1,2),"'!$F$4:$N$4")),0))</f>
        <v>0</v>
      </c>
      <c r="F46" s="25">
        <f ca="1">INDEX(INDIRECT(CONCATENATE("'",RIGHT(F$1,2),"'!$F$8:$N$88")),MATCH($A46,INDIRECT(CONCATENATE("'",RIGHT(F$1,2),IF($B46="chemicals","'!$C$8:$C$88","'!$B$8:$B$88"))),0),MATCH('Other Industrial Processes'!$C46,INDIRECT(CONCATENATE("'",RIGHT(F$1,2),"'!$F$4:$N$4")),0))</f>
        <v>0</v>
      </c>
      <c r="G46" s="25">
        <f ca="1">INDEX(INDIRECT(CONCATENATE("'",RIGHT(G$1,2),"'!$F$8:$N$88")),MATCH($A46,INDIRECT(CONCATENATE("'",RIGHT(G$1,2),IF($B46="chemicals","'!$C$8:$C$88","'!$B$8:$B$88"))),0),MATCH('Other Industrial Processes'!$C46,INDIRECT(CONCATENATE("'",RIGHT(G$1,2),"'!$F$4:$N$4")),0))</f>
        <v>0</v>
      </c>
      <c r="H46" s="25">
        <f ca="1">INDEX(INDIRECT(CONCATENATE("'",RIGHT(H$1,2),"'!$F$8:$N$88")),MATCH($A46,INDIRECT(CONCATENATE("'",RIGHT(H$1,2),IF($B46="chemicals","'!$C$8:$C$88","'!$B$8:$B$88"))),0),MATCH('Other Industrial Processes'!$C46,INDIRECT(CONCATENATE("'",RIGHT(H$1,2),"'!$F$4:$N$4")),0))</f>
        <v>0</v>
      </c>
      <c r="I46" s="25">
        <f ca="1">INDEX(INDIRECT(CONCATENATE("'",RIGHT(I$1,2),"'!$F$8:$N$88")),MATCH($A46,INDIRECT(CONCATENATE("'",RIGHT(I$1,2),IF($B46="chemicals","'!$C$8:$C$88","'!$B$8:$B$88"))),0),MATCH('Other Industrial Processes'!$C46,INDIRECT(CONCATENATE("'",RIGHT(I$1,2),"'!$F$4:$N$4")),0))</f>
        <v>0</v>
      </c>
      <c r="J46" s="25">
        <f ca="1">INDEX(INDIRECT(CONCATENATE("'",RIGHT(J$1,2),"'!$F$8:$N$88")),MATCH($A46,INDIRECT(CONCATENATE("'",RIGHT(J$1,2),IF($B46="chemicals","'!$C$8:$C$88","'!$B$8:$B$88"))),0),MATCH('Other Industrial Processes'!$C46,INDIRECT(CONCATENATE("'",RIGHT(J$1,2),"'!$F$4:$N$4")),0))</f>
        <v>0</v>
      </c>
      <c r="K46" s="25">
        <f ca="1">INDEX(INDIRECT(CONCATENATE("'",RIGHT(K$1,2),"'!$F$8:$N$88")),MATCH($A46,INDIRECT(CONCATENATE("'",RIGHT(K$1,2),IF($B46="chemicals","'!$C$8:$C$88","'!$B$8:$B$88"))),0),MATCH('Other Industrial Processes'!$C46,INDIRECT(CONCATENATE("'",RIGHT(K$1,2),"'!$F$4:$N$4")),0))</f>
        <v>0</v>
      </c>
      <c r="L46" s="25">
        <f ca="1">INDEX(INDIRECT(CONCATENATE("'",RIGHT(L$1,2),"'!$F$8:$N$88")),MATCH($A46,INDIRECT(CONCATENATE("'",RIGHT(L$1,2),IF($B46="chemicals","'!$C$8:$C$88","'!$B$8:$B$88"))),0),MATCH('Other Industrial Processes'!$C46,INDIRECT(CONCATENATE("'",RIGHT(L$1,2),"'!$F$4:$N$4")),0))</f>
        <v>0</v>
      </c>
      <c r="M46" s="25">
        <f ca="1">INDEX(INDIRECT(CONCATENATE("'",RIGHT(M$1,2),"'!$F$8:$N$88")),MATCH($A46,INDIRECT(CONCATENATE("'",RIGHT(M$1,2),IF($B46="chemicals","'!$C$8:$C$88","'!$B$8:$B$88"))),0),MATCH('Other Industrial Processes'!$C46,INDIRECT(CONCATENATE("'",RIGHT(M$1,2),"'!$F$4:$N$4")),0))</f>
        <v>0</v>
      </c>
      <c r="N46" s="301">
        <f t="shared" ref="N46:AR46" ca="1" si="45">IFERROR(IF($M46-$D46&gt;=0,($M46-$D46)/COUNT($E$1:$M$1)+M46,$F110*$E110^N$1),0)</f>
        <v>0</v>
      </c>
      <c r="O46" s="301">
        <f t="shared" ca="1" si="45"/>
        <v>0</v>
      </c>
      <c r="P46" s="301">
        <f t="shared" ca="1" si="45"/>
        <v>0</v>
      </c>
      <c r="Q46" s="301">
        <f t="shared" ca="1" si="45"/>
        <v>0</v>
      </c>
      <c r="R46" s="301">
        <f t="shared" ca="1" si="45"/>
        <v>0</v>
      </c>
      <c r="S46" s="301">
        <f t="shared" ca="1" si="45"/>
        <v>0</v>
      </c>
      <c r="T46" s="301">
        <f t="shared" ca="1" si="45"/>
        <v>0</v>
      </c>
      <c r="U46" s="301">
        <f t="shared" ca="1" si="45"/>
        <v>0</v>
      </c>
      <c r="V46" s="301">
        <f t="shared" ca="1" si="45"/>
        <v>0</v>
      </c>
      <c r="W46" s="301">
        <f t="shared" ca="1" si="45"/>
        <v>0</v>
      </c>
      <c r="X46" s="301">
        <f t="shared" ca="1" si="45"/>
        <v>0</v>
      </c>
      <c r="Y46" s="301">
        <f t="shared" ca="1" si="45"/>
        <v>0</v>
      </c>
      <c r="Z46" s="301">
        <f t="shared" ca="1" si="45"/>
        <v>0</v>
      </c>
      <c r="AA46" s="301">
        <f t="shared" ca="1" si="45"/>
        <v>0</v>
      </c>
      <c r="AB46" s="301">
        <f t="shared" ca="1" si="45"/>
        <v>0</v>
      </c>
      <c r="AC46" s="301">
        <f t="shared" ca="1" si="45"/>
        <v>0</v>
      </c>
      <c r="AD46" s="301">
        <f t="shared" ca="1" si="45"/>
        <v>0</v>
      </c>
      <c r="AE46" s="301">
        <f t="shared" ca="1" si="45"/>
        <v>0</v>
      </c>
      <c r="AF46" s="301">
        <f t="shared" ca="1" si="45"/>
        <v>0</v>
      </c>
      <c r="AG46" s="301">
        <f t="shared" ca="1" si="45"/>
        <v>0</v>
      </c>
      <c r="AH46" s="301">
        <f t="shared" ca="1" si="45"/>
        <v>0</v>
      </c>
      <c r="AI46" s="301">
        <f t="shared" ca="1" si="45"/>
        <v>0</v>
      </c>
      <c r="AJ46" s="301">
        <f t="shared" ca="1" si="45"/>
        <v>0</v>
      </c>
      <c r="AK46" s="301">
        <f t="shared" ca="1" si="45"/>
        <v>0</v>
      </c>
      <c r="AL46" s="301">
        <f t="shared" ca="1" si="45"/>
        <v>0</v>
      </c>
      <c r="AM46" s="301">
        <f t="shared" ca="1" si="45"/>
        <v>0</v>
      </c>
      <c r="AN46" s="301">
        <f t="shared" ca="1" si="45"/>
        <v>0</v>
      </c>
      <c r="AO46" s="301">
        <f t="shared" ca="1" si="45"/>
        <v>0</v>
      </c>
      <c r="AP46" s="301">
        <f t="shared" ca="1" si="45"/>
        <v>0</v>
      </c>
      <c r="AQ46" s="301">
        <f t="shared" ca="1" si="45"/>
        <v>0</v>
      </c>
      <c r="AR46" s="301">
        <f t="shared" ca="1" si="45"/>
        <v>0</v>
      </c>
      <c r="AS46" s="301">
        <f t="shared" ca="1" si="39"/>
        <v>0</v>
      </c>
      <c r="AT46" s="301">
        <f t="shared" ca="1" si="39"/>
        <v>0</v>
      </c>
      <c r="AU46" s="301">
        <f t="shared" ca="1" si="39"/>
        <v>0</v>
      </c>
      <c r="AV46" s="301">
        <f t="shared" ca="1" si="39"/>
        <v>0</v>
      </c>
    </row>
    <row r="47" spans="1:48" x14ac:dyDescent="0.25">
      <c r="A47" s="25" t="s">
        <v>779</v>
      </c>
      <c r="B47" t="s">
        <v>835</v>
      </c>
      <c r="C47" s="25" t="s">
        <v>198</v>
      </c>
      <c r="D47" s="25">
        <f ca="1">INDEX(INDIRECT(CONCATENATE("'",RIGHT(D$1,2),"'!$F$8:$N$88")),MATCH($A47,INDIRECT(CONCATENATE("'",RIGHT(D$1,2),IF($B47="chemicals","'!$C$8:$C$88","'!$B$8:$B$88"))),0),MATCH('Other Industrial Processes'!$C47,INDIRECT(CONCATENATE("'",RIGHT(D$1,2),"'!$F$4:$N$4")),0))</f>
        <v>172.75559999999999</v>
      </c>
      <c r="E47" s="25">
        <f ca="1">INDEX(INDIRECT(CONCATENATE("'",RIGHT(E$1,2),"'!$F$8:$N$88")),MATCH($A47,INDIRECT(CONCATENATE("'",RIGHT(E$1,2),IF($B47="chemicals","'!$C$8:$C$88","'!$B$8:$B$88"))),0),MATCH('Other Industrial Processes'!$C47,INDIRECT(CONCATENATE("'",RIGHT(E$1,2),"'!$F$4:$N$4")),0))</f>
        <v>224.8536</v>
      </c>
      <c r="F47" s="25">
        <f ca="1">INDEX(INDIRECT(CONCATENATE("'",RIGHT(F$1,2),"'!$F$8:$N$88")),MATCH($A47,INDIRECT(CONCATENATE("'",RIGHT(F$1,2),IF($B47="chemicals","'!$C$8:$C$88","'!$B$8:$B$88"))),0),MATCH('Other Industrial Processes'!$C47,INDIRECT(CONCATENATE("'",RIGHT(F$1,2),"'!$F$4:$N$4")),0))</f>
        <v>204.16944000000001</v>
      </c>
      <c r="G47" s="25">
        <f ca="1">INDEX(INDIRECT(CONCATENATE("'",RIGHT(G$1,2),"'!$F$8:$N$88")),MATCH($A47,INDIRECT(CONCATENATE("'",RIGHT(G$1,2),IF($B47="chemicals","'!$C$8:$C$88","'!$B$8:$B$88"))),0),MATCH('Other Industrial Processes'!$C47,INDIRECT(CONCATENATE("'",RIGHT(G$1,2),"'!$F$4:$N$4")),0))</f>
        <v>175.6284</v>
      </c>
      <c r="H47" s="25">
        <f ca="1">INDEX(INDIRECT(CONCATENATE("'",RIGHT(H$1,2),"'!$F$8:$N$88")),MATCH($A47,INDIRECT(CONCATENATE("'",RIGHT(H$1,2),IF($B47="chemicals","'!$C$8:$C$88","'!$B$8:$B$88"))),0),MATCH('Other Industrial Processes'!$C47,INDIRECT(CONCATENATE("'",RIGHT(H$1,2),"'!$F$4:$N$4")),0))</f>
        <v>182.73219599999999</v>
      </c>
      <c r="I47" s="25">
        <f ca="1">INDEX(INDIRECT(CONCATENATE("'",RIGHT(I$1,2),"'!$F$8:$N$88")),MATCH($A47,INDIRECT(CONCATENATE("'",RIGHT(I$1,2),IF($B47="chemicals","'!$C$8:$C$88","'!$B$8:$B$88"))),0),MATCH('Other Industrial Processes'!$C47,INDIRECT(CONCATENATE("'",RIGHT(I$1,2),"'!$F$4:$N$4")),0))</f>
        <v>137.39115839999999</v>
      </c>
      <c r="J47" s="25">
        <f ca="1">INDEX(INDIRECT(CONCATENATE("'",RIGHT(J$1,2),"'!$F$8:$N$88")),MATCH($A47,INDIRECT(CONCATENATE("'",RIGHT(J$1,2),IF($B47="chemicals","'!$C$8:$C$88","'!$B$8:$B$88"))),0),MATCH('Other Industrial Processes'!$C47,INDIRECT(CONCATENATE("'",RIGHT(J$1,2),"'!$F$4:$N$4")),0))</f>
        <v>185.65424400000001</v>
      </c>
      <c r="K47" s="25">
        <f ca="1">INDEX(INDIRECT(CONCATENATE("'",RIGHT(K$1,2),"'!$F$8:$N$88")),MATCH($A47,INDIRECT(CONCATENATE("'",RIGHT(K$1,2),IF($B47="chemicals","'!$C$8:$C$88","'!$B$8:$B$88"))),0),MATCH('Other Industrial Processes'!$C47,INDIRECT(CONCATENATE("'",RIGHT(K$1,2),"'!$F$4:$N$4")),0))</f>
        <v>218.00493599999999</v>
      </c>
      <c r="L47" s="25">
        <f ca="1">INDEX(INDIRECT(CONCATENATE("'",RIGHT(L$1,2),"'!$F$8:$N$88")),MATCH($A47,INDIRECT(CONCATENATE("'",RIGHT(L$1,2),IF($B47="chemicals","'!$C$8:$C$88","'!$B$8:$B$88"))),0),MATCH('Other Industrial Processes'!$C47,INDIRECT(CONCATENATE("'",RIGHT(L$1,2),"'!$F$4:$N$4")),0))</f>
        <v>125.340948</v>
      </c>
      <c r="M47" s="25">
        <f ca="1">INDEX(INDIRECT(CONCATENATE("'",RIGHT(M$1,2),"'!$F$8:$N$88")),MATCH($A47,INDIRECT(CONCATENATE("'",RIGHT(M$1,2),IF($B47="chemicals","'!$C$8:$C$88","'!$B$8:$B$88"))),0),MATCH('Other Industrial Processes'!$C47,INDIRECT(CONCATENATE("'",RIGHT(M$1,2),"'!$F$4:$N$4")),0))</f>
        <v>192.16501199999999</v>
      </c>
      <c r="N47" s="301">
        <f t="shared" ref="N47:AR47" ca="1" si="46">IFERROR(IF($M47-$D47&gt;=0,($M47-$D47)/COUNT($E$1:$M$1)+M47,$F111*$E111^N$1),0)</f>
        <v>194.32161333333332</v>
      </c>
      <c r="O47" s="301">
        <f t="shared" ca="1" si="46"/>
        <v>196.47821466666664</v>
      </c>
      <c r="P47" s="301">
        <f t="shared" ca="1" si="46"/>
        <v>198.63481599999997</v>
      </c>
      <c r="Q47" s="301">
        <f t="shared" ca="1" si="46"/>
        <v>200.7914173333333</v>
      </c>
      <c r="R47" s="301">
        <f t="shared" ca="1" si="46"/>
        <v>202.94801866666663</v>
      </c>
      <c r="S47" s="301">
        <f t="shared" ca="1" si="46"/>
        <v>205.10461999999995</v>
      </c>
      <c r="T47" s="301">
        <f t="shared" ca="1" si="46"/>
        <v>207.26122133333328</v>
      </c>
      <c r="U47" s="301">
        <f t="shared" ca="1" si="46"/>
        <v>209.41782266666661</v>
      </c>
      <c r="V47" s="301">
        <f t="shared" ca="1" si="46"/>
        <v>211.57442399999994</v>
      </c>
      <c r="W47" s="301">
        <f t="shared" ca="1" si="46"/>
        <v>213.73102533333326</v>
      </c>
      <c r="X47" s="301">
        <f t="shared" ca="1" si="46"/>
        <v>215.88762666666659</v>
      </c>
      <c r="Y47" s="301">
        <f t="shared" ca="1" si="46"/>
        <v>218.04422799999992</v>
      </c>
      <c r="Z47" s="301">
        <f t="shared" ca="1" si="46"/>
        <v>220.20082933333325</v>
      </c>
      <c r="AA47" s="301">
        <f t="shared" ca="1" si="46"/>
        <v>222.35743066666657</v>
      </c>
      <c r="AB47" s="301">
        <f t="shared" ca="1" si="46"/>
        <v>224.5140319999999</v>
      </c>
      <c r="AC47" s="301">
        <f t="shared" ca="1" si="46"/>
        <v>226.67063333333323</v>
      </c>
      <c r="AD47" s="301">
        <f t="shared" ca="1" si="46"/>
        <v>228.82723466666656</v>
      </c>
      <c r="AE47" s="301">
        <f t="shared" ca="1" si="46"/>
        <v>230.98383599999988</v>
      </c>
      <c r="AF47" s="301">
        <f t="shared" ca="1" si="46"/>
        <v>233.14043733333321</v>
      </c>
      <c r="AG47" s="301">
        <f t="shared" ca="1" si="46"/>
        <v>235.29703866666654</v>
      </c>
      <c r="AH47" s="301">
        <f t="shared" ca="1" si="46"/>
        <v>237.45363999999987</v>
      </c>
      <c r="AI47" s="301">
        <f t="shared" ca="1" si="46"/>
        <v>239.61024133333319</v>
      </c>
      <c r="AJ47" s="301">
        <f t="shared" ca="1" si="46"/>
        <v>241.76684266666652</v>
      </c>
      <c r="AK47" s="301">
        <f t="shared" ca="1" si="46"/>
        <v>243.92344399999985</v>
      </c>
      <c r="AL47" s="301">
        <f t="shared" ca="1" si="46"/>
        <v>246.08004533333317</v>
      </c>
      <c r="AM47" s="301">
        <f t="shared" ca="1" si="46"/>
        <v>248.2366466666665</v>
      </c>
      <c r="AN47" s="301">
        <f t="shared" ca="1" si="46"/>
        <v>250.39324799999983</v>
      </c>
      <c r="AO47" s="301">
        <f t="shared" ca="1" si="46"/>
        <v>252.54984933333316</v>
      </c>
      <c r="AP47" s="301">
        <f t="shared" ca="1" si="46"/>
        <v>254.70645066666648</v>
      </c>
      <c r="AQ47" s="301">
        <f t="shared" ca="1" si="46"/>
        <v>256.86305199999981</v>
      </c>
      <c r="AR47" s="301">
        <f t="shared" ca="1" si="46"/>
        <v>259.01965333333317</v>
      </c>
      <c r="AS47" s="301">
        <f t="shared" ca="1" si="39"/>
        <v>261.17625466666652</v>
      </c>
      <c r="AT47" s="301">
        <f t="shared" ca="1" si="39"/>
        <v>263.33285599999988</v>
      </c>
      <c r="AU47" s="301">
        <f t="shared" ca="1" si="39"/>
        <v>265.48945733333323</v>
      </c>
      <c r="AV47" s="301">
        <f t="shared" ca="1" si="39"/>
        <v>267.64605866666659</v>
      </c>
    </row>
    <row r="48" spans="1:48" x14ac:dyDescent="0.25">
      <c r="A48" s="25" t="s">
        <v>193</v>
      </c>
      <c r="B48" t="s">
        <v>26</v>
      </c>
      <c r="C48" s="25" t="s">
        <v>198</v>
      </c>
      <c r="D48" s="25">
        <f ca="1">INDEX(INDIRECT(CONCATENATE("'",RIGHT(D$1,2),"'!$F$8:$N$88")),MATCH($A48,INDIRECT(CONCATENATE("'",RIGHT(D$1,2),IF($B48="chemicals","'!$C$8:$C$88","'!$B$8:$B$88"))),0),MATCH('Other Industrial Processes'!$C48,INDIRECT(CONCATENATE("'",RIGHT(D$1,2),"'!$F$4:$N$4")),0))</f>
        <v>0</v>
      </c>
      <c r="E48" s="25">
        <f ca="1">INDEX(INDIRECT(CONCATENATE("'",RIGHT(E$1,2),"'!$F$8:$N$88")),MATCH($A48,INDIRECT(CONCATENATE("'",RIGHT(E$1,2),IF($B48="chemicals","'!$C$8:$C$88","'!$B$8:$B$88"))),0),MATCH('Other Industrial Processes'!$C48,INDIRECT(CONCATENATE("'",RIGHT(E$1,2),"'!$F$4:$N$4")),0))</f>
        <v>0</v>
      </c>
      <c r="F48" s="25">
        <f ca="1">INDEX(INDIRECT(CONCATENATE("'",RIGHT(F$1,2),"'!$F$8:$N$88")),MATCH($A48,INDIRECT(CONCATENATE("'",RIGHT(F$1,2),IF($B48="chemicals","'!$C$8:$C$88","'!$B$8:$B$88"))),0),MATCH('Other Industrial Processes'!$C48,INDIRECT(CONCATENATE("'",RIGHT(F$1,2),"'!$F$4:$N$4")),0))</f>
        <v>0</v>
      </c>
      <c r="G48" s="25">
        <f ca="1">INDEX(INDIRECT(CONCATENATE("'",RIGHT(G$1,2),"'!$F$8:$N$88")),MATCH($A48,INDIRECT(CONCATENATE("'",RIGHT(G$1,2),IF($B48="chemicals","'!$C$8:$C$88","'!$B$8:$B$88"))),0),MATCH('Other Industrial Processes'!$C48,INDIRECT(CONCATENATE("'",RIGHT(G$1,2),"'!$F$4:$N$4")),0))</f>
        <v>0</v>
      </c>
      <c r="H48" s="25">
        <f ca="1">INDEX(INDIRECT(CONCATENATE("'",RIGHT(H$1,2),"'!$F$8:$N$88")),MATCH($A48,INDIRECT(CONCATENATE("'",RIGHT(H$1,2),IF($B48="chemicals","'!$C$8:$C$88","'!$B$8:$B$88"))),0),MATCH('Other Industrial Processes'!$C48,INDIRECT(CONCATENATE("'",RIGHT(H$1,2),"'!$F$4:$N$4")),0))</f>
        <v>0</v>
      </c>
      <c r="I48" s="25">
        <f ca="1">INDEX(INDIRECT(CONCATENATE("'",RIGHT(I$1,2),"'!$F$8:$N$88")),MATCH($A48,INDIRECT(CONCATENATE("'",RIGHT(I$1,2),IF($B48="chemicals","'!$C$8:$C$88","'!$B$8:$B$88"))),0),MATCH('Other Industrial Processes'!$C48,INDIRECT(CONCATENATE("'",RIGHT(I$1,2),"'!$F$4:$N$4")),0))</f>
        <v>0</v>
      </c>
      <c r="J48" s="25">
        <f ca="1">INDEX(INDIRECT(CONCATENATE("'",RIGHT(J$1,2),"'!$F$8:$N$88")),MATCH($A48,INDIRECT(CONCATENATE("'",RIGHT(J$1,2),IF($B48="chemicals","'!$C$8:$C$88","'!$B$8:$B$88"))),0),MATCH('Other Industrial Processes'!$C48,INDIRECT(CONCATENATE("'",RIGHT(J$1,2),"'!$F$4:$N$4")),0))</f>
        <v>0</v>
      </c>
      <c r="K48" s="25">
        <f ca="1">INDEX(INDIRECT(CONCATENATE("'",RIGHT(K$1,2),"'!$F$8:$N$88")),MATCH($A48,INDIRECT(CONCATENATE("'",RIGHT(K$1,2),IF($B48="chemicals","'!$C$8:$C$88","'!$B$8:$B$88"))),0),MATCH('Other Industrial Processes'!$C48,INDIRECT(CONCATENATE("'",RIGHT(K$1,2),"'!$F$4:$N$4")),0))</f>
        <v>0</v>
      </c>
      <c r="L48" s="25">
        <f ca="1">INDEX(INDIRECT(CONCATENATE("'",RIGHT(L$1,2),"'!$F$8:$N$88")),MATCH($A48,INDIRECT(CONCATENATE("'",RIGHT(L$1,2),IF($B48="chemicals","'!$C$8:$C$88","'!$B$8:$B$88"))),0),MATCH('Other Industrial Processes'!$C48,INDIRECT(CONCATENATE("'",RIGHT(L$1,2),"'!$F$4:$N$4")),0))</f>
        <v>0</v>
      </c>
      <c r="M48" s="25">
        <f ca="1">INDEX(INDIRECT(CONCATENATE("'",RIGHT(M$1,2),"'!$F$8:$N$88")),MATCH($A48,INDIRECT(CONCATENATE("'",RIGHT(M$1,2),IF($B48="chemicals","'!$C$8:$C$88","'!$B$8:$B$88"))),0),MATCH('Other Industrial Processes'!$C48,INDIRECT(CONCATENATE("'",RIGHT(M$1,2),"'!$F$4:$N$4")),0))</f>
        <v>0</v>
      </c>
      <c r="N48" s="301">
        <f t="shared" ref="N48:AR48" ca="1" si="47">IFERROR(IF($M48-$D48&gt;=0,($M48-$D48)/COUNT($E$1:$M$1)+M48,$F112*$E112^N$1),0)</f>
        <v>0</v>
      </c>
      <c r="O48" s="301">
        <f t="shared" ca="1" si="47"/>
        <v>0</v>
      </c>
      <c r="P48" s="301">
        <f t="shared" ca="1" si="47"/>
        <v>0</v>
      </c>
      <c r="Q48" s="301">
        <f t="shared" ca="1" si="47"/>
        <v>0</v>
      </c>
      <c r="R48" s="301">
        <f t="shared" ca="1" si="47"/>
        <v>0</v>
      </c>
      <c r="S48" s="301">
        <f t="shared" ca="1" si="47"/>
        <v>0</v>
      </c>
      <c r="T48" s="301">
        <f t="shared" ca="1" si="47"/>
        <v>0</v>
      </c>
      <c r="U48" s="301">
        <f t="shared" ca="1" si="47"/>
        <v>0</v>
      </c>
      <c r="V48" s="301">
        <f t="shared" ca="1" si="47"/>
        <v>0</v>
      </c>
      <c r="W48" s="301">
        <f t="shared" ca="1" si="47"/>
        <v>0</v>
      </c>
      <c r="X48" s="301">
        <f t="shared" ca="1" si="47"/>
        <v>0</v>
      </c>
      <c r="Y48" s="301">
        <f t="shared" ca="1" si="47"/>
        <v>0</v>
      </c>
      <c r="Z48" s="301">
        <f t="shared" ca="1" si="47"/>
        <v>0</v>
      </c>
      <c r="AA48" s="301">
        <f t="shared" ca="1" si="47"/>
        <v>0</v>
      </c>
      <c r="AB48" s="301">
        <f t="shared" ca="1" si="47"/>
        <v>0</v>
      </c>
      <c r="AC48" s="301">
        <f t="shared" ca="1" si="47"/>
        <v>0</v>
      </c>
      <c r="AD48" s="301">
        <f t="shared" ca="1" si="47"/>
        <v>0</v>
      </c>
      <c r="AE48" s="301">
        <f t="shared" ca="1" si="47"/>
        <v>0</v>
      </c>
      <c r="AF48" s="301">
        <f t="shared" ca="1" si="47"/>
        <v>0</v>
      </c>
      <c r="AG48" s="301">
        <f t="shared" ca="1" si="47"/>
        <v>0</v>
      </c>
      <c r="AH48" s="301">
        <f t="shared" ca="1" si="47"/>
        <v>0</v>
      </c>
      <c r="AI48" s="301">
        <f t="shared" ca="1" si="47"/>
        <v>0</v>
      </c>
      <c r="AJ48" s="301">
        <f t="shared" ca="1" si="47"/>
        <v>0</v>
      </c>
      <c r="AK48" s="301">
        <f t="shared" ca="1" si="47"/>
        <v>0</v>
      </c>
      <c r="AL48" s="301">
        <f t="shared" ca="1" si="47"/>
        <v>0</v>
      </c>
      <c r="AM48" s="301">
        <f t="shared" ca="1" si="47"/>
        <v>0</v>
      </c>
      <c r="AN48" s="301">
        <f t="shared" ca="1" si="47"/>
        <v>0</v>
      </c>
      <c r="AO48" s="301">
        <f t="shared" ca="1" si="47"/>
        <v>0</v>
      </c>
      <c r="AP48" s="301">
        <f t="shared" ca="1" si="47"/>
        <v>0</v>
      </c>
      <c r="AQ48" s="301">
        <f t="shared" ca="1" si="47"/>
        <v>0</v>
      </c>
      <c r="AR48" s="301">
        <f t="shared" ca="1" si="47"/>
        <v>0</v>
      </c>
      <c r="AS48" s="301">
        <f t="shared" ca="1" si="39"/>
        <v>0</v>
      </c>
      <c r="AT48" s="301">
        <f t="shared" ca="1" si="39"/>
        <v>0</v>
      </c>
      <c r="AU48" s="301">
        <f t="shared" ca="1" si="39"/>
        <v>0</v>
      </c>
      <c r="AV48" s="301">
        <f t="shared" ca="1" si="39"/>
        <v>0</v>
      </c>
    </row>
    <row r="49" spans="1:48" x14ac:dyDescent="0.25">
      <c r="A49" s="25" t="s">
        <v>784</v>
      </c>
      <c r="B49" t="s">
        <v>26</v>
      </c>
      <c r="C49" s="25" t="s">
        <v>198</v>
      </c>
      <c r="D49" s="25">
        <f ca="1">INDEX(INDIRECT(CONCATENATE("'",RIGHT(D$1,2),"'!$F$8:$N$88")),MATCH($A49,INDIRECT(CONCATENATE("'",RIGHT(D$1,2),IF($B49="chemicals","'!$C$8:$C$88","'!$B$8:$B$88"))),0),MATCH('Other Industrial Processes'!$C49,INDIRECT(CONCATENATE("'",RIGHT(D$1,2),"'!$F$4:$N$4")),0))</f>
        <v>0</v>
      </c>
      <c r="E49" s="25">
        <f ca="1">INDEX(INDIRECT(CONCATENATE("'",RIGHT(E$1,2),"'!$F$8:$N$88")),MATCH($A49,INDIRECT(CONCATENATE("'",RIGHT(E$1,2),IF($B49="chemicals","'!$C$8:$C$88","'!$B$8:$B$88"))),0),MATCH('Other Industrial Processes'!$C49,INDIRECT(CONCATENATE("'",RIGHT(E$1,2),"'!$F$4:$N$4")),0))</f>
        <v>0</v>
      </c>
      <c r="F49" s="25">
        <f ca="1">INDEX(INDIRECT(CONCATENATE("'",RIGHT(F$1,2),"'!$F$8:$N$88")),MATCH($A49,INDIRECT(CONCATENATE("'",RIGHT(F$1,2),IF($B49="chemicals","'!$C$8:$C$88","'!$B$8:$B$88"))),0),MATCH('Other Industrial Processes'!$C49,INDIRECT(CONCATENATE("'",RIGHT(F$1,2),"'!$F$4:$N$4")),0))</f>
        <v>0</v>
      </c>
      <c r="G49" s="25">
        <f ca="1">INDEX(INDIRECT(CONCATENATE("'",RIGHT(G$1,2),"'!$F$8:$N$88")),MATCH($A49,INDIRECT(CONCATENATE("'",RIGHT(G$1,2),IF($B49="chemicals","'!$C$8:$C$88","'!$B$8:$B$88"))),0),MATCH('Other Industrial Processes'!$C49,INDIRECT(CONCATENATE("'",RIGHT(G$1,2),"'!$F$4:$N$4")),0))</f>
        <v>0</v>
      </c>
      <c r="H49" s="25">
        <f ca="1">INDEX(INDIRECT(CONCATENATE("'",RIGHT(H$1,2),"'!$F$8:$N$88")),MATCH($A49,INDIRECT(CONCATENATE("'",RIGHT(H$1,2),IF($B49="chemicals","'!$C$8:$C$88","'!$B$8:$B$88"))),0),MATCH('Other Industrial Processes'!$C49,INDIRECT(CONCATENATE("'",RIGHT(H$1,2),"'!$F$4:$N$4")),0))</f>
        <v>0</v>
      </c>
      <c r="I49" s="25">
        <f ca="1">INDEX(INDIRECT(CONCATENATE("'",RIGHT(I$1,2),"'!$F$8:$N$88")),MATCH($A49,INDIRECT(CONCATENATE("'",RIGHT(I$1,2),IF($B49="chemicals","'!$C$8:$C$88","'!$B$8:$B$88"))),0),MATCH('Other Industrial Processes'!$C49,INDIRECT(CONCATENATE("'",RIGHT(I$1,2),"'!$F$4:$N$4")),0))</f>
        <v>0</v>
      </c>
      <c r="J49" s="25">
        <f ca="1">INDEX(INDIRECT(CONCATENATE("'",RIGHT(J$1,2),"'!$F$8:$N$88")),MATCH($A49,INDIRECT(CONCATENATE("'",RIGHT(J$1,2),IF($B49="chemicals","'!$C$8:$C$88","'!$B$8:$B$88"))),0),MATCH('Other Industrial Processes'!$C49,INDIRECT(CONCATENATE("'",RIGHT(J$1,2),"'!$F$4:$N$4")),0))</f>
        <v>0</v>
      </c>
      <c r="K49" s="25">
        <f ca="1">INDEX(INDIRECT(CONCATENATE("'",RIGHT(K$1,2),"'!$F$8:$N$88")),MATCH($A49,INDIRECT(CONCATENATE("'",RIGHT(K$1,2),IF($B49="chemicals","'!$C$8:$C$88","'!$B$8:$B$88"))),0),MATCH('Other Industrial Processes'!$C49,INDIRECT(CONCATENATE("'",RIGHT(K$1,2),"'!$F$4:$N$4")),0))</f>
        <v>0</v>
      </c>
      <c r="L49" s="25">
        <f ca="1">INDEX(INDIRECT(CONCATENATE("'",RIGHT(L$1,2),"'!$F$8:$N$88")),MATCH($A49,INDIRECT(CONCATENATE("'",RIGHT(L$1,2),IF($B49="chemicals","'!$C$8:$C$88","'!$B$8:$B$88"))),0),MATCH('Other Industrial Processes'!$C49,INDIRECT(CONCATENATE("'",RIGHT(L$1,2),"'!$F$4:$N$4")),0))</f>
        <v>0</v>
      </c>
      <c r="M49" s="25">
        <f ca="1">INDEX(INDIRECT(CONCATENATE("'",RIGHT(M$1,2),"'!$F$8:$N$88")),MATCH($A49,INDIRECT(CONCATENATE("'",RIGHT(M$1,2),IF($B49="chemicals","'!$C$8:$C$88","'!$B$8:$B$88"))),0),MATCH('Other Industrial Processes'!$C49,INDIRECT(CONCATENATE("'",RIGHT(M$1,2),"'!$F$4:$N$4")),0))</f>
        <v>0</v>
      </c>
      <c r="N49" s="301">
        <f t="shared" ref="N49:AR49" ca="1" si="48">IFERROR(IF($M49-$D49&gt;=0,($M49-$D49)/COUNT($E$1:$M$1)+M49,$F113*$E113^N$1),0)</f>
        <v>0</v>
      </c>
      <c r="O49" s="301">
        <f t="shared" ca="1" si="48"/>
        <v>0</v>
      </c>
      <c r="P49" s="301">
        <f t="shared" ca="1" si="48"/>
        <v>0</v>
      </c>
      <c r="Q49" s="301">
        <f t="shared" ca="1" si="48"/>
        <v>0</v>
      </c>
      <c r="R49" s="301">
        <f t="shared" ca="1" si="48"/>
        <v>0</v>
      </c>
      <c r="S49" s="301">
        <f t="shared" ca="1" si="48"/>
        <v>0</v>
      </c>
      <c r="T49" s="301">
        <f t="shared" ca="1" si="48"/>
        <v>0</v>
      </c>
      <c r="U49" s="301">
        <f t="shared" ca="1" si="48"/>
        <v>0</v>
      </c>
      <c r="V49" s="301">
        <f t="shared" ca="1" si="48"/>
        <v>0</v>
      </c>
      <c r="W49" s="301">
        <f t="shared" ca="1" si="48"/>
        <v>0</v>
      </c>
      <c r="X49" s="301">
        <f t="shared" ca="1" si="48"/>
        <v>0</v>
      </c>
      <c r="Y49" s="301">
        <f t="shared" ca="1" si="48"/>
        <v>0</v>
      </c>
      <c r="Z49" s="301">
        <f t="shared" ca="1" si="48"/>
        <v>0</v>
      </c>
      <c r="AA49" s="301">
        <f t="shared" ca="1" si="48"/>
        <v>0</v>
      </c>
      <c r="AB49" s="301">
        <f t="shared" ca="1" si="48"/>
        <v>0</v>
      </c>
      <c r="AC49" s="301">
        <f t="shared" ca="1" si="48"/>
        <v>0</v>
      </c>
      <c r="AD49" s="301">
        <f t="shared" ca="1" si="48"/>
        <v>0</v>
      </c>
      <c r="AE49" s="301">
        <f t="shared" ca="1" si="48"/>
        <v>0</v>
      </c>
      <c r="AF49" s="301">
        <f t="shared" ca="1" si="48"/>
        <v>0</v>
      </c>
      <c r="AG49" s="301">
        <f t="shared" ca="1" si="48"/>
        <v>0</v>
      </c>
      <c r="AH49" s="301">
        <f t="shared" ca="1" si="48"/>
        <v>0</v>
      </c>
      <c r="AI49" s="301">
        <f t="shared" ca="1" si="48"/>
        <v>0</v>
      </c>
      <c r="AJ49" s="301">
        <f t="shared" ca="1" si="48"/>
        <v>0</v>
      </c>
      <c r="AK49" s="301">
        <f t="shared" ca="1" si="48"/>
        <v>0</v>
      </c>
      <c r="AL49" s="301">
        <f t="shared" ca="1" si="48"/>
        <v>0</v>
      </c>
      <c r="AM49" s="301">
        <f t="shared" ca="1" si="48"/>
        <v>0</v>
      </c>
      <c r="AN49" s="301">
        <f t="shared" ca="1" si="48"/>
        <v>0</v>
      </c>
      <c r="AO49" s="301">
        <f t="shared" ca="1" si="48"/>
        <v>0</v>
      </c>
      <c r="AP49" s="301">
        <f t="shared" ca="1" si="48"/>
        <v>0</v>
      </c>
      <c r="AQ49" s="301">
        <f t="shared" ca="1" si="48"/>
        <v>0</v>
      </c>
      <c r="AR49" s="301">
        <f t="shared" ca="1" si="48"/>
        <v>0</v>
      </c>
      <c r="AS49" s="301">
        <f t="shared" ca="1" si="39"/>
        <v>0</v>
      </c>
      <c r="AT49" s="301">
        <f t="shared" ca="1" si="39"/>
        <v>0</v>
      </c>
      <c r="AU49" s="301">
        <f t="shared" ca="1" si="39"/>
        <v>0</v>
      </c>
      <c r="AV49" s="301">
        <f t="shared" ca="1" si="39"/>
        <v>0</v>
      </c>
    </row>
    <row r="50" spans="1:48" x14ac:dyDescent="0.25">
      <c r="A50" s="25" t="s">
        <v>192</v>
      </c>
      <c r="B50" t="s">
        <v>4</v>
      </c>
      <c r="C50" s="25" t="s">
        <v>199</v>
      </c>
      <c r="D50" s="25">
        <f ca="1">INDEX(INDIRECT(CONCATENATE("'",RIGHT(D$1,2),"'!$F$8:$N$88")),MATCH($A50,INDIRECT(CONCATENATE("'",RIGHT(D$1,2),IF($B50="chemicals","'!$C$8:$C$88","'!$B$8:$B$88"))),0),MATCH('Other Industrial Processes'!$C50,INDIRECT(CONCATENATE("'",RIGHT(D$1,2),"'!$F$4:$N$4")),0))</f>
        <v>0</v>
      </c>
      <c r="E50" s="25">
        <f ca="1">INDEX(INDIRECT(CONCATENATE("'",RIGHT(E$1,2),"'!$F$8:$N$88")),MATCH($A50,INDIRECT(CONCATENATE("'",RIGHT(E$1,2),IF($B50="chemicals","'!$C$8:$C$88","'!$B$8:$B$88"))),0),MATCH('Other Industrial Processes'!$C50,INDIRECT(CONCATENATE("'",RIGHT(E$1,2),"'!$F$4:$N$4")),0))</f>
        <v>0</v>
      </c>
      <c r="F50" s="25">
        <f ca="1">INDEX(INDIRECT(CONCATENATE("'",RIGHT(F$1,2),"'!$F$8:$N$88")),MATCH($A50,INDIRECT(CONCATENATE("'",RIGHT(F$1,2),IF($B50="chemicals","'!$C$8:$C$88","'!$B$8:$B$88"))),0),MATCH('Other Industrial Processes'!$C50,INDIRECT(CONCATENATE("'",RIGHT(F$1,2),"'!$F$4:$N$4")),0))</f>
        <v>0</v>
      </c>
      <c r="G50" s="25">
        <f ca="1">INDEX(INDIRECT(CONCATENATE("'",RIGHT(G$1,2),"'!$F$8:$N$88")),MATCH($A50,INDIRECT(CONCATENATE("'",RIGHT(G$1,2),IF($B50="chemicals","'!$C$8:$C$88","'!$B$8:$B$88"))),0),MATCH('Other Industrial Processes'!$C50,INDIRECT(CONCATENATE("'",RIGHT(G$1,2),"'!$F$4:$N$4")),0))</f>
        <v>0</v>
      </c>
      <c r="H50" s="25">
        <f ca="1">INDEX(INDIRECT(CONCATENATE("'",RIGHT(H$1,2),"'!$F$8:$N$88")),MATCH($A50,INDIRECT(CONCATENATE("'",RIGHT(H$1,2),IF($B50="chemicals","'!$C$8:$C$88","'!$B$8:$B$88"))),0),MATCH('Other Industrial Processes'!$C50,INDIRECT(CONCATENATE("'",RIGHT(H$1,2),"'!$F$4:$N$4")),0))</f>
        <v>0</v>
      </c>
      <c r="I50" s="25">
        <f ca="1">INDEX(INDIRECT(CONCATENATE("'",RIGHT(I$1,2),"'!$F$8:$N$88")),MATCH($A50,INDIRECT(CONCATENATE("'",RIGHT(I$1,2),IF($B50="chemicals","'!$C$8:$C$88","'!$B$8:$B$88"))),0),MATCH('Other Industrial Processes'!$C50,INDIRECT(CONCATENATE("'",RIGHT(I$1,2),"'!$F$4:$N$4")),0))</f>
        <v>0</v>
      </c>
      <c r="J50" s="25">
        <f ca="1">INDEX(INDIRECT(CONCATENATE("'",RIGHT(J$1,2),"'!$F$8:$N$88")),MATCH($A50,INDIRECT(CONCATENATE("'",RIGHT(J$1,2),IF($B50="chemicals","'!$C$8:$C$88","'!$B$8:$B$88"))),0),MATCH('Other Industrial Processes'!$C50,INDIRECT(CONCATENATE("'",RIGHT(J$1,2),"'!$F$4:$N$4")),0))</f>
        <v>0</v>
      </c>
      <c r="K50" s="25">
        <f ca="1">INDEX(INDIRECT(CONCATENATE("'",RIGHT(K$1,2),"'!$F$8:$N$88")),MATCH($A50,INDIRECT(CONCATENATE("'",RIGHT(K$1,2),IF($B50="chemicals","'!$C$8:$C$88","'!$B$8:$B$88"))),0),MATCH('Other Industrial Processes'!$C50,INDIRECT(CONCATENATE("'",RIGHT(K$1,2),"'!$F$4:$N$4")),0))</f>
        <v>0</v>
      </c>
      <c r="L50" s="25">
        <f ca="1">INDEX(INDIRECT(CONCATENATE("'",RIGHT(L$1,2),"'!$F$8:$N$88")),MATCH($A50,INDIRECT(CONCATENATE("'",RIGHT(L$1,2),IF($B50="chemicals","'!$C$8:$C$88","'!$B$8:$B$88"))),0),MATCH('Other Industrial Processes'!$C50,INDIRECT(CONCATENATE("'",RIGHT(L$1,2),"'!$F$4:$N$4")),0))</f>
        <v>0</v>
      </c>
      <c r="M50" s="25">
        <f ca="1">INDEX(INDIRECT(CONCATENATE("'",RIGHT(M$1,2),"'!$F$8:$N$88")),MATCH($A50,INDIRECT(CONCATENATE("'",RIGHT(M$1,2),IF($B50="chemicals","'!$C$8:$C$88","'!$B$8:$B$88"))),0),MATCH('Other Industrial Processes'!$C50,INDIRECT(CONCATENATE("'",RIGHT(M$1,2),"'!$F$4:$N$4")),0))</f>
        <v>0</v>
      </c>
      <c r="N50" s="301">
        <f t="shared" ref="N50:AR50" ca="1" si="49">IFERROR(IF($M50-$D50&gt;=0,($M50-$D50)/COUNT($E$1:$M$1)+M50,$F114*$E114^N$1),0)</f>
        <v>0</v>
      </c>
      <c r="O50" s="301">
        <f t="shared" ca="1" si="49"/>
        <v>0</v>
      </c>
      <c r="P50" s="301">
        <f t="shared" ca="1" si="49"/>
        <v>0</v>
      </c>
      <c r="Q50" s="301">
        <f t="shared" ca="1" si="49"/>
        <v>0</v>
      </c>
      <c r="R50" s="301">
        <f t="shared" ca="1" si="49"/>
        <v>0</v>
      </c>
      <c r="S50" s="301">
        <f t="shared" ca="1" si="49"/>
        <v>0</v>
      </c>
      <c r="T50" s="301">
        <f t="shared" ca="1" si="49"/>
        <v>0</v>
      </c>
      <c r="U50" s="301">
        <f t="shared" ca="1" si="49"/>
        <v>0</v>
      </c>
      <c r="V50" s="301">
        <f t="shared" ca="1" si="49"/>
        <v>0</v>
      </c>
      <c r="W50" s="301">
        <f t="shared" ca="1" si="49"/>
        <v>0</v>
      </c>
      <c r="X50" s="301">
        <f t="shared" ca="1" si="49"/>
        <v>0</v>
      </c>
      <c r="Y50" s="301">
        <f t="shared" ca="1" si="49"/>
        <v>0</v>
      </c>
      <c r="Z50" s="301">
        <f t="shared" ca="1" si="49"/>
        <v>0</v>
      </c>
      <c r="AA50" s="301">
        <f t="shared" ca="1" si="49"/>
        <v>0</v>
      </c>
      <c r="AB50" s="301">
        <f t="shared" ca="1" si="49"/>
        <v>0</v>
      </c>
      <c r="AC50" s="301">
        <f t="shared" ca="1" si="49"/>
        <v>0</v>
      </c>
      <c r="AD50" s="301">
        <f t="shared" ca="1" si="49"/>
        <v>0</v>
      </c>
      <c r="AE50" s="301">
        <f t="shared" ca="1" si="49"/>
        <v>0</v>
      </c>
      <c r="AF50" s="301">
        <f t="shared" ca="1" si="49"/>
        <v>0</v>
      </c>
      <c r="AG50" s="301">
        <f t="shared" ca="1" si="49"/>
        <v>0</v>
      </c>
      <c r="AH50" s="301">
        <f t="shared" ca="1" si="49"/>
        <v>0</v>
      </c>
      <c r="AI50" s="301">
        <f t="shared" ca="1" si="49"/>
        <v>0</v>
      </c>
      <c r="AJ50" s="301">
        <f t="shared" ca="1" si="49"/>
        <v>0</v>
      </c>
      <c r="AK50" s="301">
        <f t="shared" ca="1" si="49"/>
        <v>0</v>
      </c>
      <c r="AL50" s="301">
        <f t="shared" ca="1" si="49"/>
        <v>0</v>
      </c>
      <c r="AM50" s="301">
        <f t="shared" ca="1" si="49"/>
        <v>0</v>
      </c>
      <c r="AN50" s="301">
        <f t="shared" ca="1" si="49"/>
        <v>0</v>
      </c>
      <c r="AO50" s="301">
        <f t="shared" ca="1" si="49"/>
        <v>0</v>
      </c>
      <c r="AP50" s="301">
        <f t="shared" ca="1" si="49"/>
        <v>0</v>
      </c>
      <c r="AQ50" s="301">
        <f t="shared" ca="1" si="49"/>
        <v>0</v>
      </c>
      <c r="AR50" s="301">
        <f t="shared" ca="1" si="49"/>
        <v>0</v>
      </c>
      <c r="AS50" s="301">
        <f t="shared" ca="1" si="39"/>
        <v>0</v>
      </c>
      <c r="AT50" s="301">
        <f t="shared" ca="1" si="39"/>
        <v>0</v>
      </c>
      <c r="AU50" s="301">
        <f t="shared" ca="1" si="39"/>
        <v>0</v>
      </c>
      <c r="AV50" s="301">
        <f t="shared" ca="1" si="39"/>
        <v>0</v>
      </c>
    </row>
    <row r="51" spans="1:48" x14ac:dyDescent="0.25">
      <c r="A51" s="25" t="s">
        <v>190</v>
      </c>
      <c r="B51" t="s">
        <v>4</v>
      </c>
      <c r="C51" s="25" t="s">
        <v>199</v>
      </c>
      <c r="D51" s="25">
        <f ca="1">INDEX(INDIRECT(CONCATENATE("'",RIGHT(D$1,2),"'!$F$8:$N$88")),MATCH($A51,INDIRECT(CONCATENATE("'",RIGHT(D$1,2),IF($B51="chemicals","'!$C$8:$C$88","'!$B$8:$B$88"))),0),MATCH('Other Industrial Processes'!$C51,INDIRECT(CONCATENATE("'",RIGHT(D$1,2),"'!$F$4:$N$4")),0))</f>
        <v>0</v>
      </c>
      <c r="E51" s="25">
        <f ca="1">INDEX(INDIRECT(CONCATENATE("'",RIGHT(E$1,2),"'!$F$8:$N$88")),MATCH($A51,INDIRECT(CONCATENATE("'",RIGHT(E$1,2),IF($B51="chemicals","'!$C$8:$C$88","'!$B$8:$B$88"))),0),MATCH('Other Industrial Processes'!$C51,INDIRECT(CONCATENATE("'",RIGHT(E$1,2),"'!$F$4:$N$4")),0))</f>
        <v>0</v>
      </c>
      <c r="F51" s="25">
        <f ca="1">INDEX(INDIRECT(CONCATENATE("'",RIGHT(F$1,2),"'!$F$8:$N$88")),MATCH($A51,INDIRECT(CONCATENATE("'",RIGHT(F$1,2),IF($B51="chemicals","'!$C$8:$C$88","'!$B$8:$B$88"))),0),MATCH('Other Industrial Processes'!$C51,INDIRECT(CONCATENATE("'",RIGHT(F$1,2),"'!$F$4:$N$4")),0))</f>
        <v>0</v>
      </c>
      <c r="G51" s="25">
        <f ca="1">INDEX(INDIRECT(CONCATENATE("'",RIGHT(G$1,2),"'!$F$8:$N$88")),MATCH($A51,INDIRECT(CONCATENATE("'",RIGHT(G$1,2),IF($B51="chemicals","'!$C$8:$C$88","'!$B$8:$B$88"))),0),MATCH('Other Industrial Processes'!$C51,INDIRECT(CONCATENATE("'",RIGHT(G$1,2),"'!$F$4:$N$4")),0))</f>
        <v>0</v>
      </c>
      <c r="H51" s="25">
        <f ca="1">INDEX(INDIRECT(CONCATENATE("'",RIGHT(H$1,2),"'!$F$8:$N$88")),MATCH($A51,INDIRECT(CONCATENATE("'",RIGHT(H$1,2),IF($B51="chemicals","'!$C$8:$C$88","'!$B$8:$B$88"))),0),MATCH('Other Industrial Processes'!$C51,INDIRECT(CONCATENATE("'",RIGHT(H$1,2),"'!$F$4:$N$4")),0))</f>
        <v>0</v>
      </c>
      <c r="I51" s="25">
        <f ca="1">INDEX(INDIRECT(CONCATENATE("'",RIGHT(I$1,2),"'!$F$8:$N$88")),MATCH($A51,INDIRECT(CONCATENATE("'",RIGHT(I$1,2),IF($B51="chemicals","'!$C$8:$C$88","'!$B$8:$B$88"))),0),MATCH('Other Industrial Processes'!$C51,INDIRECT(CONCATENATE("'",RIGHT(I$1,2),"'!$F$4:$N$4")),0))</f>
        <v>0</v>
      </c>
      <c r="J51" s="25">
        <f ca="1">INDEX(INDIRECT(CONCATENATE("'",RIGHT(J$1,2),"'!$F$8:$N$88")),MATCH($A51,INDIRECT(CONCATENATE("'",RIGHT(J$1,2),IF($B51="chemicals","'!$C$8:$C$88","'!$B$8:$B$88"))),0),MATCH('Other Industrial Processes'!$C51,INDIRECT(CONCATENATE("'",RIGHT(J$1,2),"'!$F$4:$N$4")),0))</f>
        <v>0</v>
      </c>
      <c r="K51" s="25">
        <f ca="1">INDEX(INDIRECT(CONCATENATE("'",RIGHT(K$1,2),"'!$F$8:$N$88")),MATCH($A51,INDIRECT(CONCATENATE("'",RIGHT(K$1,2),IF($B51="chemicals","'!$C$8:$C$88","'!$B$8:$B$88"))),0),MATCH('Other Industrial Processes'!$C51,INDIRECT(CONCATENATE("'",RIGHT(K$1,2),"'!$F$4:$N$4")),0))</f>
        <v>0</v>
      </c>
      <c r="L51" s="25">
        <f ca="1">INDEX(INDIRECT(CONCATENATE("'",RIGHT(L$1,2),"'!$F$8:$N$88")),MATCH($A51,INDIRECT(CONCATENATE("'",RIGHT(L$1,2),IF($B51="chemicals","'!$C$8:$C$88","'!$B$8:$B$88"))),0),MATCH('Other Industrial Processes'!$C51,INDIRECT(CONCATENATE("'",RIGHT(L$1,2),"'!$F$4:$N$4")),0))</f>
        <v>0</v>
      </c>
      <c r="M51" s="25">
        <f ca="1">INDEX(INDIRECT(CONCATENATE("'",RIGHT(M$1,2),"'!$F$8:$N$88")),MATCH($A51,INDIRECT(CONCATENATE("'",RIGHT(M$1,2),IF($B51="chemicals","'!$C$8:$C$88","'!$B$8:$B$88"))),0),MATCH('Other Industrial Processes'!$C51,INDIRECT(CONCATENATE("'",RIGHT(M$1,2),"'!$F$4:$N$4")),0))</f>
        <v>0</v>
      </c>
      <c r="N51" s="301">
        <f t="shared" ref="N51:AR51" ca="1" si="50">IFERROR(IF($M51-$D51&gt;=0,($M51-$D51)/COUNT($E$1:$M$1)+M51,$F115*$E115^N$1),0)</f>
        <v>0</v>
      </c>
      <c r="O51" s="301">
        <f t="shared" ca="1" si="50"/>
        <v>0</v>
      </c>
      <c r="P51" s="301">
        <f t="shared" ca="1" si="50"/>
        <v>0</v>
      </c>
      <c r="Q51" s="301">
        <f t="shared" ca="1" si="50"/>
        <v>0</v>
      </c>
      <c r="R51" s="301">
        <f t="shared" ca="1" si="50"/>
        <v>0</v>
      </c>
      <c r="S51" s="301">
        <f t="shared" ca="1" si="50"/>
        <v>0</v>
      </c>
      <c r="T51" s="301">
        <f t="shared" ca="1" si="50"/>
        <v>0</v>
      </c>
      <c r="U51" s="301">
        <f t="shared" ca="1" si="50"/>
        <v>0</v>
      </c>
      <c r="V51" s="301">
        <f t="shared" ca="1" si="50"/>
        <v>0</v>
      </c>
      <c r="W51" s="301">
        <f t="shared" ca="1" si="50"/>
        <v>0</v>
      </c>
      <c r="X51" s="301">
        <f t="shared" ca="1" si="50"/>
        <v>0</v>
      </c>
      <c r="Y51" s="301">
        <f t="shared" ca="1" si="50"/>
        <v>0</v>
      </c>
      <c r="Z51" s="301">
        <f t="shared" ca="1" si="50"/>
        <v>0</v>
      </c>
      <c r="AA51" s="301">
        <f t="shared" ca="1" si="50"/>
        <v>0</v>
      </c>
      <c r="AB51" s="301">
        <f t="shared" ca="1" si="50"/>
        <v>0</v>
      </c>
      <c r="AC51" s="301">
        <f t="shared" ca="1" si="50"/>
        <v>0</v>
      </c>
      <c r="AD51" s="301">
        <f t="shared" ca="1" si="50"/>
        <v>0</v>
      </c>
      <c r="AE51" s="301">
        <f t="shared" ca="1" si="50"/>
        <v>0</v>
      </c>
      <c r="AF51" s="301">
        <f t="shared" ca="1" si="50"/>
        <v>0</v>
      </c>
      <c r="AG51" s="301">
        <f t="shared" ca="1" si="50"/>
        <v>0</v>
      </c>
      <c r="AH51" s="301">
        <f t="shared" ca="1" si="50"/>
        <v>0</v>
      </c>
      <c r="AI51" s="301">
        <f t="shared" ca="1" si="50"/>
        <v>0</v>
      </c>
      <c r="AJ51" s="301">
        <f t="shared" ca="1" si="50"/>
        <v>0</v>
      </c>
      <c r="AK51" s="301">
        <f t="shared" ca="1" si="50"/>
        <v>0</v>
      </c>
      <c r="AL51" s="301">
        <f t="shared" ca="1" si="50"/>
        <v>0</v>
      </c>
      <c r="AM51" s="301">
        <f t="shared" ca="1" si="50"/>
        <v>0</v>
      </c>
      <c r="AN51" s="301">
        <f t="shared" ca="1" si="50"/>
        <v>0</v>
      </c>
      <c r="AO51" s="301">
        <f t="shared" ca="1" si="50"/>
        <v>0</v>
      </c>
      <c r="AP51" s="301">
        <f t="shared" ca="1" si="50"/>
        <v>0</v>
      </c>
      <c r="AQ51" s="301">
        <f t="shared" ca="1" si="50"/>
        <v>0</v>
      </c>
      <c r="AR51" s="301">
        <f t="shared" ca="1" si="50"/>
        <v>0</v>
      </c>
      <c r="AS51" s="301">
        <f t="shared" ca="1" si="39"/>
        <v>0</v>
      </c>
      <c r="AT51" s="301">
        <f t="shared" ca="1" si="39"/>
        <v>0</v>
      </c>
      <c r="AU51" s="301">
        <f t="shared" ca="1" si="39"/>
        <v>0</v>
      </c>
      <c r="AV51" s="301">
        <f t="shared" ca="1" si="39"/>
        <v>0</v>
      </c>
    </row>
    <row r="52" spans="1:48" x14ac:dyDescent="0.25">
      <c r="A52" s="25" t="s">
        <v>770</v>
      </c>
      <c r="B52" t="s">
        <v>4</v>
      </c>
      <c r="C52" s="25" t="s">
        <v>199</v>
      </c>
      <c r="D52" s="25">
        <f ca="1">INDEX(INDIRECT(CONCATENATE("'",RIGHT(D$1,2),"'!$F$8:$N$88")),MATCH($A52,INDIRECT(CONCATENATE("'",RIGHT(D$1,2),IF($B52="chemicals","'!$C$8:$C$88","'!$B$8:$B$88"))),0),MATCH('Other Industrial Processes'!$C52,INDIRECT(CONCATENATE("'",RIGHT(D$1,2),"'!$F$4:$N$4")),0))</f>
        <v>0</v>
      </c>
      <c r="E52" s="25">
        <f ca="1">INDEX(INDIRECT(CONCATENATE("'",RIGHT(E$1,2),"'!$F$8:$N$88")),MATCH($A52,INDIRECT(CONCATENATE("'",RIGHT(E$1,2),IF($B52="chemicals","'!$C$8:$C$88","'!$B$8:$B$88"))),0),MATCH('Other Industrial Processes'!$C52,INDIRECT(CONCATENATE("'",RIGHT(E$1,2),"'!$F$4:$N$4")),0))</f>
        <v>0</v>
      </c>
      <c r="F52" s="25">
        <f ca="1">INDEX(INDIRECT(CONCATENATE("'",RIGHT(F$1,2),"'!$F$8:$N$88")),MATCH($A52,INDIRECT(CONCATENATE("'",RIGHT(F$1,2),IF($B52="chemicals","'!$C$8:$C$88","'!$B$8:$B$88"))),0),MATCH('Other Industrial Processes'!$C52,INDIRECT(CONCATENATE("'",RIGHT(F$1,2),"'!$F$4:$N$4")),0))</f>
        <v>0</v>
      </c>
      <c r="G52" s="25">
        <f ca="1">INDEX(INDIRECT(CONCATENATE("'",RIGHT(G$1,2),"'!$F$8:$N$88")),MATCH($A52,INDIRECT(CONCATENATE("'",RIGHT(G$1,2),IF($B52="chemicals","'!$C$8:$C$88","'!$B$8:$B$88"))),0),MATCH('Other Industrial Processes'!$C52,INDIRECT(CONCATENATE("'",RIGHT(G$1,2),"'!$F$4:$N$4")),0))</f>
        <v>0</v>
      </c>
      <c r="H52" s="25">
        <f ca="1">INDEX(INDIRECT(CONCATENATE("'",RIGHT(H$1,2),"'!$F$8:$N$88")),MATCH($A52,INDIRECT(CONCATENATE("'",RIGHT(H$1,2),IF($B52="chemicals","'!$C$8:$C$88","'!$B$8:$B$88"))),0),MATCH('Other Industrial Processes'!$C52,INDIRECT(CONCATENATE("'",RIGHT(H$1,2),"'!$F$4:$N$4")),0))</f>
        <v>0</v>
      </c>
      <c r="I52" s="25">
        <f ca="1">INDEX(INDIRECT(CONCATENATE("'",RIGHT(I$1,2),"'!$F$8:$N$88")),MATCH($A52,INDIRECT(CONCATENATE("'",RIGHT(I$1,2),IF($B52="chemicals","'!$C$8:$C$88","'!$B$8:$B$88"))),0),MATCH('Other Industrial Processes'!$C52,INDIRECT(CONCATENATE("'",RIGHT(I$1,2),"'!$F$4:$N$4")),0))</f>
        <v>0</v>
      </c>
      <c r="J52" s="25">
        <f ca="1">INDEX(INDIRECT(CONCATENATE("'",RIGHT(J$1,2),"'!$F$8:$N$88")),MATCH($A52,INDIRECT(CONCATENATE("'",RIGHT(J$1,2),IF($B52="chemicals","'!$C$8:$C$88","'!$B$8:$B$88"))),0),MATCH('Other Industrial Processes'!$C52,INDIRECT(CONCATENATE("'",RIGHT(J$1,2),"'!$F$4:$N$4")),0))</f>
        <v>0</v>
      </c>
      <c r="K52" s="25">
        <f ca="1">INDEX(INDIRECT(CONCATENATE("'",RIGHT(K$1,2),"'!$F$8:$N$88")),MATCH($A52,INDIRECT(CONCATENATE("'",RIGHT(K$1,2),IF($B52="chemicals","'!$C$8:$C$88","'!$B$8:$B$88"))),0),MATCH('Other Industrial Processes'!$C52,INDIRECT(CONCATENATE("'",RIGHT(K$1,2),"'!$F$4:$N$4")),0))</f>
        <v>0</v>
      </c>
      <c r="L52" s="25">
        <f ca="1">INDEX(INDIRECT(CONCATENATE("'",RIGHT(L$1,2),"'!$F$8:$N$88")),MATCH($A52,INDIRECT(CONCATENATE("'",RIGHT(L$1,2),IF($B52="chemicals","'!$C$8:$C$88","'!$B$8:$B$88"))),0),MATCH('Other Industrial Processes'!$C52,INDIRECT(CONCATENATE("'",RIGHT(L$1,2),"'!$F$4:$N$4")),0))</f>
        <v>0</v>
      </c>
      <c r="M52" s="25">
        <f ca="1">INDEX(INDIRECT(CONCATENATE("'",RIGHT(M$1,2),"'!$F$8:$N$88")),MATCH($A52,INDIRECT(CONCATENATE("'",RIGHT(M$1,2),IF($B52="chemicals","'!$C$8:$C$88","'!$B$8:$B$88"))),0),MATCH('Other Industrial Processes'!$C52,INDIRECT(CONCATENATE("'",RIGHT(M$1,2),"'!$F$4:$N$4")),0))</f>
        <v>0</v>
      </c>
      <c r="N52" s="301">
        <f t="shared" ref="N52:AR52" ca="1" si="51">IFERROR(IF($M52-$D52&gt;=0,($M52-$D52)/COUNT($E$1:$M$1)+M52,$F116*$E116^N$1),0)</f>
        <v>0</v>
      </c>
      <c r="O52" s="301">
        <f t="shared" ca="1" si="51"/>
        <v>0</v>
      </c>
      <c r="P52" s="301">
        <f t="shared" ca="1" si="51"/>
        <v>0</v>
      </c>
      <c r="Q52" s="301">
        <f t="shared" ca="1" si="51"/>
        <v>0</v>
      </c>
      <c r="R52" s="301">
        <f t="shared" ca="1" si="51"/>
        <v>0</v>
      </c>
      <c r="S52" s="301">
        <f t="shared" ca="1" si="51"/>
        <v>0</v>
      </c>
      <c r="T52" s="301">
        <f t="shared" ca="1" si="51"/>
        <v>0</v>
      </c>
      <c r="U52" s="301">
        <f t="shared" ca="1" si="51"/>
        <v>0</v>
      </c>
      <c r="V52" s="301">
        <f t="shared" ca="1" si="51"/>
        <v>0</v>
      </c>
      <c r="W52" s="301">
        <f t="shared" ca="1" si="51"/>
        <v>0</v>
      </c>
      <c r="X52" s="301">
        <f t="shared" ca="1" si="51"/>
        <v>0</v>
      </c>
      <c r="Y52" s="301">
        <f t="shared" ca="1" si="51"/>
        <v>0</v>
      </c>
      <c r="Z52" s="301">
        <f t="shared" ca="1" si="51"/>
        <v>0</v>
      </c>
      <c r="AA52" s="301">
        <f t="shared" ca="1" si="51"/>
        <v>0</v>
      </c>
      <c r="AB52" s="301">
        <f t="shared" ca="1" si="51"/>
        <v>0</v>
      </c>
      <c r="AC52" s="301">
        <f t="shared" ca="1" si="51"/>
        <v>0</v>
      </c>
      <c r="AD52" s="301">
        <f t="shared" ca="1" si="51"/>
        <v>0</v>
      </c>
      <c r="AE52" s="301">
        <f t="shared" ca="1" si="51"/>
        <v>0</v>
      </c>
      <c r="AF52" s="301">
        <f t="shared" ca="1" si="51"/>
        <v>0</v>
      </c>
      <c r="AG52" s="301">
        <f t="shared" ca="1" si="51"/>
        <v>0</v>
      </c>
      <c r="AH52" s="301">
        <f t="shared" ca="1" si="51"/>
        <v>0</v>
      </c>
      <c r="AI52" s="301">
        <f t="shared" ca="1" si="51"/>
        <v>0</v>
      </c>
      <c r="AJ52" s="301">
        <f t="shared" ca="1" si="51"/>
        <v>0</v>
      </c>
      <c r="AK52" s="301">
        <f t="shared" ca="1" si="51"/>
        <v>0</v>
      </c>
      <c r="AL52" s="301">
        <f t="shared" ca="1" si="51"/>
        <v>0</v>
      </c>
      <c r="AM52" s="301">
        <f t="shared" ca="1" si="51"/>
        <v>0</v>
      </c>
      <c r="AN52" s="301">
        <f t="shared" ca="1" si="51"/>
        <v>0</v>
      </c>
      <c r="AO52" s="301">
        <f t="shared" ca="1" si="51"/>
        <v>0</v>
      </c>
      <c r="AP52" s="301">
        <f t="shared" ca="1" si="51"/>
        <v>0</v>
      </c>
      <c r="AQ52" s="301">
        <f t="shared" ca="1" si="51"/>
        <v>0</v>
      </c>
      <c r="AR52" s="301">
        <f t="shared" ca="1" si="51"/>
        <v>0</v>
      </c>
      <c r="AS52" s="301">
        <f t="shared" ca="1" si="39"/>
        <v>0</v>
      </c>
      <c r="AT52" s="301">
        <f t="shared" ca="1" si="39"/>
        <v>0</v>
      </c>
      <c r="AU52" s="301">
        <f t="shared" ca="1" si="39"/>
        <v>0</v>
      </c>
      <c r="AV52" s="301">
        <f t="shared" ca="1" si="39"/>
        <v>0</v>
      </c>
    </row>
    <row r="53" spans="1:48" x14ac:dyDescent="0.25">
      <c r="A53" s="25" t="s">
        <v>771</v>
      </c>
      <c r="B53" t="s">
        <v>4</v>
      </c>
      <c r="C53" s="25" t="s">
        <v>199</v>
      </c>
      <c r="D53" s="25">
        <f ca="1">INDEX(INDIRECT(CONCATENATE("'",RIGHT(D$1,2),"'!$F$8:$N$88")),MATCH($A53,INDIRECT(CONCATENATE("'",RIGHT(D$1,2),IF($B53="chemicals","'!$C$8:$C$88","'!$B$8:$B$88"))),0),MATCH('Other Industrial Processes'!$C53,INDIRECT(CONCATENATE("'",RIGHT(D$1,2),"'!$F$4:$N$4")),0))</f>
        <v>0</v>
      </c>
      <c r="E53" s="25">
        <f ca="1">INDEX(INDIRECT(CONCATENATE("'",RIGHT(E$1,2),"'!$F$8:$N$88")),MATCH($A53,INDIRECT(CONCATENATE("'",RIGHT(E$1,2),IF($B53="chemicals","'!$C$8:$C$88","'!$B$8:$B$88"))),0),MATCH('Other Industrial Processes'!$C53,INDIRECT(CONCATENATE("'",RIGHT(E$1,2),"'!$F$4:$N$4")),0))</f>
        <v>0</v>
      </c>
      <c r="F53" s="25">
        <f ca="1">INDEX(INDIRECT(CONCATENATE("'",RIGHT(F$1,2),"'!$F$8:$N$88")),MATCH($A53,INDIRECT(CONCATENATE("'",RIGHT(F$1,2),IF($B53="chemicals","'!$C$8:$C$88","'!$B$8:$B$88"))),0),MATCH('Other Industrial Processes'!$C53,INDIRECT(CONCATENATE("'",RIGHT(F$1,2),"'!$F$4:$N$4")),0))</f>
        <v>0</v>
      </c>
      <c r="G53" s="25">
        <f ca="1">INDEX(INDIRECT(CONCATENATE("'",RIGHT(G$1,2),"'!$F$8:$N$88")),MATCH($A53,INDIRECT(CONCATENATE("'",RIGHT(G$1,2),IF($B53="chemicals","'!$C$8:$C$88","'!$B$8:$B$88"))),0),MATCH('Other Industrial Processes'!$C53,INDIRECT(CONCATENATE("'",RIGHT(G$1,2),"'!$F$4:$N$4")),0))</f>
        <v>0</v>
      </c>
      <c r="H53" s="25">
        <f ca="1">INDEX(INDIRECT(CONCATENATE("'",RIGHT(H$1,2),"'!$F$8:$N$88")),MATCH($A53,INDIRECT(CONCATENATE("'",RIGHT(H$1,2),IF($B53="chemicals","'!$C$8:$C$88","'!$B$8:$B$88"))),0),MATCH('Other Industrial Processes'!$C53,INDIRECT(CONCATENATE("'",RIGHT(H$1,2),"'!$F$4:$N$4")),0))</f>
        <v>0</v>
      </c>
      <c r="I53" s="25">
        <f ca="1">INDEX(INDIRECT(CONCATENATE("'",RIGHT(I$1,2),"'!$F$8:$N$88")),MATCH($A53,INDIRECT(CONCATENATE("'",RIGHT(I$1,2),IF($B53="chemicals","'!$C$8:$C$88","'!$B$8:$B$88"))),0),MATCH('Other Industrial Processes'!$C53,INDIRECT(CONCATENATE("'",RIGHT(I$1,2),"'!$F$4:$N$4")),0))</f>
        <v>0</v>
      </c>
      <c r="J53" s="25">
        <f ca="1">INDEX(INDIRECT(CONCATENATE("'",RIGHT(J$1,2),"'!$F$8:$N$88")),MATCH($A53,INDIRECT(CONCATENATE("'",RIGHT(J$1,2),IF($B53="chemicals","'!$C$8:$C$88","'!$B$8:$B$88"))),0),MATCH('Other Industrial Processes'!$C53,INDIRECT(CONCATENATE("'",RIGHT(J$1,2),"'!$F$4:$N$4")),0))</f>
        <v>0</v>
      </c>
      <c r="K53" s="25">
        <f ca="1">INDEX(INDIRECT(CONCATENATE("'",RIGHT(K$1,2),"'!$F$8:$N$88")),MATCH($A53,INDIRECT(CONCATENATE("'",RIGHT(K$1,2),IF($B53="chemicals","'!$C$8:$C$88","'!$B$8:$B$88"))),0),MATCH('Other Industrial Processes'!$C53,INDIRECT(CONCATENATE("'",RIGHT(K$1,2),"'!$F$4:$N$4")),0))</f>
        <v>0</v>
      </c>
      <c r="L53" s="25">
        <f ca="1">INDEX(INDIRECT(CONCATENATE("'",RIGHT(L$1,2),"'!$F$8:$N$88")),MATCH($A53,INDIRECT(CONCATENATE("'",RIGHT(L$1,2),IF($B53="chemicals","'!$C$8:$C$88","'!$B$8:$B$88"))),0),MATCH('Other Industrial Processes'!$C53,INDIRECT(CONCATENATE("'",RIGHT(L$1,2),"'!$F$4:$N$4")),0))</f>
        <v>0</v>
      </c>
      <c r="M53" s="25">
        <f ca="1">INDEX(INDIRECT(CONCATENATE("'",RIGHT(M$1,2),"'!$F$8:$N$88")),MATCH($A53,INDIRECT(CONCATENATE("'",RIGHT(M$1,2),IF($B53="chemicals","'!$C$8:$C$88","'!$B$8:$B$88"))),0),MATCH('Other Industrial Processes'!$C53,INDIRECT(CONCATENATE("'",RIGHT(M$1,2),"'!$F$4:$N$4")),0))</f>
        <v>0</v>
      </c>
      <c r="N53" s="301">
        <f t="shared" ref="N53:AR53" ca="1" si="52">IFERROR(IF($M53-$D53&gt;=0,($M53-$D53)/COUNT($E$1:$M$1)+M53,$F117*$E117^N$1),0)</f>
        <v>0</v>
      </c>
      <c r="O53" s="301">
        <f t="shared" ca="1" si="52"/>
        <v>0</v>
      </c>
      <c r="P53" s="301">
        <f t="shared" ca="1" si="52"/>
        <v>0</v>
      </c>
      <c r="Q53" s="301">
        <f t="shared" ca="1" si="52"/>
        <v>0</v>
      </c>
      <c r="R53" s="301">
        <f t="shared" ca="1" si="52"/>
        <v>0</v>
      </c>
      <c r="S53" s="301">
        <f t="shared" ca="1" si="52"/>
        <v>0</v>
      </c>
      <c r="T53" s="301">
        <f t="shared" ca="1" si="52"/>
        <v>0</v>
      </c>
      <c r="U53" s="301">
        <f t="shared" ca="1" si="52"/>
        <v>0</v>
      </c>
      <c r="V53" s="301">
        <f t="shared" ca="1" si="52"/>
        <v>0</v>
      </c>
      <c r="W53" s="301">
        <f t="shared" ca="1" si="52"/>
        <v>0</v>
      </c>
      <c r="X53" s="301">
        <f t="shared" ca="1" si="52"/>
        <v>0</v>
      </c>
      <c r="Y53" s="301">
        <f t="shared" ca="1" si="52"/>
        <v>0</v>
      </c>
      <c r="Z53" s="301">
        <f t="shared" ca="1" si="52"/>
        <v>0</v>
      </c>
      <c r="AA53" s="301">
        <f t="shared" ca="1" si="52"/>
        <v>0</v>
      </c>
      <c r="AB53" s="301">
        <f t="shared" ca="1" si="52"/>
        <v>0</v>
      </c>
      <c r="AC53" s="301">
        <f t="shared" ca="1" si="52"/>
        <v>0</v>
      </c>
      <c r="AD53" s="301">
        <f t="shared" ca="1" si="52"/>
        <v>0</v>
      </c>
      <c r="AE53" s="301">
        <f t="shared" ca="1" si="52"/>
        <v>0</v>
      </c>
      <c r="AF53" s="301">
        <f t="shared" ca="1" si="52"/>
        <v>0</v>
      </c>
      <c r="AG53" s="301">
        <f t="shared" ca="1" si="52"/>
        <v>0</v>
      </c>
      <c r="AH53" s="301">
        <f t="shared" ca="1" si="52"/>
        <v>0</v>
      </c>
      <c r="AI53" s="301">
        <f t="shared" ca="1" si="52"/>
        <v>0</v>
      </c>
      <c r="AJ53" s="301">
        <f t="shared" ca="1" si="52"/>
        <v>0</v>
      </c>
      <c r="AK53" s="301">
        <f t="shared" ca="1" si="52"/>
        <v>0</v>
      </c>
      <c r="AL53" s="301">
        <f t="shared" ca="1" si="52"/>
        <v>0</v>
      </c>
      <c r="AM53" s="301">
        <f t="shared" ca="1" si="52"/>
        <v>0</v>
      </c>
      <c r="AN53" s="301">
        <f t="shared" ca="1" si="52"/>
        <v>0</v>
      </c>
      <c r="AO53" s="301">
        <f t="shared" ca="1" si="52"/>
        <v>0</v>
      </c>
      <c r="AP53" s="301">
        <f t="shared" ca="1" si="52"/>
        <v>0</v>
      </c>
      <c r="AQ53" s="301">
        <f t="shared" ca="1" si="52"/>
        <v>0</v>
      </c>
      <c r="AR53" s="301">
        <f t="shared" ca="1" si="52"/>
        <v>0</v>
      </c>
      <c r="AS53" s="301">
        <f t="shared" ca="1" si="39"/>
        <v>0</v>
      </c>
      <c r="AT53" s="301">
        <f t="shared" ca="1" si="39"/>
        <v>0</v>
      </c>
      <c r="AU53" s="301">
        <f t="shared" ca="1" si="39"/>
        <v>0</v>
      </c>
      <c r="AV53" s="301">
        <f t="shared" ca="1" si="39"/>
        <v>0</v>
      </c>
    </row>
    <row r="54" spans="1:48" x14ac:dyDescent="0.25">
      <c r="A54" s="25" t="s">
        <v>777</v>
      </c>
      <c r="B54" t="s">
        <v>2</v>
      </c>
      <c r="C54" s="25" t="s">
        <v>199</v>
      </c>
      <c r="D54" s="25">
        <f ca="1">INDEX(INDIRECT(CONCATENATE("'",RIGHT(D$1,2),"'!$F$8:$N$88")),MATCH($A54,INDIRECT(CONCATENATE("'",RIGHT(D$1,2),IF($B54="chemicals","'!$C$8:$C$88","'!$B$8:$B$88"))),0),MATCH('Other Industrial Processes'!$C54,INDIRECT(CONCATENATE("'",RIGHT(D$1,2),"'!$F$4:$N$4")),0))</f>
        <v>0</v>
      </c>
      <c r="E54" s="25">
        <f ca="1">INDEX(INDIRECT(CONCATENATE("'",RIGHT(E$1,2),"'!$F$8:$N$88")),MATCH($A54,INDIRECT(CONCATENATE("'",RIGHT(E$1,2),IF($B54="chemicals","'!$C$8:$C$88","'!$B$8:$B$88"))),0),MATCH('Other Industrial Processes'!$C54,INDIRECT(CONCATENATE("'",RIGHT(E$1,2),"'!$F$4:$N$4")),0))</f>
        <v>0</v>
      </c>
      <c r="F54" s="25">
        <f ca="1">INDEX(INDIRECT(CONCATENATE("'",RIGHT(F$1,2),"'!$F$8:$N$88")),MATCH($A54,INDIRECT(CONCATENATE("'",RIGHT(F$1,2),IF($B54="chemicals","'!$C$8:$C$88","'!$B$8:$B$88"))),0),MATCH('Other Industrial Processes'!$C54,INDIRECT(CONCATENATE("'",RIGHT(F$1,2),"'!$F$4:$N$4")),0))</f>
        <v>0</v>
      </c>
      <c r="G54" s="25">
        <f ca="1">INDEX(INDIRECT(CONCATENATE("'",RIGHT(G$1,2),"'!$F$8:$N$88")),MATCH($A54,INDIRECT(CONCATENATE("'",RIGHT(G$1,2),IF($B54="chemicals","'!$C$8:$C$88","'!$B$8:$B$88"))),0),MATCH('Other Industrial Processes'!$C54,INDIRECT(CONCATENATE("'",RIGHT(G$1,2),"'!$F$4:$N$4")),0))</f>
        <v>0</v>
      </c>
      <c r="H54" s="25">
        <f ca="1">INDEX(INDIRECT(CONCATENATE("'",RIGHT(H$1,2),"'!$F$8:$N$88")),MATCH($A54,INDIRECT(CONCATENATE("'",RIGHT(H$1,2),IF($B54="chemicals","'!$C$8:$C$88","'!$B$8:$B$88"))),0),MATCH('Other Industrial Processes'!$C54,INDIRECT(CONCATENATE("'",RIGHT(H$1,2),"'!$F$4:$N$4")),0))</f>
        <v>0</v>
      </c>
      <c r="I54" s="25">
        <f ca="1">INDEX(INDIRECT(CONCATENATE("'",RIGHT(I$1,2),"'!$F$8:$N$88")),MATCH($A54,INDIRECT(CONCATENATE("'",RIGHT(I$1,2),IF($B54="chemicals","'!$C$8:$C$88","'!$B$8:$B$88"))),0),MATCH('Other Industrial Processes'!$C54,INDIRECT(CONCATENATE("'",RIGHT(I$1,2),"'!$F$4:$N$4")),0))</f>
        <v>0</v>
      </c>
      <c r="J54" s="25">
        <f ca="1">INDEX(INDIRECT(CONCATENATE("'",RIGHT(J$1,2),"'!$F$8:$N$88")),MATCH($A54,INDIRECT(CONCATENATE("'",RIGHT(J$1,2),IF($B54="chemicals","'!$C$8:$C$88","'!$B$8:$B$88"))),0),MATCH('Other Industrial Processes'!$C54,INDIRECT(CONCATENATE("'",RIGHT(J$1,2),"'!$F$4:$N$4")),0))</f>
        <v>0</v>
      </c>
      <c r="K54" s="25">
        <f ca="1">INDEX(INDIRECT(CONCATENATE("'",RIGHT(K$1,2),"'!$F$8:$N$88")),MATCH($A54,INDIRECT(CONCATENATE("'",RIGHT(K$1,2),IF($B54="chemicals","'!$C$8:$C$88","'!$B$8:$B$88"))),0),MATCH('Other Industrial Processes'!$C54,INDIRECT(CONCATENATE("'",RIGHT(K$1,2),"'!$F$4:$N$4")),0))</f>
        <v>0</v>
      </c>
      <c r="L54" s="25">
        <f ca="1">INDEX(INDIRECT(CONCATENATE("'",RIGHT(L$1,2),"'!$F$8:$N$88")),MATCH($A54,INDIRECT(CONCATENATE("'",RIGHT(L$1,2),IF($B54="chemicals","'!$C$8:$C$88","'!$B$8:$B$88"))),0),MATCH('Other Industrial Processes'!$C54,INDIRECT(CONCATENATE("'",RIGHT(L$1,2),"'!$F$4:$N$4")),0))</f>
        <v>0</v>
      </c>
      <c r="M54" s="25">
        <f ca="1">INDEX(INDIRECT(CONCATENATE("'",RIGHT(M$1,2),"'!$F$8:$N$88")),MATCH($A54,INDIRECT(CONCATENATE("'",RIGHT(M$1,2),IF($B54="chemicals","'!$C$8:$C$88","'!$B$8:$B$88"))),0),MATCH('Other Industrial Processes'!$C54,INDIRECT(CONCATENATE("'",RIGHT(M$1,2),"'!$F$4:$N$4")),0))</f>
        <v>0</v>
      </c>
      <c r="N54" s="301">
        <f t="shared" ref="N54:AR54" ca="1" si="53">IFERROR(IF($M54-$D54&gt;=0,($M54-$D54)/COUNT($E$1:$M$1)+M54,$F118*$E118^N$1),0)</f>
        <v>0</v>
      </c>
      <c r="O54" s="301">
        <f t="shared" ca="1" si="53"/>
        <v>0</v>
      </c>
      <c r="P54" s="301">
        <f t="shared" ca="1" si="53"/>
        <v>0</v>
      </c>
      <c r="Q54" s="301">
        <f t="shared" ca="1" si="53"/>
        <v>0</v>
      </c>
      <c r="R54" s="301">
        <f t="shared" ca="1" si="53"/>
        <v>0</v>
      </c>
      <c r="S54" s="301">
        <f t="shared" ca="1" si="53"/>
        <v>0</v>
      </c>
      <c r="T54" s="301">
        <f t="shared" ca="1" si="53"/>
        <v>0</v>
      </c>
      <c r="U54" s="301">
        <f t="shared" ca="1" si="53"/>
        <v>0</v>
      </c>
      <c r="V54" s="301">
        <f t="shared" ca="1" si="53"/>
        <v>0</v>
      </c>
      <c r="W54" s="301">
        <f t="shared" ca="1" si="53"/>
        <v>0</v>
      </c>
      <c r="X54" s="301">
        <f t="shared" ca="1" si="53"/>
        <v>0</v>
      </c>
      <c r="Y54" s="301">
        <f t="shared" ca="1" si="53"/>
        <v>0</v>
      </c>
      <c r="Z54" s="301">
        <f t="shared" ca="1" si="53"/>
        <v>0</v>
      </c>
      <c r="AA54" s="301">
        <f t="shared" ca="1" si="53"/>
        <v>0</v>
      </c>
      <c r="AB54" s="301">
        <f t="shared" ca="1" si="53"/>
        <v>0</v>
      </c>
      <c r="AC54" s="301">
        <f t="shared" ca="1" si="53"/>
        <v>0</v>
      </c>
      <c r="AD54" s="301">
        <f t="shared" ca="1" si="53"/>
        <v>0</v>
      </c>
      <c r="AE54" s="301">
        <f t="shared" ca="1" si="53"/>
        <v>0</v>
      </c>
      <c r="AF54" s="301">
        <f t="shared" ca="1" si="53"/>
        <v>0</v>
      </c>
      <c r="AG54" s="301">
        <f t="shared" ca="1" si="53"/>
        <v>0</v>
      </c>
      <c r="AH54" s="301">
        <f t="shared" ca="1" si="53"/>
        <v>0</v>
      </c>
      <c r="AI54" s="301">
        <f t="shared" ca="1" si="53"/>
        <v>0</v>
      </c>
      <c r="AJ54" s="301">
        <f t="shared" ca="1" si="53"/>
        <v>0</v>
      </c>
      <c r="AK54" s="301">
        <f t="shared" ca="1" si="53"/>
        <v>0</v>
      </c>
      <c r="AL54" s="301">
        <f t="shared" ca="1" si="53"/>
        <v>0</v>
      </c>
      <c r="AM54" s="301">
        <f t="shared" ca="1" si="53"/>
        <v>0</v>
      </c>
      <c r="AN54" s="301">
        <f t="shared" ca="1" si="53"/>
        <v>0</v>
      </c>
      <c r="AO54" s="301">
        <f t="shared" ca="1" si="53"/>
        <v>0</v>
      </c>
      <c r="AP54" s="301">
        <f t="shared" ca="1" si="53"/>
        <v>0</v>
      </c>
      <c r="AQ54" s="301">
        <f t="shared" ca="1" si="53"/>
        <v>0</v>
      </c>
      <c r="AR54" s="301">
        <f t="shared" ca="1" si="53"/>
        <v>0</v>
      </c>
      <c r="AS54" s="301">
        <f t="shared" ca="1" si="39"/>
        <v>0</v>
      </c>
      <c r="AT54" s="301">
        <f t="shared" ca="1" si="39"/>
        <v>0</v>
      </c>
      <c r="AU54" s="301">
        <f t="shared" ca="1" si="39"/>
        <v>0</v>
      </c>
      <c r="AV54" s="301">
        <f t="shared" ca="1" si="39"/>
        <v>0</v>
      </c>
    </row>
    <row r="55" spans="1:48" x14ac:dyDescent="0.25">
      <c r="A55" s="25" t="s">
        <v>779</v>
      </c>
      <c r="B55" t="s">
        <v>835</v>
      </c>
      <c r="C55" s="25" t="s">
        <v>199</v>
      </c>
      <c r="D55" s="25">
        <f ca="1">INDEX(INDIRECT(CONCATENATE("'",RIGHT(D$1,2),"'!$F$8:$N$88")),MATCH($A55,INDIRECT(CONCATENATE("'",RIGHT(D$1,2),IF($B55="chemicals","'!$C$8:$C$88","'!$B$8:$B$88"))),0),MATCH('Other Industrial Processes'!$C55,INDIRECT(CONCATENATE("'",RIGHT(D$1,2),"'!$F$4:$N$4")),0))</f>
        <v>0</v>
      </c>
      <c r="E55" s="25">
        <f ca="1">INDEX(INDIRECT(CONCATENATE("'",RIGHT(E$1,2),"'!$F$8:$N$88")),MATCH($A55,INDIRECT(CONCATENATE("'",RIGHT(E$1,2),IF($B55="chemicals","'!$C$8:$C$88","'!$B$8:$B$88"))),0),MATCH('Other Industrial Processes'!$C55,INDIRECT(CONCATENATE("'",RIGHT(E$1,2),"'!$F$4:$N$4")),0))</f>
        <v>0</v>
      </c>
      <c r="F55" s="25">
        <f ca="1">INDEX(INDIRECT(CONCATENATE("'",RIGHT(F$1,2),"'!$F$8:$N$88")),MATCH($A55,INDIRECT(CONCATENATE("'",RIGHT(F$1,2),IF($B55="chemicals","'!$C$8:$C$88","'!$B$8:$B$88"))),0),MATCH('Other Industrial Processes'!$C55,INDIRECT(CONCATENATE("'",RIGHT(F$1,2),"'!$F$4:$N$4")),0))</f>
        <v>0</v>
      </c>
      <c r="G55" s="25">
        <f ca="1">INDEX(INDIRECT(CONCATENATE("'",RIGHT(G$1,2),"'!$F$8:$N$88")),MATCH($A55,INDIRECT(CONCATENATE("'",RIGHT(G$1,2),IF($B55="chemicals","'!$C$8:$C$88","'!$B$8:$B$88"))),0),MATCH('Other Industrial Processes'!$C55,INDIRECT(CONCATENATE("'",RIGHT(G$1,2),"'!$F$4:$N$4")),0))</f>
        <v>0</v>
      </c>
      <c r="H55" s="25">
        <f ca="1">INDEX(INDIRECT(CONCATENATE("'",RIGHT(H$1,2),"'!$F$8:$N$88")),MATCH($A55,INDIRECT(CONCATENATE("'",RIGHT(H$1,2),IF($B55="chemicals","'!$C$8:$C$88","'!$B$8:$B$88"))),0),MATCH('Other Industrial Processes'!$C55,INDIRECT(CONCATENATE("'",RIGHT(H$1,2),"'!$F$4:$N$4")),0))</f>
        <v>0</v>
      </c>
      <c r="I55" s="25">
        <f ca="1">INDEX(INDIRECT(CONCATENATE("'",RIGHT(I$1,2),"'!$F$8:$N$88")),MATCH($A55,INDIRECT(CONCATENATE("'",RIGHT(I$1,2),IF($B55="chemicals","'!$C$8:$C$88","'!$B$8:$B$88"))),0),MATCH('Other Industrial Processes'!$C55,INDIRECT(CONCATENATE("'",RIGHT(I$1,2),"'!$F$4:$N$4")),0))</f>
        <v>0</v>
      </c>
      <c r="J55" s="25">
        <f ca="1">INDEX(INDIRECT(CONCATENATE("'",RIGHT(J$1,2),"'!$F$8:$N$88")),MATCH($A55,INDIRECT(CONCATENATE("'",RIGHT(J$1,2),IF($B55="chemicals","'!$C$8:$C$88","'!$B$8:$B$88"))),0),MATCH('Other Industrial Processes'!$C55,INDIRECT(CONCATENATE("'",RIGHT(J$1,2),"'!$F$4:$N$4")),0))</f>
        <v>0</v>
      </c>
      <c r="K55" s="25">
        <f ca="1">INDEX(INDIRECT(CONCATENATE("'",RIGHT(K$1,2),"'!$F$8:$N$88")),MATCH($A55,INDIRECT(CONCATENATE("'",RIGHT(K$1,2),IF($B55="chemicals","'!$C$8:$C$88","'!$B$8:$B$88"))),0),MATCH('Other Industrial Processes'!$C55,INDIRECT(CONCATENATE("'",RIGHT(K$1,2),"'!$F$4:$N$4")),0))</f>
        <v>0</v>
      </c>
      <c r="L55" s="25">
        <f ca="1">INDEX(INDIRECT(CONCATENATE("'",RIGHT(L$1,2),"'!$F$8:$N$88")),MATCH($A55,INDIRECT(CONCATENATE("'",RIGHT(L$1,2),IF($B55="chemicals","'!$C$8:$C$88","'!$B$8:$B$88"))),0),MATCH('Other Industrial Processes'!$C55,INDIRECT(CONCATENATE("'",RIGHT(L$1,2),"'!$F$4:$N$4")),0))</f>
        <v>0</v>
      </c>
      <c r="M55" s="25">
        <f ca="1">INDEX(INDIRECT(CONCATENATE("'",RIGHT(M$1,2),"'!$F$8:$N$88")),MATCH($A55,INDIRECT(CONCATENATE("'",RIGHT(M$1,2),IF($B55="chemicals","'!$C$8:$C$88","'!$B$8:$B$88"))),0),MATCH('Other Industrial Processes'!$C55,INDIRECT(CONCATENATE("'",RIGHT(M$1,2),"'!$F$4:$N$4")),0))</f>
        <v>0</v>
      </c>
      <c r="N55" s="301">
        <f t="shared" ref="N55:AR55" ca="1" si="54">IFERROR(IF($M55-$D55&gt;=0,($M55-$D55)/COUNT($E$1:$M$1)+M55,$F119*$E119^N$1),0)</f>
        <v>0</v>
      </c>
      <c r="O55" s="301">
        <f t="shared" ca="1" si="54"/>
        <v>0</v>
      </c>
      <c r="P55" s="301">
        <f t="shared" ca="1" si="54"/>
        <v>0</v>
      </c>
      <c r="Q55" s="301">
        <f t="shared" ca="1" si="54"/>
        <v>0</v>
      </c>
      <c r="R55" s="301">
        <f t="shared" ca="1" si="54"/>
        <v>0</v>
      </c>
      <c r="S55" s="301">
        <f t="shared" ca="1" si="54"/>
        <v>0</v>
      </c>
      <c r="T55" s="301">
        <f t="shared" ca="1" si="54"/>
        <v>0</v>
      </c>
      <c r="U55" s="301">
        <f t="shared" ca="1" si="54"/>
        <v>0</v>
      </c>
      <c r="V55" s="301">
        <f t="shared" ca="1" si="54"/>
        <v>0</v>
      </c>
      <c r="W55" s="301">
        <f t="shared" ca="1" si="54"/>
        <v>0</v>
      </c>
      <c r="X55" s="301">
        <f t="shared" ca="1" si="54"/>
        <v>0</v>
      </c>
      <c r="Y55" s="301">
        <f t="shared" ca="1" si="54"/>
        <v>0</v>
      </c>
      <c r="Z55" s="301">
        <f t="shared" ca="1" si="54"/>
        <v>0</v>
      </c>
      <c r="AA55" s="301">
        <f t="shared" ca="1" si="54"/>
        <v>0</v>
      </c>
      <c r="AB55" s="301">
        <f t="shared" ca="1" si="54"/>
        <v>0</v>
      </c>
      <c r="AC55" s="301">
        <f t="shared" ca="1" si="54"/>
        <v>0</v>
      </c>
      <c r="AD55" s="301">
        <f t="shared" ca="1" si="54"/>
        <v>0</v>
      </c>
      <c r="AE55" s="301">
        <f t="shared" ca="1" si="54"/>
        <v>0</v>
      </c>
      <c r="AF55" s="301">
        <f t="shared" ca="1" si="54"/>
        <v>0</v>
      </c>
      <c r="AG55" s="301">
        <f t="shared" ca="1" si="54"/>
        <v>0</v>
      </c>
      <c r="AH55" s="301">
        <f t="shared" ca="1" si="54"/>
        <v>0</v>
      </c>
      <c r="AI55" s="301">
        <f t="shared" ca="1" si="54"/>
        <v>0</v>
      </c>
      <c r="AJ55" s="301">
        <f t="shared" ca="1" si="54"/>
        <v>0</v>
      </c>
      <c r="AK55" s="301">
        <f t="shared" ca="1" si="54"/>
        <v>0</v>
      </c>
      <c r="AL55" s="301">
        <f t="shared" ca="1" si="54"/>
        <v>0</v>
      </c>
      <c r="AM55" s="301">
        <f t="shared" ca="1" si="54"/>
        <v>0</v>
      </c>
      <c r="AN55" s="301">
        <f t="shared" ca="1" si="54"/>
        <v>0</v>
      </c>
      <c r="AO55" s="301">
        <f t="shared" ca="1" si="54"/>
        <v>0</v>
      </c>
      <c r="AP55" s="301">
        <f t="shared" ca="1" si="54"/>
        <v>0</v>
      </c>
      <c r="AQ55" s="301">
        <f t="shared" ca="1" si="54"/>
        <v>0</v>
      </c>
      <c r="AR55" s="301">
        <f t="shared" ca="1" si="54"/>
        <v>0</v>
      </c>
      <c r="AS55" s="301">
        <f t="shared" ca="1" si="39"/>
        <v>0</v>
      </c>
      <c r="AT55" s="301">
        <f t="shared" ca="1" si="39"/>
        <v>0</v>
      </c>
      <c r="AU55" s="301">
        <f t="shared" ca="1" si="39"/>
        <v>0</v>
      </c>
      <c r="AV55" s="301">
        <f t="shared" ca="1" si="39"/>
        <v>0</v>
      </c>
    </row>
    <row r="56" spans="1:48" x14ac:dyDescent="0.25">
      <c r="A56" s="25" t="s">
        <v>193</v>
      </c>
      <c r="B56" t="s">
        <v>26</v>
      </c>
      <c r="C56" s="25" t="s">
        <v>199</v>
      </c>
      <c r="D56" s="25">
        <f ca="1">INDEX(INDIRECT(CONCATENATE("'",RIGHT(D$1,2),"'!$F$8:$N$88")),MATCH($A56,INDIRECT(CONCATENATE("'",RIGHT(D$1,2),IF($B56="chemicals","'!$C$8:$C$88","'!$B$8:$B$88"))),0),MATCH('Other Industrial Processes'!$C56,INDIRECT(CONCATENATE("'",RIGHT(D$1,2),"'!$F$4:$N$4")),0))</f>
        <v>0</v>
      </c>
      <c r="E56" s="25">
        <f ca="1">INDEX(INDIRECT(CONCATENATE("'",RIGHT(E$1,2),"'!$F$8:$N$88")),MATCH($A56,INDIRECT(CONCATENATE("'",RIGHT(E$1,2),IF($B56="chemicals","'!$C$8:$C$88","'!$B$8:$B$88"))),0),MATCH('Other Industrial Processes'!$C56,INDIRECT(CONCATENATE("'",RIGHT(E$1,2),"'!$F$4:$N$4")),0))</f>
        <v>0</v>
      </c>
      <c r="F56" s="25">
        <f ca="1">INDEX(INDIRECT(CONCATENATE("'",RIGHT(F$1,2),"'!$F$8:$N$88")),MATCH($A56,INDIRECT(CONCATENATE("'",RIGHT(F$1,2),IF($B56="chemicals","'!$C$8:$C$88","'!$B$8:$B$88"))),0),MATCH('Other Industrial Processes'!$C56,INDIRECT(CONCATENATE("'",RIGHT(F$1,2),"'!$F$4:$N$4")),0))</f>
        <v>0</v>
      </c>
      <c r="G56" s="25">
        <f ca="1">INDEX(INDIRECT(CONCATENATE("'",RIGHT(G$1,2),"'!$F$8:$N$88")),MATCH($A56,INDIRECT(CONCATENATE("'",RIGHT(G$1,2),IF($B56="chemicals","'!$C$8:$C$88","'!$B$8:$B$88"))),0),MATCH('Other Industrial Processes'!$C56,INDIRECT(CONCATENATE("'",RIGHT(G$1,2),"'!$F$4:$N$4")),0))</f>
        <v>0</v>
      </c>
      <c r="H56" s="25">
        <f ca="1">INDEX(INDIRECT(CONCATENATE("'",RIGHT(H$1,2),"'!$F$8:$N$88")),MATCH($A56,INDIRECT(CONCATENATE("'",RIGHT(H$1,2),IF($B56="chemicals","'!$C$8:$C$88","'!$B$8:$B$88"))),0),MATCH('Other Industrial Processes'!$C56,INDIRECT(CONCATENATE("'",RIGHT(H$1,2),"'!$F$4:$N$4")),0))</f>
        <v>0</v>
      </c>
      <c r="I56" s="25">
        <f ca="1">INDEX(INDIRECT(CONCATENATE("'",RIGHT(I$1,2),"'!$F$8:$N$88")),MATCH($A56,INDIRECT(CONCATENATE("'",RIGHT(I$1,2),IF($B56="chemicals","'!$C$8:$C$88","'!$B$8:$B$88"))),0),MATCH('Other Industrial Processes'!$C56,INDIRECT(CONCATENATE("'",RIGHT(I$1,2),"'!$F$4:$N$4")),0))</f>
        <v>0</v>
      </c>
      <c r="J56" s="25">
        <f ca="1">INDEX(INDIRECT(CONCATENATE("'",RIGHT(J$1,2),"'!$F$8:$N$88")),MATCH($A56,INDIRECT(CONCATENATE("'",RIGHT(J$1,2),IF($B56="chemicals","'!$C$8:$C$88","'!$B$8:$B$88"))),0),MATCH('Other Industrial Processes'!$C56,INDIRECT(CONCATENATE("'",RIGHT(J$1,2),"'!$F$4:$N$4")),0))</f>
        <v>0</v>
      </c>
      <c r="K56" s="25">
        <f ca="1">INDEX(INDIRECT(CONCATENATE("'",RIGHT(K$1,2),"'!$F$8:$N$88")),MATCH($A56,INDIRECT(CONCATENATE("'",RIGHT(K$1,2),IF($B56="chemicals","'!$C$8:$C$88","'!$B$8:$B$88"))),0),MATCH('Other Industrial Processes'!$C56,INDIRECT(CONCATENATE("'",RIGHT(K$1,2),"'!$F$4:$N$4")),0))</f>
        <v>0</v>
      </c>
      <c r="L56" s="25">
        <f ca="1">INDEX(INDIRECT(CONCATENATE("'",RIGHT(L$1,2),"'!$F$8:$N$88")),MATCH($A56,INDIRECT(CONCATENATE("'",RIGHT(L$1,2),IF($B56="chemicals","'!$C$8:$C$88","'!$B$8:$B$88"))),0),MATCH('Other Industrial Processes'!$C56,INDIRECT(CONCATENATE("'",RIGHT(L$1,2),"'!$F$4:$N$4")),0))</f>
        <v>0</v>
      </c>
      <c r="M56" s="25">
        <f ca="1">INDEX(INDIRECT(CONCATENATE("'",RIGHT(M$1,2),"'!$F$8:$N$88")),MATCH($A56,INDIRECT(CONCATENATE("'",RIGHT(M$1,2),IF($B56="chemicals","'!$C$8:$C$88","'!$B$8:$B$88"))),0),MATCH('Other Industrial Processes'!$C56,INDIRECT(CONCATENATE("'",RIGHT(M$1,2),"'!$F$4:$N$4")),0))</f>
        <v>0</v>
      </c>
      <c r="N56" s="301">
        <f ca="1">IFERROR(IF($M56-$D56&gt;=0,($M56-$D56)/COUNT($E$1:$M$1)+M56,#REF!*#REF!^N$1),0)</f>
        <v>0</v>
      </c>
      <c r="O56" s="301">
        <f ca="1">IFERROR(IF($M56-$D56&gt;=0,($M56-$D56)/COUNT($E$1:$M$1)+N56,#REF!*#REF!^O$1),0)</f>
        <v>0</v>
      </c>
      <c r="P56" s="301">
        <f ca="1">IFERROR(IF($M56-$D56&gt;=0,($M56-$D56)/COUNT($E$1:$M$1)+O56,#REF!*#REF!^P$1),0)</f>
        <v>0</v>
      </c>
      <c r="Q56" s="301">
        <f ca="1">IFERROR(IF($M56-$D56&gt;=0,($M56-$D56)/COUNT($E$1:$M$1)+P56,#REF!*#REF!^Q$1),0)</f>
        <v>0</v>
      </c>
      <c r="R56" s="301">
        <f ca="1">IFERROR(IF($M56-$D56&gt;=0,($M56-$D56)/COUNT($E$1:$M$1)+Q56,#REF!*#REF!^R$1),0)</f>
        <v>0</v>
      </c>
      <c r="S56" s="301">
        <f ca="1">IFERROR(IF($M56-$D56&gt;=0,($M56-$D56)/COUNT($E$1:$M$1)+R56,#REF!*#REF!^S$1),0)</f>
        <v>0</v>
      </c>
      <c r="T56" s="301">
        <f ca="1">IFERROR(IF($M56-$D56&gt;=0,($M56-$D56)/COUNT($E$1:$M$1)+S56,#REF!*#REF!^T$1),0)</f>
        <v>0</v>
      </c>
      <c r="U56" s="301">
        <f ca="1">IFERROR(IF($M56-$D56&gt;=0,($M56-$D56)/COUNT($E$1:$M$1)+T56,#REF!*#REF!^U$1),0)</f>
        <v>0</v>
      </c>
      <c r="V56" s="301">
        <f ca="1">IFERROR(IF($M56-$D56&gt;=0,($M56-$D56)/COUNT($E$1:$M$1)+U56,#REF!*#REF!^V$1),0)</f>
        <v>0</v>
      </c>
      <c r="W56" s="301">
        <f ca="1">IFERROR(IF($M56-$D56&gt;=0,($M56-$D56)/COUNT($E$1:$M$1)+V56,#REF!*#REF!^W$1),0)</f>
        <v>0</v>
      </c>
      <c r="X56" s="301">
        <f ca="1">IFERROR(IF($M56-$D56&gt;=0,($M56-$D56)/COUNT($E$1:$M$1)+W56,#REF!*#REF!^X$1),0)</f>
        <v>0</v>
      </c>
      <c r="Y56" s="301">
        <f ca="1">IFERROR(IF($M56-$D56&gt;=0,($M56-$D56)/COUNT($E$1:$M$1)+X56,#REF!*#REF!^Y$1),0)</f>
        <v>0</v>
      </c>
      <c r="Z56" s="301">
        <f ca="1">IFERROR(IF($M56-$D56&gt;=0,($M56-$D56)/COUNT($E$1:$M$1)+Y56,#REF!*#REF!^Z$1),0)</f>
        <v>0</v>
      </c>
      <c r="AA56" s="301">
        <f ca="1">IFERROR(IF($M56-$D56&gt;=0,($M56-$D56)/COUNT($E$1:$M$1)+Z56,#REF!*#REF!^AA$1),0)</f>
        <v>0</v>
      </c>
      <c r="AB56" s="301">
        <f ca="1">IFERROR(IF($M56-$D56&gt;=0,($M56-$D56)/COUNT($E$1:$M$1)+AA56,#REF!*#REF!^AB$1),0)</f>
        <v>0</v>
      </c>
      <c r="AC56" s="301">
        <f ca="1">IFERROR(IF($M56-$D56&gt;=0,($M56-$D56)/COUNT($E$1:$M$1)+AB56,#REF!*#REF!^AC$1),0)</f>
        <v>0</v>
      </c>
      <c r="AD56" s="301">
        <f ca="1">IFERROR(IF($M56-$D56&gt;=0,($M56-$D56)/COUNT($E$1:$M$1)+AC56,#REF!*#REF!^AD$1),0)</f>
        <v>0</v>
      </c>
      <c r="AE56" s="301">
        <f ca="1">IFERROR(IF($M56-$D56&gt;=0,($M56-$D56)/COUNT($E$1:$M$1)+AD56,#REF!*#REF!^AE$1),0)</f>
        <v>0</v>
      </c>
      <c r="AF56" s="301">
        <f ca="1">IFERROR(IF($M56-$D56&gt;=0,($M56-$D56)/COUNT($E$1:$M$1)+AE56,#REF!*#REF!^AF$1),0)</f>
        <v>0</v>
      </c>
      <c r="AG56" s="301">
        <f ca="1">IFERROR(IF($M56-$D56&gt;=0,($M56-$D56)/COUNT($E$1:$M$1)+AF56,#REF!*#REF!^AG$1),0)</f>
        <v>0</v>
      </c>
      <c r="AH56" s="301">
        <f ca="1">IFERROR(IF($M56-$D56&gt;=0,($M56-$D56)/COUNT($E$1:$M$1)+AG56,#REF!*#REF!^AH$1),0)</f>
        <v>0</v>
      </c>
      <c r="AI56" s="301">
        <f ca="1">IFERROR(IF($M56-$D56&gt;=0,($M56-$D56)/COUNT($E$1:$M$1)+AH56,#REF!*#REF!^AI$1),0)</f>
        <v>0</v>
      </c>
      <c r="AJ56" s="301">
        <f ca="1">IFERROR(IF($M56-$D56&gt;=0,($M56-$D56)/COUNT($E$1:$M$1)+AI56,#REF!*#REF!^AJ$1),0)</f>
        <v>0</v>
      </c>
      <c r="AK56" s="301">
        <f ca="1">IFERROR(IF($M56-$D56&gt;=0,($M56-$D56)/COUNT($E$1:$M$1)+AJ56,#REF!*#REF!^AK$1),0)</f>
        <v>0</v>
      </c>
      <c r="AL56" s="301">
        <f ca="1">IFERROR(IF($M56-$D56&gt;=0,($M56-$D56)/COUNT($E$1:$M$1)+AK56,#REF!*#REF!^AL$1),0)</f>
        <v>0</v>
      </c>
      <c r="AM56" s="301">
        <f ca="1">IFERROR(IF($M56-$D56&gt;=0,($M56-$D56)/COUNT($E$1:$M$1)+AL56,#REF!*#REF!^AM$1),0)</f>
        <v>0</v>
      </c>
      <c r="AN56" s="301">
        <f ca="1">IFERROR(IF($M56-$D56&gt;=0,($M56-$D56)/COUNT($E$1:$M$1)+AM56,#REF!*#REF!^AN$1),0)</f>
        <v>0</v>
      </c>
      <c r="AO56" s="301">
        <f ca="1">IFERROR(IF($M56-$D56&gt;=0,($M56-$D56)/COUNT($E$1:$M$1)+AN56,#REF!*#REF!^AO$1),0)</f>
        <v>0</v>
      </c>
      <c r="AP56" s="301">
        <f ca="1">IFERROR(IF($M56-$D56&gt;=0,($M56-$D56)/COUNT($E$1:$M$1)+AO56,#REF!*#REF!^AP$1),0)</f>
        <v>0</v>
      </c>
      <c r="AQ56" s="301">
        <f ca="1">IFERROR(IF($M56-$D56&gt;=0,($M56-$D56)/COUNT($E$1:$M$1)+AP56,#REF!*#REF!^AQ$1),0)</f>
        <v>0</v>
      </c>
      <c r="AR56" s="301">
        <f ca="1">IFERROR(IF($M56-$D56&gt;=0,($M56-$D56)/COUNT($E$1:$M$1)+AQ56,#REF!*#REF!^AR$1),0)</f>
        <v>0</v>
      </c>
      <c r="AS56" s="301">
        <f ca="1">IFERROR(IF($M56-$D56&gt;=0,($M56-$D56)/COUNT($E$1:$M$1)+AR56,#REF!*#REF!^AS$1),0)</f>
        <v>0</v>
      </c>
      <c r="AT56" s="301">
        <f ca="1">IFERROR(IF($M56-$D56&gt;=0,($M56-$D56)/COUNT($E$1:$M$1)+AS56,#REF!*#REF!^AT$1),0)</f>
        <v>0</v>
      </c>
      <c r="AU56" s="301">
        <f ca="1">IFERROR(IF($M56-$D56&gt;=0,($M56-$D56)/COUNT($E$1:$M$1)+AT56,#REF!*#REF!^AU$1),0)</f>
        <v>0</v>
      </c>
      <c r="AV56" s="301">
        <f ca="1">IFERROR(IF($M56-$D56&gt;=0,($M56-$D56)/COUNT($E$1:$M$1)+AU56,#REF!*#REF!^AV$1),0)</f>
        <v>0</v>
      </c>
    </row>
    <row r="57" spans="1:48" x14ac:dyDescent="0.25">
      <c r="A57" s="25" t="s">
        <v>784</v>
      </c>
      <c r="B57" t="s">
        <v>26</v>
      </c>
      <c r="C57" s="25" t="s">
        <v>199</v>
      </c>
      <c r="D57" s="25">
        <f ca="1">INDEX(INDIRECT(CONCATENATE("'",RIGHT(D$1,2),"'!$F$8:$N$88")),MATCH($A57,INDIRECT(CONCATENATE("'",RIGHT(D$1,2),IF($B57="chemicals","'!$C$8:$C$88","'!$B$8:$B$88"))),0),MATCH('Other Industrial Processes'!$C57,INDIRECT(CONCATENATE("'",RIGHT(D$1,2),"'!$F$4:$N$4")),0))</f>
        <v>0</v>
      </c>
      <c r="E57" s="25">
        <f ca="1">INDEX(INDIRECT(CONCATENATE("'",RIGHT(E$1,2),"'!$F$8:$N$88")),MATCH($A57,INDIRECT(CONCATENATE("'",RIGHT(E$1,2),IF($B57="chemicals","'!$C$8:$C$88","'!$B$8:$B$88"))),0),MATCH('Other Industrial Processes'!$C57,INDIRECT(CONCATENATE("'",RIGHT(E$1,2),"'!$F$4:$N$4")),0))</f>
        <v>0</v>
      </c>
      <c r="F57" s="25">
        <f ca="1">INDEX(INDIRECT(CONCATENATE("'",RIGHT(F$1,2),"'!$F$8:$N$88")),MATCH($A57,INDIRECT(CONCATENATE("'",RIGHT(F$1,2),IF($B57="chemicals","'!$C$8:$C$88","'!$B$8:$B$88"))),0),MATCH('Other Industrial Processes'!$C57,INDIRECT(CONCATENATE("'",RIGHT(F$1,2),"'!$F$4:$N$4")),0))</f>
        <v>0</v>
      </c>
      <c r="G57" s="25">
        <f ca="1">INDEX(INDIRECT(CONCATENATE("'",RIGHT(G$1,2),"'!$F$8:$N$88")),MATCH($A57,INDIRECT(CONCATENATE("'",RIGHT(G$1,2),IF($B57="chemicals","'!$C$8:$C$88","'!$B$8:$B$88"))),0),MATCH('Other Industrial Processes'!$C57,INDIRECT(CONCATENATE("'",RIGHT(G$1,2),"'!$F$4:$N$4")),0))</f>
        <v>0</v>
      </c>
      <c r="H57" s="25">
        <f ca="1">INDEX(INDIRECT(CONCATENATE("'",RIGHT(H$1,2),"'!$F$8:$N$88")),MATCH($A57,INDIRECT(CONCATENATE("'",RIGHT(H$1,2),IF($B57="chemicals","'!$C$8:$C$88","'!$B$8:$B$88"))),0),MATCH('Other Industrial Processes'!$C57,INDIRECT(CONCATENATE("'",RIGHT(H$1,2),"'!$F$4:$N$4")),0))</f>
        <v>0</v>
      </c>
      <c r="I57" s="25">
        <f ca="1">INDEX(INDIRECT(CONCATENATE("'",RIGHT(I$1,2),"'!$F$8:$N$88")),MATCH($A57,INDIRECT(CONCATENATE("'",RIGHT(I$1,2),IF($B57="chemicals","'!$C$8:$C$88","'!$B$8:$B$88"))),0),MATCH('Other Industrial Processes'!$C57,INDIRECT(CONCATENATE("'",RIGHT(I$1,2),"'!$F$4:$N$4")),0))</f>
        <v>0</v>
      </c>
      <c r="J57" s="25">
        <f ca="1">INDEX(INDIRECT(CONCATENATE("'",RIGHT(J$1,2),"'!$F$8:$N$88")),MATCH($A57,INDIRECT(CONCATENATE("'",RIGHT(J$1,2),IF($B57="chemicals","'!$C$8:$C$88","'!$B$8:$B$88"))),0),MATCH('Other Industrial Processes'!$C57,INDIRECT(CONCATENATE("'",RIGHT(J$1,2),"'!$F$4:$N$4")),0))</f>
        <v>0</v>
      </c>
      <c r="K57" s="25">
        <f ca="1">INDEX(INDIRECT(CONCATENATE("'",RIGHT(K$1,2),"'!$F$8:$N$88")),MATCH($A57,INDIRECT(CONCATENATE("'",RIGHT(K$1,2),IF($B57="chemicals","'!$C$8:$C$88","'!$B$8:$B$88"))),0),MATCH('Other Industrial Processes'!$C57,INDIRECT(CONCATENATE("'",RIGHT(K$1,2),"'!$F$4:$N$4")),0))</f>
        <v>0</v>
      </c>
      <c r="L57" s="25">
        <f ca="1">INDEX(INDIRECT(CONCATENATE("'",RIGHT(L$1,2),"'!$F$8:$N$88")),MATCH($A57,INDIRECT(CONCATENATE("'",RIGHT(L$1,2),IF($B57="chemicals","'!$C$8:$C$88","'!$B$8:$B$88"))),0),MATCH('Other Industrial Processes'!$C57,INDIRECT(CONCATENATE("'",RIGHT(L$1,2),"'!$F$4:$N$4")),0))</f>
        <v>0</v>
      </c>
      <c r="M57" s="25">
        <f ca="1">INDEX(INDIRECT(CONCATENATE("'",RIGHT(M$1,2),"'!$F$8:$N$88")),MATCH($A57,INDIRECT(CONCATENATE("'",RIGHT(M$1,2),IF($B57="chemicals","'!$C$8:$C$88","'!$B$8:$B$88"))),0),MATCH('Other Industrial Processes'!$C57,INDIRECT(CONCATENATE("'",RIGHT(M$1,2),"'!$F$4:$N$4")),0))</f>
        <v>0</v>
      </c>
      <c r="N57" s="301">
        <f ca="1">IFERROR(IF($M57-$D57&gt;=0,($M57-$D57)/COUNT($E$1:$M$1)+M57,#REF!*#REF!^N$1),0)</f>
        <v>0</v>
      </c>
      <c r="O57" s="301">
        <f ca="1">IFERROR(IF($M57-$D57&gt;=0,($M57-$D57)/COUNT($E$1:$M$1)+N57,#REF!*#REF!^O$1),0)</f>
        <v>0</v>
      </c>
      <c r="P57" s="301">
        <f ca="1">IFERROR(IF($M57-$D57&gt;=0,($M57-$D57)/COUNT($E$1:$M$1)+O57,#REF!*#REF!^P$1),0)</f>
        <v>0</v>
      </c>
      <c r="Q57" s="301">
        <f ca="1">IFERROR(IF($M57-$D57&gt;=0,($M57-$D57)/COUNT($E$1:$M$1)+P57,#REF!*#REF!^Q$1),0)</f>
        <v>0</v>
      </c>
      <c r="R57" s="301">
        <f ca="1">IFERROR(IF($M57-$D57&gt;=0,($M57-$D57)/COUNT($E$1:$M$1)+Q57,#REF!*#REF!^R$1),0)</f>
        <v>0</v>
      </c>
      <c r="S57" s="301">
        <f ca="1">IFERROR(IF($M57-$D57&gt;=0,($M57-$D57)/COUNT($E$1:$M$1)+R57,#REF!*#REF!^S$1),0)</f>
        <v>0</v>
      </c>
      <c r="T57" s="301">
        <f ca="1">IFERROR(IF($M57-$D57&gt;=0,($M57-$D57)/COUNT($E$1:$M$1)+S57,#REF!*#REF!^T$1),0)</f>
        <v>0</v>
      </c>
      <c r="U57" s="301">
        <f ca="1">IFERROR(IF($M57-$D57&gt;=0,($M57-$D57)/COUNT($E$1:$M$1)+T57,#REF!*#REF!^U$1),0)</f>
        <v>0</v>
      </c>
      <c r="V57" s="301">
        <f ca="1">IFERROR(IF($M57-$D57&gt;=0,($M57-$D57)/COUNT($E$1:$M$1)+U57,#REF!*#REF!^V$1),0)</f>
        <v>0</v>
      </c>
      <c r="W57" s="301">
        <f ca="1">IFERROR(IF($M57-$D57&gt;=0,($M57-$D57)/COUNT($E$1:$M$1)+V57,#REF!*#REF!^W$1),0)</f>
        <v>0</v>
      </c>
      <c r="X57" s="301">
        <f ca="1">IFERROR(IF($M57-$D57&gt;=0,($M57-$D57)/COUNT($E$1:$M$1)+W57,#REF!*#REF!^X$1),0)</f>
        <v>0</v>
      </c>
      <c r="Y57" s="301">
        <f ca="1">IFERROR(IF($M57-$D57&gt;=0,($M57-$D57)/COUNT($E$1:$M$1)+X57,#REF!*#REF!^Y$1),0)</f>
        <v>0</v>
      </c>
      <c r="Z57" s="301">
        <f ca="1">IFERROR(IF($M57-$D57&gt;=0,($M57-$D57)/COUNT($E$1:$M$1)+Y57,#REF!*#REF!^Z$1),0)</f>
        <v>0</v>
      </c>
      <c r="AA57" s="301">
        <f ca="1">IFERROR(IF($M57-$D57&gt;=0,($M57-$D57)/COUNT($E$1:$M$1)+Z57,#REF!*#REF!^AA$1),0)</f>
        <v>0</v>
      </c>
      <c r="AB57" s="301">
        <f ca="1">IFERROR(IF($M57-$D57&gt;=0,($M57-$D57)/COUNT($E$1:$M$1)+AA57,#REF!*#REF!^AB$1),0)</f>
        <v>0</v>
      </c>
      <c r="AC57" s="301">
        <f ca="1">IFERROR(IF($M57-$D57&gt;=0,($M57-$D57)/COUNT($E$1:$M$1)+AB57,#REF!*#REF!^AC$1),0)</f>
        <v>0</v>
      </c>
      <c r="AD57" s="301">
        <f ca="1">IFERROR(IF($M57-$D57&gt;=0,($M57-$D57)/COUNT($E$1:$M$1)+AC57,#REF!*#REF!^AD$1),0)</f>
        <v>0</v>
      </c>
      <c r="AE57" s="301">
        <f ca="1">IFERROR(IF($M57-$D57&gt;=0,($M57-$D57)/COUNT($E$1:$M$1)+AD57,#REF!*#REF!^AE$1),0)</f>
        <v>0</v>
      </c>
      <c r="AF57" s="301">
        <f ca="1">IFERROR(IF($M57-$D57&gt;=0,($M57-$D57)/COUNT($E$1:$M$1)+AE57,#REF!*#REF!^AF$1),0)</f>
        <v>0</v>
      </c>
      <c r="AG57" s="301">
        <f ca="1">IFERROR(IF($M57-$D57&gt;=0,($M57-$D57)/COUNT($E$1:$M$1)+AF57,#REF!*#REF!^AG$1),0)</f>
        <v>0</v>
      </c>
      <c r="AH57" s="301">
        <f ca="1">IFERROR(IF($M57-$D57&gt;=0,($M57-$D57)/COUNT($E$1:$M$1)+AG57,#REF!*#REF!^AH$1),0)</f>
        <v>0</v>
      </c>
      <c r="AI57" s="301">
        <f ca="1">IFERROR(IF($M57-$D57&gt;=0,($M57-$D57)/COUNT($E$1:$M$1)+AH57,#REF!*#REF!^AI$1),0)</f>
        <v>0</v>
      </c>
      <c r="AJ57" s="301">
        <f ca="1">IFERROR(IF($M57-$D57&gt;=0,($M57-$D57)/COUNT($E$1:$M$1)+AI57,#REF!*#REF!^AJ$1),0)</f>
        <v>0</v>
      </c>
      <c r="AK57" s="301">
        <f ca="1">IFERROR(IF($M57-$D57&gt;=0,($M57-$D57)/COUNT($E$1:$M$1)+AJ57,#REF!*#REF!^AK$1),0)</f>
        <v>0</v>
      </c>
      <c r="AL57" s="301">
        <f ca="1">IFERROR(IF($M57-$D57&gt;=0,($M57-$D57)/COUNT($E$1:$M$1)+AK57,#REF!*#REF!^AL$1),0)</f>
        <v>0</v>
      </c>
      <c r="AM57" s="301">
        <f ca="1">IFERROR(IF($M57-$D57&gt;=0,($M57-$D57)/COUNT($E$1:$M$1)+AL57,#REF!*#REF!^AM$1),0)</f>
        <v>0</v>
      </c>
      <c r="AN57" s="301">
        <f ca="1">IFERROR(IF($M57-$D57&gt;=0,($M57-$D57)/COUNT($E$1:$M$1)+AM57,#REF!*#REF!^AN$1),0)</f>
        <v>0</v>
      </c>
      <c r="AO57" s="301">
        <f ca="1">IFERROR(IF($M57-$D57&gt;=0,($M57-$D57)/COUNT($E$1:$M$1)+AN57,#REF!*#REF!^AO$1),0)</f>
        <v>0</v>
      </c>
      <c r="AP57" s="301">
        <f ca="1">IFERROR(IF($M57-$D57&gt;=0,($M57-$D57)/COUNT($E$1:$M$1)+AO57,#REF!*#REF!^AP$1),0)</f>
        <v>0</v>
      </c>
      <c r="AQ57" s="301">
        <f ca="1">IFERROR(IF($M57-$D57&gt;=0,($M57-$D57)/COUNT($E$1:$M$1)+AP57,#REF!*#REF!^AQ$1),0)</f>
        <v>0</v>
      </c>
      <c r="AR57" s="301">
        <f ca="1">IFERROR(IF($M57-$D57&gt;=0,($M57-$D57)/COUNT($E$1:$M$1)+AQ57,#REF!*#REF!^AR$1),0)</f>
        <v>0</v>
      </c>
      <c r="AS57" s="301">
        <f ca="1">IFERROR(IF($M57-$D57&gt;=0,($M57-$D57)/COUNT($E$1:$M$1)+AR57,#REF!*#REF!^AS$1),0)</f>
        <v>0</v>
      </c>
      <c r="AT57" s="301">
        <f ca="1">IFERROR(IF($M57-$D57&gt;=0,($M57-$D57)/COUNT($E$1:$M$1)+AS57,#REF!*#REF!^AT$1),0)</f>
        <v>0</v>
      </c>
      <c r="AU57" s="301">
        <f ca="1">IFERROR(IF($M57-$D57&gt;=0,($M57-$D57)/COUNT($E$1:$M$1)+AT57,#REF!*#REF!^AU$1),0)</f>
        <v>0</v>
      </c>
      <c r="AV57" s="301">
        <f ca="1">IFERROR(IF($M57-$D57&gt;=0,($M57-$D57)/COUNT($E$1:$M$1)+AU57,#REF!*#REF!^AV$1),0)</f>
        <v>0</v>
      </c>
    </row>
    <row r="61" spans="1:48" x14ac:dyDescent="0.25">
      <c r="A61" s="6" t="s">
        <v>201</v>
      </c>
      <c r="B61" s="6"/>
      <c r="C61" s="6"/>
      <c r="D61" s="6"/>
      <c r="E61" s="7"/>
      <c r="F61" s="7"/>
    </row>
    <row r="62" spans="1:48" x14ac:dyDescent="0.25">
      <c r="A62" s="5" t="s">
        <v>194</v>
      </c>
      <c r="B62" s="5" t="s">
        <v>195</v>
      </c>
      <c r="C62" s="5" t="s">
        <v>171</v>
      </c>
      <c r="D62" s="5" t="s">
        <v>202</v>
      </c>
      <c r="E62" s="5" t="s">
        <v>203</v>
      </c>
      <c r="F62" s="5" t="s">
        <v>204</v>
      </c>
    </row>
    <row r="63" spans="1:48" x14ac:dyDescent="0.25">
      <c r="A63" t="s">
        <v>192</v>
      </c>
      <c r="B63" t="s">
        <v>4</v>
      </c>
      <c r="C63" t="s">
        <v>159</v>
      </c>
      <c r="D63" t="b">
        <f ca="1">IF((M2-D2)&lt;0,TRUE,FALSE)</f>
        <v>0</v>
      </c>
      <c r="E63" t="str">
        <f t="array" aca="1" ref="E63:F63" ca="1">IF(D63=TRUE,LOGEST(D2:M2,$D$1:$M$1,TRUE,FALSE),"")</f>
        <v/>
      </c>
      <c r="F63" t="str">
        <f ca="1"/>
        <v/>
      </c>
    </row>
    <row r="64" spans="1:48" x14ac:dyDescent="0.25">
      <c r="A64" t="s">
        <v>190</v>
      </c>
      <c r="B64" t="s">
        <v>4</v>
      </c>
      <c r="C64" t="s">
        <v>159</v>
      </c>
      <c r="D64" t="b">
        <f t="shared" ref="D64:D118" ca="1" si="55">IF((M3-D3)&lt;0,TRUE,FALSE)</f>
        <v>0</v>
      </c>
      <c r="E64" t="str">
        <f t="array" aca="1" ref="E64:F64" ca="1">IF(D64=TRUE,LOGEST(D3:M3,$D$1:$M$1,TRUE,FALSE),"")</f>
        <v/>
      </c>
      <c r="F64" t="str">
        <f ca="1"/>
        <v/>
      </c>
    </row>
    <row r="65" spans="1:6" x14ac:dyDescent="0.25">
      <c r="A65" t="s">
        <v>770</v>
      </c>
      <c r="B65" t="s">
        <v>4</v>
      </c>
      <c r="C65" t="s">
        <v>159</v>
      </c>
      <c r="D65" t="b">
        <f t="shared" ca="1" si="55"/>
        <v>0</v>
      </c>
      <c r="E65" t="str">
        <f t="array" aca="1" ref="E65:F65" ca="1">IF(D65=TRUE,LOGEST(D4:M4,$D$1:$M$1,TRUE,FALSE),"")</f>
        <v/>
      </c>
      <c r="F65" t="str">
        <f ca="1"/>
        <v/>
      </c>
    </row>
    <row r="66" spans="1:6" x14ac:dyDescent="0.25">
      <c r="A66" t="s">
        <v>771</v>
      </c>
      <c r="B66" t="s">
        <v>4</v>
      </c>
      <c r="C66" t="s">
        <v>159</v>
      </c>
      <c r="D66" t="b">
        <f t="shared" ca="1" si="55"/>
        <v>1</v>
      </c>
      <c r="E66">
        <f t="array" aca="1" ref="E66:F66" ca="1">IF(D66=TRUE,LOGEST(D5:M5,$D$1:$M$1,TRUE,FALSE),"")</f>
        <v>1.0041234840866946</v>
      </c>
      <c r="F66">
        <f ca="1"/>
        <v>0.55727265392178005</v>
      </c>
    </row>
    <row r="67" spans="1:6" x14ac:dyDescent="0.25">
      <c r="A67" t="s">
        <v>777</v>
      </c>
      <c r="B67" t="s">
        <v>2</v>
      </c>
      <c r="C67" t="s">
        <v>159</v>
      </c>
      <c r="D67" t="b">
        <f t="shared" ca="1" si="55"/>
        <v>0</v>
      </c>
      <c r="E67" t="str">
        <f t="array" aca="1" ref="E67:F67" ca="1">IF(D67=TRUE,LOGEST(D6:M6,$D$1:$M$1,TRUE,FALSE),"")</f>
        <v/>
      </c>
      <c r="F67" t="str">
        <f ca="1"/>
        <v/>
      </c>
    </row>
    <row r="68" spans="1:6" x14ac:dyDescent="0.25">
      <c r="A68" t="s">
        <v>779</v>
      </c>
      <c r="B68" t="s">
        <v>835</v>
      </c>
      <c r="C68" t="s">
        <v>159</v>
      </c>
      <c r="D68" t="b">
        <f t="shared" ca="1" si="55"/>
        <v>0</v>
      </c>
      <c r="E68" t="str">
        <f t="array" aca="1" ref="E68:F68" ca="1">IF(D68=TRUE,LOGEST(D7:M7,$D$1:$M$1,TRUE,FALSE),"")</f>
        <v/>
      </c>
      <c r="F68" t="str">
        <f ca="1"/>
        <v/>
      </c>
    </row>
    <row r="69" spans="1:6" x14ac:dyDescent="0.25">
      <c r="A69" t="s">
        <v>193</v>
      </c>
      <c r="B69" t="s">
        <v>26</v>
      </c>
      <c r="C69" t="s">
        <v>159</v>
      </c>
      <c r="D69" t="b">
        <f t="shared" ca="1" si="55"/>
        <v>0</v>
      </c>
      <c r="E69" t="str">
        <f t="array" aca="1" ref="E69:F69" ca="1">IF(D69=TRUE,LOGEST(D8:M8,$D$1:$M$1,TRUE,FALSE),"")</f>
        <v/>
      </c>
      <c r="F69" t="str">
        <f ca="1"/>
        <v/>
      </c>
    </row>
    <row r="70" spans="1:6" x14ac:dyDescent="0.25">
      <c r="A70" t="s">
        <v>784</v>
      </c>
      <c r="B70" t="s">
        <v>26</v>
      </c>
      <c r="C70" t="s">
        <v>159</v>
      </c>
      <c r="D70" t="b">
        <f t="shared" ca="1" si="55"/>
        <v>0</v>
      </c>
      <c r="E70" t="str">
        <f t="array" aca="1" ref="E70:F70" ca="1">IF(D70=TRUE,LOGEST(D9:M9,$D$1:$M$1,TRUE,FALSE),"")</f>
        <v/>
      </c>
      <c r="F70" t="str">
        <f ca="1"/>
        <v/>
      </c>
    </row>
    <row r="71" spans="1:6" x14ac:dyDescent="0.25">
      <c r="A71" t="s">
        <v>192</v>
      </c>
      <c r="B71" t="s">
        <v>4</v>
      </c>
      <c r="C71" t="s">
        <v>168</v>
      </c>
      <c r="D71" t="b">
        <f t="shared" ca="1" si="55"/>
        <v>0</v>
      </c>
      <c r="E71" t="str">
        <f t="array" aca="1" ref="E71:F71" ca="1">IF(D71=TRUE,LOGEST(D10:M10,$D$1:$M$1,TRUE,FALSE),"")</f>
        <v/>
      </c>
      <c r="F71" t="str">
        <f ca="1"/>
        <v/>
      </c>
    </row>
    <row r="72" spans="1:6" x14ac:dyDescent="0.25">
      <c r="A72" t="s">
        <v>190</v>
      </c>
      <c r="B72" t="s">
        <v>4</v>
      </c>
      <c r="C72" t="s">
        <v>168</v>
      </c>
      <c r="D72" t="b">
        <f t="shared" ca="1" si="55"/>
        <v>0</v>
      </c>
      <c r="E72" t="str">
        <f t="array" aca="1" ref="E72:F72" ca="1">IF(D72=TRUE,LOGEST(D11:M11,$D$1:$M$1,TRUE,FALSE),"")</f>
        <v/>
      </c>
      <c r="F72" t="str">
        <f ca="1"/>
        <v/>
      </c>
    </row>
    <row r="73" spans="1:6" x14ac:dyDescent="0.25">
      <c r="A73" t="s">
        <v>770</v>
      </c>
      <c r="B73" t="s">
        <v>4</v>
      </c>
      <c r="C73" t="s">
        <v>168</v>
      </c>
      <c r="D73" t="b">
        <f t="shared" ca="1" si="55"/>
        <v>0</v>
      </c>
      <c r="E73" t="str">
        <f t="array" aca="1" ref="E73:F73" ca="1">IF(D73=TRUE,LOGEST(D12:M12,$D$1:$M$1,TRUE,FALSE),"")</f>
        <v/>
      </c>
      <c r="F73" t="str">
        <f ca="1"/>
        <v/>
      </c>
    </row>
    <row r="74" spans="1:6" x14ac:dyDescent="0.25">
      <c r="A74" t="s">
        <v>771</v>
      </c>
      <c r="B74" t="s">
        <v>4</v>
      </c>
      <c r="C74" t="s">
        <v>168</v>
      </c>
      <c r="D74" t="b">
        <f t="shared" ca="1" si="55"/>
        <v>1</v>
      </c>
      <c r="E74">
        <f t="array" aca="1" ref="E74:F74" ca="1">IF(D74=TRUE,LOGEST(D13:M13,$D$1:$M$1,TRUE,FALSE),"")</f>
        <v>0.98714147672037611</v>
      </c>
      <c r="F74">
        <f ca="1"/>
        <v>611967916828.14771</v>
      </c>
    </row>
    <row r="75" spans="1:6" x14ac:dyDescent="0.25">
      <c r="A75" t="s">
        <v>777</v>
      </c>
      <c r="B75" t="s">
        <v>2</v>
      </c>
      <c r="C75" t="s">
        <v>168</v>
      </c>
      <c r="D75" t="b">
        <f t="shared" ca="1" si="55"/>
        <v>0</v>
      </c>
      <c r="E75" t="str">
        <f t="array" aca="1" ref="E75:F75" ca="1">IF(D75=TRUE,LOGEST(D14:M14,$D$1:$M$1,TRUE,FALSE),"")</f>
        <v/>
      </c>
      <c r="F75" t="str">
        <f ca="1"/>
        <v/>
      </c>
    </row>
    <row r="76" spans="1:6" x14ac:dyDescent="0.25">
      <c r="A76" t="s">
        <v>779</v>
      </c>
      <c r="B76" t="s">
        <v>835</v>
      </c>
      <c r="C76" t="s">
        <v>168</v>
      </c>
      <c r="D76" t="b">
        <f t="shared" ca="1" si="55"/>
        <v>0</v>
      </c>
      <c r="E76" t="str">
        <f t="array" aca="1" ref="E76:F76" ca="1">IF(D76=TRUE,LOGEST(D15:M15,$D$1:$M$1,TRUE,FALSE),"")</f>
        <v/>
      </c>
      <c r="F76" t="str">
        <f ca="1"/>
        <v/>
      </c>
    </row>
    <row r="77" spans="1:6" x14ac:dyDescent="0.25">
      <c r="A77" t="s">
        <v>193</v>
      </c>
      <c r="B77" t="s">
        <v>26</v>
      </c>
      <c r="C77" t="s">
        <v>168</v>
      </c>
      <c r="D77" t="b">
        <f t="shared" ca="1" si="55"/>
        <v>0</v>
      </c>
      <c r="E77" t="str">
        <f t="array" aca="1" ref="E77:F77" ca="1">IF(D77=TRUE,LOGEST(D16:M16,$D$1:$M$1,TRUE,FALSE),"")</f>
        <v/>
      </c>
      <c r="F77" t="str">
        <f ca="1"/>
        <v/>
      </c>
    </row>
    <row r="78" spans="1:6" x14ac:dyDescent="0.25">
      <c r="A78" t="s">
        <v>784</v>
      </c>
      <c r="B78" t="s">
        <v>26</v>
      </c>
      <c r="C78" t="s">
        <v>168</v>
      </c>
      <c r="D78" t="b">
        <f t="shared" ca="1" si="55"/>
        <v>0</v>
      </c>
      <c r="E78" t="str">
        <f t="array" aca="1" ref="E78:F78" ca="1">IF(D78=TRUE,LOGEST(D17:M17,$D$1:$M$1,TRUE,FALSE),"")</f>
        <v/>
      </c>
      <c r="F78" t="str">
        <f ca="1"/>
        <v/>
      </c>
    </row>
    <row r="79" spans="1:6" x14ac:dyDescent="0.25">
      <c r="A79" t="s">
        <v>192</v>
      </c>
      <c r="B79" t="s">
        <v>4</v>
      </c>
      <c r="C79" t="s">
        <v>169</v>
      </c>
      <c r="D79" t="b">
        <f t="shared" ca="1" si="55"/>
        <v>0</v>
      </c>
      <c r="E79" t="str">
        <f t="array" aca="1" ref="E79:F79" ca="1">IF(D79=TRUE,LOGEST(D18:M18,$D$1:$M$1,TRUE,FALSE),"")</f>
        <v/>
      </c>
      <c r="F79" t="str">
        <f ca="1"/>
        <v/>
      </c>
    </row>
    <row r="80" spans="1:6" x14ac:dyDescent="0.25">
      <c r="A80" t="s">
        <v>190</v>
      </c>
      <c r="B80" t="s">
        <v>4</v>
      </c>
      <c r="C80" t="s">
        <v>169</v>
      </c>
      <c r="D80" t="b">
        <f t="shared" ca="1" si="55"/>
        <v>1</v>
      </c>
      <c r="E80">
        <f t="array" aca="1" ref="E80:F80" ca="1">IF(D80=TRUE,LOGEST(D19:M19,$D$1:$M$1,TRUE,FALSE),"")</f>
        <v>0.98691697221618513</v>
      </c>
      <c r="F80">
        <f ca="1"/>
        <v>1160216044738.1333</v>
      </c>
    </row>
    <row r="81" spans="1:6" x14ac:dyDescent="0.25">
      <c r="A81" t="s">
        <v>770</v>
      </c>
      <c r="B81" t="s">
        <v>4</v>
      </c>
      <c r="C81" t="s">
        <v>169</v>
      </c>
      <c r="D81" t="b">
        <f t="shared" ca="1" si="55"/>
        <v>1</v>
      </c>
      <c r="E81" t="e">
        <f t="array" aca="1" ref="E81:F81" ca="1">IF(D81=TRUE,LOGEST(D20:M20,$D$1:$M$1,TRUE,FALSE),"")</f>
        <v>#NUM!</v>
      </c>
      <c r="F81" t="e">
        <f ca="1"/>
        <v>#NUM!</v>
      </c>
    </row>
    <row r="82" spans="1:6" x14ac:dyDescent="0.25">
      <c r="A82" t="s">
        <v>771</v>
      </c>
      <c r="B82" t="s">
        <v>4</v>
      </c>
      <c r="C82" t="s">
        <v>169</v>
      </c>
      <c r="D82" t="b">
        <f t="shared" ca="1" si="55"/>
        <v>1</v>
      </c>
      <c r="E82">
        <f t="array" aca="1" ref="E82:F82" ca="1">IF(D82=TRUE,LOGEST(D21:M21,$D$1:$M$1,TRUE,FALSE),"")</f>
        <v>1.0021790404467059</v>
      </c>
      <c r="F82">
        <f ca="1"/>
        <v>4.6302828887181551E-4</v>
      </c>
    </row>
    <row r="83" spans="1:6" x14ac:dyDescent="0.25">
      <c r="A83" t="s">
        <v>777</v>
      </c>
      <c r="B83" t="s">
        <v>2</v>
      </c>
      <c r="C83" t="s">
        <v>169</v>
      </c>
      <c r="D83" t="b">
        <f t="shared" ca="1" si="55"/>
        <v>0</v>
      </c>
      <c r="E83" t="str">
        <f t="array" aca="1" ref="E83:F83" ca="1">IF(D83=TRUE,LOGEST(D22:M22,$D$1:$M$1,TRUE,FALSE),"")</f>
        <v/>
      </c>
      <c r="F83" t="str">
        <f ca="1"/>
        <v/>
      </c>
    </row>
    <row r="84" spans="1:6" x14ac:dyDescent="0.25">
      <c r="A84" t="s">
        <v>779</v>
      </c>
      <c r="B84" t="s">
        <v>835</v>
      </c>
      <c r="C84" t="s">
        <v>169</v>
      </c>
      <c r="D84" t="b">
        <f t="shared" ca="1" si="55"/>
        <v>1</v>
      </c>
      <c r="E84">
        <f t="array" aca="1" ref="E84:F84" ca="1">IF(D84=TRUE,LOGEST(D23:M23,$D$1:$M$1,TRUE,FALSE),"")</f>
        <v>0.96866628020868928</v>
      </c>
      <c r="F84">
        <f ca="1"/>
        <v>5.5697227521904704E+27</v>
      </c>
    </row>
    <row r="85" spans="1:6" x14ac:dyDescent="0.25">
      <c r="A85" t="s">
        <v>193</v>
      </c>
      <c r="B85" t="s">
        <v>26</v>
      </c>
      <c r="C85" t="s">
        <v>169</v>
      </c>
      <c r="D85" t="b">
        <f t="shared" ca="1" si="55"/>
        <v>0</v>
      </c>
      <c r="E85" t="str">
        <f t="array" aca="1" ref="E85:F85" ca="1">IF(D85=TRUE,LOGEST(D24:M24,$D$1:$M$1,TRUE,FALSE),"")</f>
        <v/>
      </c>
      <c r="F85" t="str">
        <f ca="1"/>
        <v/>
      </c>
    </row>
    <row r="86" spans="1:6" x14ac:dyDescent="0.25">
      <c r="A86" t="s">
        <v>784</v>
      </c>
      <c r="B86" t="s">
        <v>26</v>
      </c>
      <c r="C86" t="s">
        <v>169</v>
      </c>
      <c r="D86" t="b">
        <f t="shared" ca="1" si="55"/>
        <v>0</v>
      </c>
      <c r="E86" t="str">
        <f t="array" aca="1" ref="E86:F86" ca="1">IF(D86=TRUE,LOGEST(D25:M25,$D$1:$M$1,TRUE,FALSE),"")</f>
        <v/>
      </c>
      <c r="F86" t="str">
        <f ca="1"/>
        <v/>
      </c>
    </row>
    <row r="87" spans="1:6" x14ac:dyDescent="0.25">
      <c r="A87" t="s">
        <v>192</v>
      </c>
      <c r="B87" t="s">
        <v>4</v>
      </c>
      <c r="C87" t="s">
        <v>196</v>
      </c>
      <c r="D87" t="b">
        <f t="shared" ca="1" si="55"/>
        <v>0</v>
      </c>
      <c r="E87" t="str">
        <f t="array" aca="1" ref="E87:F87" ca="1">IF(D87=TRUE,LOGEST(D26:M26,$D$1:$M$1,TRUE,FALSE),"")</f>
        <v/>
      </c>
      <c r="F87" t="str">
        <f ca="1"/>
        <v/>
      </c>
    </row>
    <row r="88" spans="1:6" x14ac:dyDescent="0.25">
      <c r="A88" t="s">
        <v>190</v>
      </c>
      <c r="B88" t="s">
        <v>4</v>
      </c>
      <c r="C88" t="s">
        <v>196</v>
      </c>
      <c r="D88" t="b">
        <f t="shared" ca="1" si="55"/>
        <v>0</v>
      </c>
      <c r="E88" t="str">
        <f t="array" aca="1" ref="E88:F88" ca="1">IF(D88=TRUE,LOGEST(D27:M27,$D$1:$M$1,TRUE,FALSE),"")</f>
        <v/>
      </c>
      <c r="F88" t="str">
        <f ca="1"/>
        <v/>
      </c>
    </row>
    <row r="89" spans="1:6" x14ac:dyDescent="0.25">
      <c r="A89" t="s">
        <v>770</v>
      </c>
      <c r="B89" t="s">
        <v>4</v>
      </c>
      <c r="C89" t="s">
        <v>196</v>
      </c>
      <c r="D89" t="b">
        <f t="shared" ca="1" si="55"/>
        <v>0</v>
      </c>
      <c r="E89" t="str">
        <f t="array" aca="1" ref="E89:F89" ca="1">IF(D89=TRUE,LOGEST(D28:M28,$D$1:$M$1,TRUE,FALSE),"")</f>
        <v/>
      </c>
      <c r="F89" t="str">
        <f ca="1"/>
        <v/>
      </c>
    </row>
    <row r="90" spans="1:6" x14ac:dyDescent="0.25">
      <c r="A90" t="s">
        <v>771</v>
      </c>
      <c r="B90" t="s">
        <v>4</v>
      </c>
      <c r="C90" t="s">
        <v>196</v>
      </c>
      <c r="D90" t="b">
        <f t="shared" ca="1" si="55"/>
        <v>0</v>
      </c>
      <c r="E90" t="str">
        <f t="array" aca="1" ref="E90:F90" ca="1">IF(D90=TRUE,LOGEST(D29:M29,$D$1:$M$1,TRUE,FALSE),"")</f>
        <v/>
      </c>
      <c r="F90" t="str">
        <f ca="1"/>
        <v/>
      </c>
    </row>
    <row r="91" spans="1:6" x14ac:dyDescent="0.25">
      <c r="A91" t="s">
        <v>777</v>
      </c>
      <c r="B91" t="s">
        <v>2</v>
      </c>
      <c r="C91" t="s">
        <v>196</v>
      </c>
      <c r="D91" t="b">
        <f t="shared" ca="1" si="55"/>
        <v>0</v>
      </c>
      <c r="E91" t="str">
        <f t="array" aca="1" ref="E91:F91" ca="1">IF(D91=TRUE,LOGEST(D30:M30,$D$1:$M$1,TRUE,FALSE),"")</f>
        <v/>
      </c>
      <c r="F91" t="str">
        <f ca="1"/>
        <v/>
      </c>
    </row>
    <row r="92" spans="1:6" x14ac:dyDescent="0.25">
      <c r="A92" t="s">
        <v>779</v>
      </c>
      <c r="B92" t="s">
        <v>835</v>
      </c>
      <c r="C92" t="s">
        <v>196</v>
      </c>
      <c r="D92" t="b">
        <f t="shared" ca="1" si="55"/>
        <v>0</v>
      </c>
      <c r="E92" t="str">
        <f t="array" aca="1" ref="E92:F92" ca="1">IF(D92=TRUE,LOGEST(D31:M31,$D$1:$M$1,TRUE,FALSE),"")</f>
        <v/>
      </c>
      <c r="F92" t="str">
        <f ca="1"/>
        <v/>
      </c>
    </row>
    <row r="93" spans="1:6" x14ac:dyDescent="0.25">
      <c r="A93" t="s">
        <v>193</v>
      </c>
      <c r="B93" t="s">
        <v>26</v>
      </c>
      <c r="C93" t="s">
        <v>196</v>
      </c>
      <c r="D93" t="b">
        <f t="shared" ca="1" si="55"/>
        <v>0</v>
      </c>
      <c r="E93" t="str">
        <f t="array" aca="1" ref="E93:F93" ca="1">IF(D93=TRUE,LOGEST(D32:M32,$D$1:$M$1,TRUE,FALSE),"")</f>
        <v/>
      </c>
      <c r="F93" t="str">
        <f ca="1"/>
        <v/>
      </c>
    </row>
    <row r="94" spans="1:6" x14ac:dyDescent="0.25">
      <c r="A94" t="s">
        <v>784</v>
      </c>
      <c r="B94" t="s">
        <v>26</v>
      </c>
      <c r="C94" t="s">
        <v>196</v>
      </c>
      <c r="D94" t="b">
        <f t="shared" ca="1" si="55"/>
        <v>0</v>
      </c>
      <c r="E94" t="str">
        <f t="array" aca="1" ref="E94:F94" ca="1">IF(D94=TRUE,LOGEST(D33:M33,$D$1:$M$1,TRUE,FALSE),"")</f>
        <v/>
      </c>
      <c r="F94" t="str">
        <f ca="1"/>
        <v/>
      </c>
    </row>
    <row r="95" spans="1:6" x14ac:dyDescent="0.25">
      <c r="A95" t="s">
        <v>192</v>
      </c>
      <c r="B95" t="s">
        <v>4</v>
      </c>
      <c r="C95" t="s">
        <v>197</v>
      </c>
      <c r="D95" t="b">
        <f t="shared" ca="1" si="55"/>
        <v>0</v>
      </c>
      <c r="E95" t="str">
        <f t="array" aca="1" ref="E95:F95" ca="1">IF(D95=TRUE,LOGEST(D34:M34,$D$1:$M$1,TRUE,FALSE),"")</f>
        <v/>
      </c>
      <c r="F95" t="str">
        <f ca="1"/>
        <v/>
      </c>
    </row>
    <row r="96" spans="1:6" x14ac:dyDescent="0.25">
      <c r="A96" t="s">
        <v>190</v>
      </c>
      <c r="B96" t="s">
        <v>4</v>
      </c>
      <c r="C96" t="s">
        <v>197</v>
      </c>
      <c r="D96" t="b">
        <f t="shared" ca="1" si="55"/>
        <v>0</v>
      </c>
      <c r="E96" t="str">
        <f t="array" aca="1" ref="E96:F96" ca="1">IF(D96=TRUE,LOGEST(D35:M35,$D$1:$M$1,TRUE,FALSE),"")</f>
        <v/>
      </c>
      <c r="F96" t="str">
        <f ca="1"/>
        <v/>
      </c>
    </row>
    <row r="97" spans="1:6" x14ac:dyDescent="0.25">
      <c r="A97" t="s">
        <v>770</v>
      </c>
      <c r="B97" t="s">
        <v>4</v>
      </c>
      <c r="C97" t="s">
        <v>197</v>
      </c>
      <c r="D97" t="b">
        <f t="shared" ca="1" si="55"/>
        <v>0</v>
      </c>
      <c r="E97" t="str">
        <f t="array" aca="1" ref="E97:F97" ca="1">IF(D97=TRUE,LOGEST(D36:M36,$D$1:$M$1,TRUE,FALSE),"")</f>
        <v/>
      </c>
      <c r="F97" t="str">
        <f ca="1"/>
        <v/>
      </c>
    </row>
    <row r="98" spans="1:6" x14ac:dyDescent="0.25">
      <c r="A98" t="s">
        <v>771</v>
      </c>
      <c r="B98" t="s">
        <v>4</v>
      </c>
      <c r="C98" t="s">
        <v>197</v>
      </c>
      <c r="D98" t="b">
        <f t="shared" ca="1" si="55"/>
        <v>0</v>
      </c>
      <c r="E98" t="str">
        <f t="array" aca="1" ref="E98:F98" ca="1">IF(D98=TRUE,LOGEST(D37:M37,$D$1:$M$1,TRUE,FALSE),"")</f>
        <v/>
      </c>
      <c r="F98" t="str">
        <f ca="1"/>
        <v/>
      </c>
    </row>
    <row r="99" spans="1:6" x14ac:dyDescent="0.25">
      <c r="A99" t="s">
        <v>777</v>
      </c>
      <c r="B99" t="s">
        <v>2</v>
      </c>
      <c r="C99" t="s">
        <v>197</v>
      </c>
      <c r="D99" t="b">
        <f t="shared" ca="1" si="55"/>
        <v>0</v>
      </c>
      <c r="E99" t="str">
        <f t="array" aca="1" ref="E99:F99" ca="1">IF(D99=TRUE,LOGEST(D38:M38,$D$1:$M$1,TRUE,FALSE),"")</f>
        <v/>
      </c>
      <c r="F99" t="str">
        <f ca="1"/>
        <v/>
      </c>
    </row>
    <row r="100" spans="1:6" x14ac:dyDescent="0.25">
      <c r="A100" t="s">
        <v>779</v>
      </c>
      <c r="B100" t="s">
        <v>835</v>
      </c>
      <c r="C100" t="s">
        <v>197</v>
      </c>
      <c r="D100" t="b">
        <f t="shared" ca="1" si="55"/>
        <v>0</v>
      </c>
      <c r="E100" t="str">
        <f t="array" aca="1" ref="E100:F100" ca="1">IF(D100=TRUE,LOGEST(D39:M39,$D$1:$M$1,TRUE,FALSE),"")</f>
        <v/>
      </c>
      <c r="F100" t="str">
        <f ca="1"/>
        <v/>
      </c>
    </row>
    <row r="101" spans="1:6" x14ac:dyDescent="0.25">
      <c r="A101" t="s">
        <v>193</v>
      </c>
      <c r="B101" t="s">
        <v>26</v>
      </c>
      <c r="C101" t="s">
        <v>197</v>
      </c>
      <c r="D101" t="b">
        <f t="shared" ca="1" si="55"/>
        <v>0</v>
      </c>
      <c r="E101" t="str">
        <f t="array" aca="1" ref="E101:F101" ca="1">IF(D101=TRUE,LOGEST(D40:M40,$D$1:$M$1,TRUE,FALSE),"")</f>
        <v/>
      </c>
      <c r="F101" t="str">
        <f ca="1"/>
        <v/>
      </c>
    </row>
    <row r="102" spans="1:6" x14ac:dyDescent="0.25">
      <c r="A102" t="s">
        <v>784</v>
      </c>
      <c r="B102" t="s">
        <v>26</v>
      </c>
      <c r="C102" t="s">
        <v>197</v>
      </c>
      <c r="D102" t="b">
        <f t="shared" ca="1" si="55"/>
        <v>0</v>
      </c>
      <c r="E102" t="str">
        <f t="array" aca="1" ref="E102:F102" ca="1">IF(D102=TRUE,LOGEST(D41:M41,$D$1:$M$1,TRUE,FALSE),"")</f>
        <v/>
      </c>
      <c r="F102" t="str">
        <f ca="1"/>
        <v/>
      </c>
    </row>
    <row r="103" spans="1:6" x14ac:dyDescent="0.25">
      <c r="A103" t="s">
        <v>192</v>
      </c>
      <c r="B103" t="s">
        <v>4</v>
      </c>
      <c r="C103" t="s">
        <v>198</v>
      </c>
      <c r="D103" t="b">
        <f t="shared" ca="1" si="55"/>
        <v>0</v>
      </c>
      <c r="E103" t="str">
        <f t="array" aca="1" ref="E103:F103" ca="1">IF(D103=TRUE,LOGEST(D42:M42,$D$1:$M$1,TRUE,FALSE),"")</f>
        <v/>
      </c>
      <c r="F103" t="str">
        <f ca="1"/>
        <v/>
      </c>
    </row>
    <row r="104" spans="1:6" x14ac:dyDescent="0.25">
      <c r="A104" t="s">
        <v>190</v>
      </c>
      <c r="B104" t="s">
        <v>4</v>
      </c>
      <c r="C104" t="s">
        <v>198</v>
      </c>
      <c r="D104" t="b">
        <f t="shared" ca="1" si="55"/>
        <v>0</v>
      </c>
      <c r="E104" t="str">
        <f t="array" aca="1" ref="E104:F104" ca="1">IF(D104=TRUE,LOGEST(D43:M43,$D$1:$M$1,TRUE,FALSE),"")</f>
        <v/>
      </c>
      <c r="F104" t="str">
        <f ca="1"/>
        <v/>
      </c>
    </row>
    <row r="105" spans="1:6" x14ac:dyDescent="0.25">
      <c r="A105" t="s">
        <v>770</v>
      </c>
      <c r="B105" t="s">
        <v>4</v>
      </c>
      <c r="C105" t="s">
        <v>198</v>
      </c>
      <c r="D105" t="b">
        <f t="shared" ca="1" si="55"/>
        <v>0</v>
      </c>
      <c r="E105" t="str">
        <f t="array" aca="1" ref="E105:F105" ca="1">IF(D105=TRUE,LOGEST(D44:M44,$D$1:$M$1,TRUE,FALSE),"")</f>
        <v/>
      </c>
      <c r="F105" t="str">
        <f ca="1"/>
        <v/>
      </c>
    </row>
    <row r="106" spans="1:6" x14ac:dyDescent="0.25">
      <c r="A106" t="s">
        <v>771</v>
      </c>
      <c r="B106" t="s">
        <v>4</v>
      </c>
      <c r="C106" t="s">
        <v>198</v>
      </c>
      <c r="D106" t="b">
        <f t="shared" ca="1" si="55"/>
        <v>0</v>
      </c>
      <c r="E106" t="str">
        <f t="array" aca="1" ref="E106:F106" ca="1">IF(D106=TRUE,LOGEST(D45:M45,$D$1:$M$1,TRUE,FALSE),"")</f>
        <v/>
      </c>
      <c r="F106" t="str">
        <f ca="1"/>
        <v/>
      </c>
    </row>
    <row r="107" spans="1:6" x14ac:dyDescent="0.25">
      <c r="A107" t="s">
        <v>777</v>
      </c>
      <c r="B107" t="s">
        <v>2</v>
      </c>
      <c r="C107" t="s">
        <v>198</v>
      </c>
      <c r="D107" t="b">
        <f t="shared" ca="1" si="55"/>
        <v>0</v>
      </c>
      <c r="E107" t="str">
        <f t="array" aca="1" ref="E107:F107" ca="1">IF(D107=TRUE,LOGEST(D46:M46,$D$1:$M$1,TRUE,FALSE),"")</f>
        <v/>
      </c>
      <c r="F107" t="str">
        <f ca="1"/>
        <v/>
      </c>
    </row>
    <row r="108" spans="1:6" x14ac:dyDescent="0.25">
      <c r="A108" t="s">
        <v>779</v>
      </c>
      <c r="B108" t="s">
        <v>835</v>
      </c>
      <c r="C108" t="s">
        <v>198</v>
      </c>
      <c r="D108" t="b">
        <f t="shared" ca="1" si="55"/>
        <v>0</v>
      </c>
      <c r="E108" t="str">
        <f t="array" aca="1" ref="E108:F108" ca="1">IF(D108=TRUE,LOGEST(D47:M47,$D$1:$M$1,TRUE,FALSE),"")</f>
        <v/>
      </c>
      <c r="F108" t="str">
        <f ca="1"/>
        <v/>
      </c>
    </row>
    <row r="109" spans="1:6" x14ac:dyDescent="0.25">
      <c r="A109" t="s">
        <v>193</v>
      </c>
      <c r="B109" t="s">
        <v>26</v>
      </c>
      <c r="C109" t="s">
        <v>198</v>
      </c>
      <c r="D109" t="b">
        <f t="shared" ca="1" si="55"/>
        <v>0</v>
      </c>
      <c r="E109" t="str">
        <f t="array" aca="1" ref="E109:F109" ca="1">IF(D109=TRUE,LOGEST(D48:M48,$D$1:$M$1,TRUE,FALSE),"")</f>
        <v/>
      </c>
      <c r="F109" t="str">
        <f ca="1"/>
        <v/>
      </c>
    </row>
    <row r="110" spans="1:6" x14ac:dyDescent="0.25">
      <c r="A110" t="s">
        <v>784</v>
      </c>
      <c r="B110" t="s">
        <v>26</v>
      </c>
      <c r="C110" t="s">
        <v>198</v>
      </c>
      <c r="D110" t="b">
        <f t="shared" ca="1" si="55"/>
        <v>0</v>
      </c>
      <c r="E110" t="str">
        <f t="array" aca="1" ref="E110:F110" ca="1">IF(D110=TRUE,LOGEST(D49:M49,$D$1:$M$1,TRUE,FALSE),"")</f>
        <v/>
      </c>
      <c r="F110" t="str">
        <f ca="1"/>
        <v/>
      </c>
    </row>
    <row r="111" spans="1:6" x14ac:dyDescent="0.25">
      <c r="A111" t="s">
        <v>192</v>
      </c>
      <c r="B111" t="s">
        <v>4</v>
      </c>
      <c r="C111" t="s">
        <v>199</v>
      </c>
      <c r="D111" t="b">
        <f t="shared" ca="1" si="55"/>
        <v>0</v>
      </c>
      <c r="E111" t="str">
        <f t="array" aca="1" ref="E111:F111" ca="1">IF(D111=TRUE,LOGEST(D50:M50,$D$1:$M$1,TRUE,FALSE),"")</f>
        <v/>
      </c>
      <c r="F111" t="str">
        <f ca="1"/>
        <v/>
      </c>
    </row>
    <row r="112" spans="1:6" x14ac:dyDescent="0.25">
      <c r="A112" t="s">
        <v>190</v>
      </c>
      <c r="B112" t="s">
        <v>4</v>
      </c>
      <c r="C112" t="s">
        <v>199</v>
      </c>
      <c r="D112" t="b">
        <f t="shared" ca="1" si="55"/>
        <v>0</v>
      </c>
      <c r="E112" t="str">
        <f t="array" aca="1" ref="E112:F112" ca="1">IF(D112=TRUE,LOGEST(D51:M51,$D$1:$M$1,TRUE,FALSE),"")</f>
        <v/>
      </c>
      <c r="F112" t="str">
        <f ca="1"/>
        <v/>
      </c>
    </row>
    <row r="113" spans="1:38" x14ac:dyDescent="0.25">
      <c r="A113" t="s">
        <v>770</v>
      </c>
      <c r="B113" t="s">
        <v>4</v>
      </c>
      <c r="C113" t="s">
        <v>199</v>
      </c>
      <c r="D113" t="b">
        <f t="shared" ca="1" si="55"/>
        <v>0</v>
      </c>
      <c r="E113" t="str">
        <f t="array" aca="1" ref="E113:F113" ca="1">IF(D113=TRUE,LOGEST(D52:M52,$D$1:$M$1,TRUE,FALSE),"")</f>
        <v/>
      </c>
      <c r="F113" t="str">
        <f ca="1"/>
        <v/>
      </c>
    </row>
    <row r="114" spans="1:38" x14ac:dyDescent="0.25">
      <c r="A114" t="s">
        <v>771</v>
      </c>
      <c r="B114" t="s">
        <v>4</v>
      </c>
      <c r="C114" t="s">
        <v>199</v>
      </c>
      <c r="D114" t="b">
        <f t="shared" ca="1" si="55"/>
        <v>0</v>
      </c>
      <c r="E114" t="str">
        <f t="array" aca="1" ref="E114:F114" ca="1">IF(D114=TRUE,LOGEST(D53:M53,$D$1:$M$1,TRUE,FALSE),"")</f>
        <v/>
      </c>
      <c r="F114" t="str">
        <f ca="1"/>
        <v/>
      </c>
    </row>
    <row r="115" spans="1:38" x14ac:dyDescent="0.25">
      <c r="A115" t="s">
        <v>777</v>
      </c>
      <c r="B115" t="s">
        <v>2</v>
      </c>
      <c r="C115" t="s">
        <v>199</v>
      </c>
      <c r="D115" t="b">
        <f t="shared" ca="1" si="55"/>
        <v>0</v>
      </c>
      <c r="E115" t="str">
        <f t="array" aca="1" ref="E115:F115" ca="1">IF(D115=TRUE,LOGEST(D54:M54,$D$1:$M$1,TRUE,FALSE),"")</f>
        <v/>
      </c>
      <c r="F115" t="str">
        <f ca="1"/>
        <v/>
      </c>
    </row>
    <row r="116" spans="1:38" x14ac:dyDescent="0.25">
      <c r="A116" t="s">
        <v>779</v>
      </c>
      <c r="B116" t="s">
        <v>835</v>
      </c>
      <c r="C116" t="s">
        <v>199</v>
      </c>
      <c r="D116" t="b">
        <f t="shared" ca="1" si="55"/>
        <v>0</v>
      </c>
      <c r="E116" t="str">
        <f t="array" aca="1" ref="E116:F116" ca="1">IF(D116=TRUE,LOGEST(D55:M55,$D$1:$M$1,TRUE,FALSE),"")</f>
        <v/>
      </c>
      <c r="F116" t="str">
        <f ca="1"/>
        <v/>
      </c>
    </row>
    <row r="117" spans="1:38" x14ac:dyDescent="0.25">
      <c r="A117" t="s">
        <v>193</v>
      </c>
      <c r="B117" t="s">
        <v>26</v>
      </c>
      <c r="C117" t="s">
        <v>199</v>
      </c>
      <c r="D117" t="b">
        <f t="shared" ca="1" si="55"/>
        <v>0</v>
      </c>
      <c r="E117" t="str">
        <f t="array" aca="1" ref="E117:F117" ca="1">IF(D117=TRUE,LOGEST(D56:M56,$D$1:$M$1,TRUE,FALSE),"")</f>
        <v/>
      </c>
      <c r="F117" t="str">
        <f ca="1"/>
        <v/>
      </c>
    </row>
    <row r="118" spans="1:38" x14ac:dyDescent="0.25">
      <c r="A118" t="s">
        <v>784</v>
      </c>
      <c r="B118" t="s">
        <v>26</v>
      </c>
      <c r="C118" t="s">
        <v>199</v>
      </c>
      <c r="D118" t="b">
        <f t="shared" ca="1" si="55"/>
        <v>0</v>
      </c>
      <c r="E118" t="str">
        <f t="array" aca="1" ref="E118:F118" ca="1">IF(D118=TRUE,LOGEST(D57:M57,$D$1:$M$1,TRUE,FALSE),"")</f>
        <v/>
      </c>
      <c r="F118" t="str">
        <f ca="1"/>
        <v/>
      </c>
    </row>
    <row r="119" spans="1:38" x14ac:dyDescent="0.25">
      <c r="A119" s="73"/>
    </row>
    <row r="120" spans="1:38" x14ac:dyDescent="0.25">
      <c r="A120" s="67" t="s">
        <v>195</v>
      </c>
      <c r="B120" s="67" t="s">
        <v>171</v>
      </c>
      <c r="C120" t="s">
        <v>205</v>
      </c>
      <c r="D120" t="s">
        <v>206</v>
      </c>
      <c r="E120" t="s">
        <v>207</v>
      </c>
      <c r="F120" t="s">
        <v>208</v>
      </c>
      <c r="G120" t="s">
        <v>209</v>
      </c>
      <c r="H120" t="s">
        <v>210</v>
      </c>
      <c r="I120" t="s">
        <v>211</v>
      </c>
      <c r="J120" t="s">
        <v>212</v>
      </c>
      <c r="K120" t="s">
        <v>213</v>
      </c>
      <c r="L120" t="s">
        <v>214</v>
      </c>
      <c r="M120" t="s">
        <v>215</v>
      </c>
      <c r="N120" t="s">
        <v>216</v>
      </c>
      <c r="O120" t="s">
        <v>217</v>
      </c>
      <c r="P120" t="s">
        <v>218</v>
      </c>
      <c r="Q120" t="s">
        <v>219</v>
      </c>
      <c r="R120" t="s">
        <v>220</v>
      </c>
      <c r="S120" t="s">
        <v>221</v>
      </c>
      <c r="T120" t="s">
        <v>222</v>
      </c>
      <c r="U120" t="s">
        <v>223</v>
      </c>
      <c r="V120" t="s">
        <v>224</v>
      </c>
      <c r="W120" t="s">
        <v>225</v>
      </c>
      <c r="X120" t="s">
        <v>226</v>
      </c>
      <c r="Y120" t="s">
        <v>227</v>
      </c>
      <c r="Z120" t="s">
        <v>228</v>
      </c>
      <c r="AA120" t="s">
        <v>229</v>
      </c>
      <c r="AB120" t="s">
        <v>230</v>
      </c>
      <c r="AC120" t="s">
        <v>231</v>
      </c>
      <c r="AD120" t="s">
        <v>232</v>
      </c>
      <c r="AE120" t="s">
        <v>233</v>
      </c>
      <c r="AF120" t="s">
        <v>234</v>
      </c>
      <c r="AG120" t="s">
        <v>235</v>
      </c>
      <c r="AH120" t="s">
        <v>236</v>
      </c>
      <c r="AI120" t="s">
        <v>237</v>
      </c>
      <c r="AJ120" t="s">
        <v>238</v>
      </c>
      <c r="AK120" t="s">
        <v>239</v>
      </c>
      <c r="AL120" t="s">
        <v>240</v>
      </c>
    </row>
    <row r="121" spans="1:38" x14ac:dyDescent="0.25">
      <c r="A121" t="s">
        <v>26</v>
      </c>
      <c r="B121" t="s">
        <v>168</v>
      </c>
      <c r="C121" s="1">
        <v>1.6782000395322001</v>
      </c>
      <c r="D121" s="1">
        <v>1.6970108641443702</v>
      </c>
      <c r="E121" s="1">
        <v>1.7158216887565403</v>
      </c>
      <c r="F121" s="1">
        <v>1.7346325133687104</v>
      </c>
      <c r="G121" s="1">
        <v>1.7534433379808805</v>
      </c>
      <c r="H121" s="1">
        <v>1.7722541625930506</v>
      </c>
      <c r="I121" s="1">
        <v>1.7910649872052207</v>
      </c>
      <c r="J121" s="1">
        <v>1.8098758118173908</v>
      </c>
      <c r="K121" s="1">
        <v>1.8286866364295609</v>
      </c>
      <c r="L121" s="1">
        <v>1.847497461041731</v>
      </c>
      <c r="M121" s="1">
        <v>1.8663082856539011</v>
      </c>
      <c r="N121" s="1">
        <v>1.8851191102660712</v>
      </c>
      <c r="O121" s="1">
        <v>1.9039299348782412</v>
      </c>
      <c r="P121" s="1">
        <v>1.9227407594904113</v>
      </c>
      <c r="Q121" s="1">
        <v>1.9415515841025814</v>
      </c>
      <c r="R121" s="1">
        <v>1.9603624087147515</v>
      </c>
      <c r="S121" s="1">
        <v>1.9791732333269216</v>
      </c>
      <c r="T121" s="1">
        <v>1.9979840579390917</v>
      </c>
      <c r="U121" s="1">
        <v>2.0167948825512618</v>
      </c>
      <c r="V121" s="1">
        <v>2.0356057071634317</v>
      </c>
      <c r="W121" s="1">
        <v>2.0544165317756016</v>
      </c>
      <c r="X121" s="1">
        <v>2.0732273563877714</v>
      </c>
      <c r="Y121" s="1">
        <v>2.0920381809999413</v>
      </c>
      <c r="Z121" s="1">
        <v>2.1108490056121112</v>
      </c>
      <c r="AA121" s="1">
        <v>2.1296598302242811</v>
      </c>
      <c r="AB121" s="1">
        <v>2.1484706548364509</v>
      </c>
      <c r="AC121" s="1">
        <v>2.1672814794486208</v>
      </c>
      <c r="AD121" s="1">
        <v>2.1860923040607907</v>
      </c>
      <c r="AE121" s="1">
        <v>2.2049031286729606</v>
      </c>
      <c r="AF121" s="1">
        <v>2.2237139532851304</v>
      </c>
      <c r="AG121" s="1">
        <v>2.2425247778973003</v>
      </c>
      <c r="AH121" s="1">
        <v>2.2613356025094702</v>
      </c>
      <c r="AI121" s="1">
        <v>2.2801464271216401</v>
      </c>
      <c r="AJ121" s="1">
        <v>2.2989572517338099</v>
      </c>
      <c r="AK121" s="1">
        <v>2.3177680763459798</v>
      </c>
      <c r="AL121" s="1">
        <v>2.3365789009581497</v>
      </c>
    </row>
    <row r="122" spans="1:38" x14ac:dyDescent="0.25">
      <c r="A122" t="s">
        <v>26</v>
      </c>
      <c r="B122" t="s">
        <v>159</v>
      </c>
      <c r="C122" s="1">
        <v>2676.35142133407</v>
      </c>
      <c r="D122" s="1">
        <v>2810.7435856304478</v>
      </c>
      <c r="E122" s="1">
        <v>2945.1357499268256</v>
      </c>
      <c r="F122" s="1">
        <v>3079.5279142232034</v>
      </c>
      <c r="G122" s="1">
        <v>3213.9200785195812</v>
      </c>
      <c r="H122" s="1">
        <v>3348.3122428159591</v>
      </c>
      <c r="I122" s="1">
        <v>3482.7044071123369</v>
      </c>
      <c r="J122" s="1">
        <v>3617.0965714087147</v>
      </c>
      <c r="K122" s="1">
        <v>3751.4887357050925</v>
      </c>
      <c r="L122" s="1">
        <v>3885.8809000014703</v>
      </c>
      <c r="M122" s="1">
        <v>4020.2730642978481</v>
      </c>
      <c r="N122" s="1">
        <v>4154.6652285942255</v>
      </c>
      <c r="O122" s="1">
        <v>4289.0573928906033</v>
      </c>
      <c r="P122" s="1">
        <v>4423.4495571869811</v>
      </c>
      <c r="Q122" s="1">
        <v>4557.8417214833589</v>
      </c>
      <c r="R122" s="1">
        <v>4692.2338857797367</v>
      </c>
      <c r="S122" s="1">
        <v>4826.6260500761146</v>
      </c>
      <c r="T122" s="1">
        <v>4961.0182143724924</v>
      </c>
      <c r="U122" s="1">
        <v>5095.4103786688702</v>
      </c>
      <c r="V122" s="1">
        <v>5229.802542965248</v>
      </c>
      <c r="W122" s="1">
        <v>5364.1947072616258</v>
      </c>
      <c r="X122" s="1">
        <v>5498.5868715580036</v>
      </c>
      <c r="Y122" s="1">
        <v>5632.9790358543814</v>
      </c>
      <c r="Z122" s="1">
        <v>5767.3712001507593</v>
      </c>
      <c r="AA122" s="1">
        <v>5901.7633644471371</v>
      </c>
      <c r="AB122" s="1">
        <v>6036.1555287435149</v>
      </c>
      <c r="AC122" s="1">
        <v>6170.5476930398927</v>
      </c>
      <c r="AD122" s="1">
        <v>6304.9398573362705</v>
      </c>
      <c r="AE122" s="1">
        <v>6439.3320216326483</v>
      </c>
      <c r="AF122" s="1">
        <v>6573.7241859290261</v>
      </c>
      <c r="AG122" s="1">
        <v>6708.1163502254039</v>
      </c>
      <c r="AH122" s="1">
        <v>6842.5085145217818</v>
      </c>
      <c r="AI122" s="1">
        <v>6976.9006788181596</v>
      </c>
      <c r="AJ122" s="1">
        <v>7111.2928431145374</v>
      </c>
      <c r="AK122" s="1">
        <v>7245.6850074109152</v>
      </c>
      <c r="AL122" s="1">
        <v>7380.077171707293</v>
      </c>
    </row>
    <row r="123" spans="1:38" x14ac:dyDescent="0.25">
      <c r="A123" t="s">
        <v>26</v>
      </c>
      <c r="B123" t="s">
        <v>169</v>
      </c>
      <c r="C123" s="1">
        <v>4.35088899137979E-2</v>
      </c>
      <c r="D123" s="1">
        <v>4.3996577959298615E-2</v>
      </c>
      <c r="E123" s="1">
        <v>4.4484266004799329E-2</v>
      </c>
      <c r="F123" s="1">
        <v>4.4971954050300043E-2</v>
      </c>
      <c r="G123" s="1">
        <v>4.5459642095800758E-2</v>
      </c>
      <c r="H123" s="1">
        <v>4.5947330141301472E-2</v>
      </c>
      <c r="I123" s="1">
        <v>4.6435018186802186E-2</v>
      </c>
      <c r="J123" s="1">
        <v>4.6922706232302901E-2</v>
      </c>
      <c r="K123" s="1">
        <v>4.7410394277803615E-2</v>
      </c>
      <c r="L123" s="1">
        <v>4.7898082323304329E-2</v>
      </c>
      <c r="M123" s="1">
        <v>4.8385770368805044E-2</v>
      </c>
      <c r="N123" s="1">
        <v>4.8873458414305758E-2</v>
      </c>
      <c r="O123" s="1">
        <v>4.9361146459806472E-2</v>
      </c>
      <c r="P123" s="1">
        <v>4.9848834505307187E-2</v>
      </c>
      <c r="Q123" s="1">
        <v>5.0336522550807901E-2</v>
      </c>
      <c r="R123" s="1">
        <v>5.0824210596308615E-2</v>
      </c>
      <c r="S123" s="1">
        <v>5.131189864180933E-2</v>
      </c>
      <c r="T123" s="1">
        <v>5.1799586687310044E-2</v>
      </c>
      <c r="U123" s="1">
        <v>5.2287274732810758E-2</v>
      </c>
      <c r="V123" s="1">
        <v>5.2774962778311472E-2</v>
      </c>
      <c r="W123" s="1">
        <v>5.3262650823812187E-2</v>
      </c>
      <c r="X123" s="1">
        <v>5.3750338869312901E-2</v>
      </c>
      <c r="Y123" s="1">
        <v>5.4238026914813615E-2</v>
      </c>
      <c r="Z123" s="1">
        <v>5.472571496031433E-2</v>
      </c>
      <c r="AA123" s="1">
        <v>5.5213403005815044E-2</v>
      </c>
      <c r="AB123" s="1">
        <v>5.5701091051315758E-2</v>
      </c>
      <c r="AC123" s="1">
        <v>5.6188779096816473E-2</v>
      </c>
      <c r="AD123" s="1">
        <v>5.6676467142317187E-2</v>
      </c>
      <c r="AE123" s="1">
        <v>5.7164155187817901E-2</v>
      </c>
      <c r="AF123" s="1">
        <v>5.7651843233318616E-2</v>
      </c>
      <c r="AG123" s="1">
        <v>5.813953127881933E-2</v>
      </c>
      <c r="AH123" s="1">
        <v>5.8627219324320044E-2</v>
      </c>
      <c r="AI123" s="1">
        <v>5.9114907369820759E-2</v>
      </c>
      <c r="AJ123" s="1">
        <v>5.9602595415321473E-2</v>
      </c>
      <c r="AK123" s="1">
        <v>6.0090283460822187E-2</v>
      </c>
      <c r="AL123" s="1">
        <v>6.0577971506322902E-2</v>
      </c>
    </row>
    <row r="124" spans="1:38" x14ac:dyDescent="0.25">
      <c r="A124" t="s">
        <v>4</v>
      </c>
      <c r="B124" t="s">
        <v>168</v>
      </c>
      <c r="C124" s="1">
        <v>2.9143630708186801</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row>
    <row r="125" spans="1:38" x14ac:dyDescent="0.25">
      <c r="A125" t="s">
        <v>4</v>
      </c>
      <c r="B125" t="s">
        <v>159</v>
      </c>
      <c r="C125" s="1">
        <v>5309.99206442174</v>
      </c>
      <c r="D125" s="1">
        <v>5091.4782086739979</v>
      </c>
      <c r="E125" s="1">
        <v>5108.2247257697509</v>
      </c>
      <c r="F125" s="1">
        <v>5125.0092127269663</v>
      </c>
      <c r="G125" s="1">
        <v>5141.8318261137647</v>
      </c>
      <c r="H125" s="1">
        <v>5158.6927231438731</v>
      </c>
      <c r="I125" s="1">
        <v>5175.5920616792828</v>
      </c>
      <c r="J125" s="1">
        <v>5192.5300002329313</v>
      </c>
      <c r="K125" s="1">
        <v>5209.5066979713783</v>
      </c>
      <c r="L125" s="1">
        <v>5226.5223147175057</v>
      </c>
      <c r="M125" s="1">
        <v>5243.5770109532232</v>
      </c>
      <c r="N125" s="1">
        <v>5260.6709478221837</v>
      </c>
      <c r="O125" s="1">
        <v>5277.8042871325124</v>
      </c>
      <c r="P125" s="1">
        <v>5294.9771913595523</v>
      </c>
      <c r="Q125" s="1">
        <v>5312.1898236486049</v>
      </c>
      <c r="R125" s="1">
        <v>5329.4423478177041</v>
      </c>
      <c r="S125" s="1">
        <v>5346.7349283603799</v>
      </c>
      <c r="T125" s="1">
        <v>5364.0677304484543</v>
      </c>
      <c r="U125" s="1">
        <v>5381.4409199348283</v>
      </c>
      <c r="V125" s="1">
        <v>5398.8546633562946</v>
      </c>
      <c r="W125" s="1">
        <v>5416.3091279363625</v>
      </c>
      <c r="X125" s="1">
        <v>5433.8044815880785</v>
      </c>
      <c r="Y125" s="1">
        <v>5451.3408929168809</v>
      </c>
      <c r="Z125" s="1">
        <v>5468.918531223444</v>
      </c>
      <c r="AA125" s="1">
        <v>5486.5375665065603</v>
      </c>
      <c r="AB125" s="1">
        <v>5504.1981694660008</v>
      </c>
      <c r="AC125" s="1">
        <v>5521.9005115054169</v>
      </c>
      <c r="AD125" s="1">
        <v>5539.6447647352397</v>
      </c>
      <c r="AE125" s="1">
        <v>5557.4311019755987</v>
      </c>
      <c r="AF125" s="1">
        <v>5575.2596967592417</v>
      </c>
      <c r="AG125" s="1">
        <v>5593.1307233344742</v>
      </c>
      <c r="AH125" s="1">
        <v>5611.0443566681133</v>
      </c>
      <c r="AI125" s="1">
        <v>5629.0007724484494</v>
      </c>
      <c r="AJ125" s="1">
        <v>5647.0001470882225</v>
      </c>
      <c r="AK125" s="1">
        <v>5665.0426577276048</v>
      </c>
      <c r="AL125" s="1">
        <v>5683.1284822372036</v>
      </c>
    </row>
    <row r="126" spans="1:38" x14ac:dyDescent="0.25">
      <c r="A126" t="s">
        <v>4</v>
      </c>
      <c r="B126" t="s">
        <v>169</v>
      </c>
      <c r="C126" s="1">
        <v>3.7678019507258931</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0.27821726946095515</v>
      </c>
      <c r="AJ126" s="1">
        <v>0.26949968749856201</v>
      </c>
      <c r="AK126" s="1">
        <v>0.26105525980663624</v>
      </c>
      <c r="AL126" s="1">
        <v>0.25287542744580732</v>
      </c>
    </row>
    <row r="127" spans="1:38" x14ac:dyDescent="0.25">
      <c r="A127" t="s">
        <v>835</v>
      </c>
      <c r="B127" t="s">
        <v>159</v>
      </c>
      <c r="C127" s="1">
        <v>24.687144672460501</v>
      </c>
      <c r="D127" s="1">
        <v>27.430160747178334</v>
      </c>
      <c r="E127" s="1">
        <v>30.173176821896167</v>
      </c>
      <c r="F127" s="1">
        <v>32.916192896614</v>
      </c>
      <c r="G127" s="1">
        <v>35.659208971331836</v>
      </c>
      <c r="H127" s="1">
        <v>38.402225046049672</v>
      </c>
      <c r="I127" s="1">
        <v>41.145241120767508</v>
      </c>
      <c r="J127" s="1">
        <v>43.888257195485345</v>
      </c>
      <c r="K127" s="1">
        <v>46.631273270203181</v>
      </c>
      <c r="L127" s="1">
        <v>49.374289344921017</v>
      </c>
      <c r="M127" s="1">
        <v>52.117305419638853</v>
      </c>
      <c r="N127" s="1">
        <v>54.86032149435669</v>
      </c>
      <c r="O127" s="1">
        <v>57.603337569074526</v>
      </c>
      <c r="P127" s="1">
        <v>60.346353643792362</v>
      </c>
      <c r="Q127" s="1">
        <v>63.089369718510198</v>
      </c>
      <c r="R127" s="1">
        <v>65.832385793228028</v>
      </c>
      <c r="S127" s="1">
        <v>68.575401867945857</v>
      </c>
      <c r="T127" s="1">
        <v>71.318417942663686</v>
      </c>
      <c r="U127" s="1">
        <v>74.061434017381515</v>
      </c>
      <c r="V127" s="1">
        <v>76.804450092099344</v>
      </c>
      <c r="W127" s="1">
        <v>79.547466166817173</v>
      </c>
      <c r="X127" s="1">
        <v>82.290482241535003</v>
      </c>
      <c r="Y127" s="1">
        <v>85.033498316252832</v>
      </c>
      <c r="Z127" s="1">
        <v>87.776514390970661</v>
      </c>
      <c r="AA127" s="1">
        <v>90.51953046568849</v>
      </c>
      <c r="AB127" s="1">
        <v>93.262546540406319</v>
      </c>
      <c r="AC127" s="1">
        <v>96.005562615124148</v>
      </c>
      <c r="AD127" s="1">
        <v>98.748578689841978</v>
      </c>
      <c r="AE127" s="1">
        <v>101.49159476455981</v>
      </c>
      <c r="AF127" s="1">
        <v>104.23461083927764</v>
      </c>
      <c r="AG127" s="1">
        <v>106.97762691399546</v>
      </c>
      <c r="AH127" s="1">
        <v>109.72064298871329</v>
      </c>
      <c r="AI127" s="1">
        <v>112.46365906343112</v>
      </c>
      <c r="AJ127" s="1">
        <v>115.20667513814895</v>
      </c>
      <c r="AK127" s="1">
        <v>117.94969121286678</v>
      </c>
      <c r="AL127" s="1">
        <v>120.69270728758461</v>
      </c>
    </row>
    <row r="128" spans="1:38" x14ac:dyDescent="0.25">
      <c r="A128" t="s">
        <v>835</v>
      </c>
      <c r="B128" t="s">
        <v>169</v>
      </c>
      <c r="C128" s="1">
        <v>0.84901032962404499</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row>
    <row r="129" spans="1:38" x14ac:dyDescent="0.25">
      <c r="A129" t="s">
        <v>835</v>
      </c>
      <c r="B129" t="s">
        <v>197</v>
      </c>
      <c r="C129" s="1">
        <v>10.7026151524695</v>
      </c>
      <c r="D129" s="1">
        <v>11.507041822074632</v>
      </c>
      <c r="E129" s="1">
        <v>12.311468491679763</v>
      </c>
      <c r="F129" s="1">
        <v>13.115895161284895</v>
      </c>
      <c r="G129" s="1">
        <v>13.920321830890027</v>
      </c>
      <c r="H129" s="1">
        <v>14.724748500495158</v>
      </c>
      <c r="I129" s="1">
        <v>15.52917517010029</v>
      </c>
      <c r="J129" s="1">
        <v>16.33360183970542</v>
      </c>
      <c r="K129" s="1">
        <v>17.138028509310551</v>
      </c>
      <c r="L129" s="1">
        <v>17.942455178915683</v>
      </c>
      <c r="M129" s="1">
        <v>18.746881848520815</v>
      </c>
      <c r="N129" s="1">
        <v>19.551308518125946</v>
      </c>
      <c r="O129" s="1">
        <v>20.355735187731078</v>
      </c>
      <c r="P129" s="1">
        <v>21.16016185733621</v>
      </c>
      <c r="Q129" s="1">
        <v>21.964588526941341</v>
      </c>
      <c r="R129" s="1">
        <v>22.769015196546473</v>
      </c>
      <c r="S129" s="1">
        <v>23.573441866151605</v>
      </c>
      <c r="T129" s="1">
        <v>24.377868535756736</v>
      </c>
      <c r="U129" s="1">
        <v>25.182295205361868</v>
      </c>
      <c r="V129" s="1">
        <v>25.986721874966999</v>
      </c>
      <c r="W129" s="1">
        <v>26.791148544572131</v>
      </c>
      <c r="X129" s="1">
        <v>27.595575214177263</v>
      </c>
      <c r="Y129" s="1">
        <v>28.400001883782394</v>
      </c>
      <c r="Z129" s="1">
        <v>29.204428553387526</v>
      </c>
      <c r="AA129" s="1">
        <v>30.008855222992658</v>
      </c>
      <c r="AB129" s="1">
        <v>30.813281892597789</v>
      </c>
      <c r="AC129" s="1">
        <v>31.617708562202921</v>
      </c>
      <c r="AD129" s="1">
        <v>32.422135231808049</v>
      </c>
      <c r="AE129" s="1">
        <v>33.226561901413177</v>
      </c>
      <c r="AF129" s="1">
        <v>34.030988571018305</v>
      </c>
      <c r="AG129" s="1">
        <v>34.835415240623433</v>
      </c>
      <c r="AH129" s="1">
        <v>35.639841910228562</v>
      </c>
      <c r="AI129" s="1">
        <v>36.44426857983369</v>
      </c>
      <c r="AJ129" s="1">
        <v>37.248695249438818</v>
      </c>
      <c r="AK129" s="1">
        <v>38.053121919043946</v>
      </c>
      <c r="AL129" s="1">
        <v>38.857548588649074</v>
      </c>
    </row>
    <row r="130" spans="1:38" x14ac:dyDescent="0.25">
      <c r="A130" t="s">
        <v>835</v>
      </c>
      <c r="B130" t="s">
        <v>198</v>
      </c>
      <c r="C130" s="1">
        <v>192.16501199999999</v>
      </c>
      <c r="D130" s="1">
        <v>194.32161333333332</v>
      </c>
      <c r="E130" s="1">
        <v>196.47821466666664</v>
      </c>
      <c r="F130" s="1">
        <v>198.63481599999997</v>
      </c>
      <c r="G130" s="1">
        <v>200.7914173333333</v>
      </c>
      <c r="H130" s="1">
        <v>202.94801866666663</v>
      </c>
      <c r="I130" s="1">
        <v>205.10461999999995</v>
      </c>
      <c r="J130" s="1">
        <v>207.26122133333328</v>
      </c>
      <c r="K130" s="1">
        <v>209.41782266666661</v>
      </c>
      <c r="L130" s="1">
        <v>211.57442399999994</v>
      </c>
      <c r="M130" s="1">
        <v>213.73102533333326</v>
      </c>
      <c r="N130" s="1">
        <v>215.88762666666659</v>
      </c>
      <c r="O130" s="1">
        <v>218.04422799999992</v>
      </c>
      <c r="P130" s="1">
        <v>220.20082933333325</v>
      </c>
      <c r="Q130" s="1">
        <v>222.35743066666657</v>
      </c>
      <c r="R130" s="1">
        <v>224.5140319999999</v>
      </c>
      <c r="S130" s="1">
        <v>226.67063333333323</v>
      </c>
      <c r="T130" s="1">
        <v>228.82723466666656</v>
      </c>
      <c r="U130" s="1">
        <v>230.98383599999988</v>
      </c>
      <c r="V130" s="1">
        <v>233.14043733333321</v>
      </c>
      <c r="W130" s="1">
        <v>235.29703866666654</v>
      </c>
      <c r="X130" s="1">
        <v>237.45363999999987</v>
      </c>
      <c r="Y130" s="1">
        <v>239.61024133333319</v>
      </c>
      <c r="Z130" s="1">
        <v>241.76684266666652</v>
      </c>
      <c r="AA130" s="1">
        <v>243.92344399999985</v>
      </c>
      <c r="AB130" s="1">
        <v>246.08004533333317</v>
      </c>
      <c r="AC130" s="1">
        <v>248.2366466666665</v>
      </c>
      <c r="AD130" s="1">
        <v>250.39324799999983</v>
      </c>
      <c r="AE130" s="1">
        <v>252.54984933333316</v>
      </c>
      <c r="AF130" s="1">
        <v>254.70645066666648</v>
      </c>
      <c r="AG130" s="1">
        <v>256.86305199999981</v>
      </c>
      <c r="AH130" s="1">
        <v>259.01965333333317</v>
      </c>
      <c r="AI130" s="1">
        <v>261.17625466666652</v>
      </c>
      <c r="AJ130" s="1">
        <v>263.33285599999988</v>
      </c>
      <c r="AK130" s="1">
        <v>265.48945733333323</v>
      </c>
      <c r="AL130" s="1">
        <v>267.64605866666659</v>
      </c>
    </row>
    <row r="131" spans="1:38" x14ac:dyDescent="0.25">
      <c r="A131" t="s">
        <v>2</v>
      </c>
      <c r="B131" t="s">
        <v>159</v>
      </c>
      <c r="C131" s="1">
        <v>10797.8200666047</v>
      </c>
      <c r="D131" s="1">
        <v>10897.404707162397</v>
      </c>
      <c r="E131" s="1">
        <v>10996.989347720095</v>
      </c>
      <c r="F131" s="1">
        <v>11096.573988277793</v>
      </c>
      <c r="G131" s="1">
        <v>11196.15862883549</v>
      </c>
      <c r="H131" s="1">
        <v>11295.743269393188</v>
      </c>
      <c r="I131" s="1">
        <v>11395.327909950885</v>
      </c>
      <c r="J131" s="1">
        <v>11494.912550508583</v>
      </c>
      <c r="K131" s="1">
        <v>11594.497191066281</v>
      </c>
      <c r="L131" s="1">
        <v>11694.081831623978</v>
      </c>
      <c r="M131" s="1">
        <v>11793.666472181676</v>
      </c>
      <c r="N131" s="1">
        <v>11893.251112739374</v>
      </c>
      <c r="O131" s="1">
        <v>11992.835753297071</v>
      </c>
      <c r="P131" s="1">
        <v>12092.420393854769</v>
      </c>
      <c r="Q131" s="1">
        <v>12192.005034412467</v>
      </c>
      <c r="R131" s="1">
        <v>12291.589674970164</v>
      </c>
      <c r="S131" s="1">
        <v>12391.174315527862</v>
      </c>
      <c r="T131" s="1">
        <v>12490.758956085559</v>
      </c>
      <c r="U131" s="1">
        <v>12590.343596643257</v>
      </c>
      <c r="V131" s="1">
        <v>12689.928237200955</v>
      </c>
      <c r="W131" s="1">
        <v>12789.512877758652</v>
      </c>
      <c r="X131" s="1">
        <v>12889.09751831635</v>
      </c>
      <c r="Y131" s="1">
        <v>12988.682158874048</v>
      </c>
      <c r="Z131" s="1">
        <v>13088.266799431745</v>
      </c>
      <c r="AA131" s="1">
        <v>13187.851439989443</v>
      </c>
      <c r="AB131" s="1">
        <v>13287.436080547141</v>
      </c>
      <c r="AC131" s="1">
        <v>13387.020721104838</v>
      </c>
      <c r="AD131" s="1">
        <v>13486.605361662536</v>
      </c>
      <c r="AE131" s="1">
        <v>13586.190002220234</v>
      </c>
      <c r="AF131" s="1">
        <v>13685.774642777931</v>
      </c>
      <c r="AG131" s="1">
        <v>13785.359283335629</v>
      </c>
      <c r="AH131" s="1">
        <v>13884.943923893326</v>
      </c>
      <c r="AI131" s="1">
        <v>13984.528564451024</v>
      </c>
      <c r="AJ131" s="1">
        <v>14084.113205008722</v>
      </c>
      <c r="AK131" s="1">
        <v>14183.697845566419</v>
      </c>
      <c r="AL131" s="1">
        <v>14283.282486124117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AK1"/>
  <sheetViews>
    <sheetView workbookViewId="0">
      <selection activeCell="W30" sqref="A28:W30"/>
    </sheetView>
  </sheetViews>
  <sheetFormatPr defaultColWidth="8.85546875" defaultRowHeight="15" x14ac:dyDescent="0.25"/>
  <cols>
    <col min="1" max="1" width="35" bestFit="1" customWidth="1"/>
  </cols>
  <sheetData>
    <row r="1" spans="1:37" x14ac:dyDescent="0.25">
      <c r="A1" t="s">
        <v>99</v>
      </c>
      <c r="B1" s="23">
        <v>0</v>
      </c>
      <c r="C1" s="23">
        <v>0</v>
      </c>
      <c r="D1" s="23">
        <v>0</v>
      </c>
      <c r="E1" s="23">
        <v>0</v>
      </c>
      <c r="F1" s="23">
        <v>0</v>
      </c>
      <c r="G1" s="23">
        <v>0</v>
      </c>
      <c r="H1" s="23">
        <v>0</v>
      </c>
      <c r="I1" s="23">
        <v>0</v>
      </c>
      <c r="J1" s="23">
        <v>0</v>
      </c>
      <c r="K1" s="23">
        <v>0</v>
      </c>
      <c r="L1" s="23">
        <v>0</v>
      </c>
      <c r="M1" s="23">
        <v>0</v>
      </c>
      <c r="N1" s="23">
        <v>0</v>
      </c>
      <c r="O1" s="23">
        <v>0</v>
      </c>
      <c r="P1" s="23">
        <v>0</v>
      </c>
      <c r="Q1" s="23">
        <v>0</v>
      </c>
      <c r="R1" s="23">
        <v>0</v>
      </c>
      <c r="S1" s="23">
        <v>0</v>
      </c>
      <c r="T1" s="23">
        <v>0</v>
      </c>
      <c r="U1" s="23">
        <v>0</v>
      </c>
      <c r="V1" s="23">
        <v>0</v>
      </c>
      <c r="W1" s="23">
        <v>0</v>
      </c>
      <c r="X1" s="23">
        <v>0</v>
      </c>
      <c r="Y1" s="23">
        <v>0</v>
      </c>
      <c r="Z1" s="23">
        <v>0</v>
      </c>
      <c r="AA1" s="23">
        <v>0</v>
      </c>
      <c r="AB1" s="23">
        <v>0</v>
      </c>
      <c r="AC1" s="23">
        <v>0</v>
      </c>
      <c r="AD1" s="23">
        <v>0</v>
      </c>
      <c r="AE1" s="23">
        <v>0</v>
      </c>
      <c r="AF1" s="23">
        <v>0</v>
      </c>
      <c r="AG1" s="23">
        <v>0</v>
      </c>
      <c r="AH1" s="23">
        <v>0</v>
      </c>
      <c r="AI1" s="23">
        <v>0</v>
      </c>
      <c r="AJ1" s="23">
        <v>0</v>
      </c>
      <c r="AK1" s="23">
        <v>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V54"/>
  <sheetViews>
    <sheetView topLeftCell="A16" workbookViewId="0">
      <selection activeCell="I33" sqref="I33"/>
    </sheetView>
  </sheetViews>
  <sheetFormatPr defaultColWidth="8.85546875" defaultRowHeight="15" x14ac:dyDescent="0.25"/>
  <cols>
    <col min="1" max="1" width="32.7109375" customWidth="1"/>
    <col min="2" max="2" width="13.85546875" bestFit="1" customWidth="1"/>
    <col min="3" max="37" width="11.28515625" bestFit="1" customWidth="1"/>
  </cols>
  <sheetData>
    <row r="1" spans="1:48" x14ac:dyDescent="0.25">
      <c r="A1" s="17" t="s">
        <v>76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row>
    <row r="2" spans="1:48" x14ac:dyDescent="0.25">
      <c r="A2" s="13" t="s">
        <v>76</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48" x14ac:dyDescent="0.25">
      <c r="A3" s="10" t="s">
        <v>75</v>
      </c>
      <c r="B3" s="15">
        <v>2015</v>
      </c>
      <c r="C3" s="15">
        <v>2016</v>
      </c>
      <c r="D3" s="15">
        <v>2017</v>
      </c>
      <c r="E3" s="15">
        <v>2018</v>
      </c>
      <c r="F3" s="15">
        <v>2019</v>
      </c>
      <c r="G3" s="15">
        <v>2020</v>
      </c>
      <c r="H3" s="15">
        <v>2021</v>
      </c>
      <c r="I3" s="15">
        <v>2022</v>
      </c>
      <c r="J3" s="15">
        <v>2023</v>
      </c>
      <c r="K3" s="15">
        <v>2024</v>
      </c>
      <c r="L3" s="15">
        <v>2025</v>
      </c>
      <c r="M3" s="15">
        <v>2026</v>
      </c>
      <c r="N3" s="16">
        <v>2027</v>
      </c>
      <c r="O3" s="16">
        <v>2028</v>
      </c>
      <c r="P3" s="16">
        <v>2029</v>
      </c>
      <c r="Q3" s="16">
        <v>2030</v>
      </c>
      <c r="R3" s="16">
        <v>2031</v>
      </c>
      <c r="S3" s="16">
        <v>2032</v>
      </c>
      <c r="T3" s="16">
        <v>2033</v>
      </c>
      <c r="U3" s="16">
        <v>2034</v>
      </c>
      <c r="V3" s="16">
        <v>2035</v>
      </c>
      <c r="W3" s="16">
        <v>2036</v>
      </c>
      <c r="X3" s="16">
        <v>2037</v>
      </c>
      <c r="Y3" s="16">
        <v>2038</v>
      </c>
      <c r="Z3" s="16">
        <v>2039</v>
      </c>
      <c r="AA3" s="16">
        <v>2040</v>
      </c>
      <c r="AB3" s="16">
        <v>2041</v>
      </c>
      <c r="AC3" s="16">
        <v>2042</v>
      </c>
      <c r="AD3" s="16">
        <v>2043</v>
      </c>
      <c r="AE3" s="16">
        <v>2044</v>
      </c>
      <c r="AF3" s="16">
        <v>2045</v>
      </c>
      <c r="AG3" s="16">
        <v>2046</v>
      </c>
      <c r="AH3" s="16">
        <v>2047</v>
      </c>
      <c r="AI3" s="16">
        <v>2048</v>
      </c>
      <c r="AJ3" s="16">
        <v>2049</v>
      </c>
      <c r="AK3" s="16">
        <v>2050</v>
      </c>
    </row>
    <row r="4" spans="1:48" x14ac:dyDescent="0.25">
      <c r="A4" s="10" t="s">
        <v>77</v>
      </c>
      <c r="B4" s="10">
        <f>INDEX('FAO Stats'!$L$158:$L$162,MATCH('Agriculture - EF &amp; Manure Mgmt'!B3,'FAO Stats'!$J$158:$J$162,0),1)/10^3</f>
        <v>1030.5920000000001</v>
      </c>
      <c r="C4" s="10">
        <f>(INDEX($B$18:$I$18,1,MATCH(C$3,$B$13:$I$13,1)+1)-INDEX($B$18:$I$18,1,MATCH(C$3,$B$13:$I$13,1)))/5+B4</f>
        <v>1126.4670904454599</v>
      </c>
      <c r="D4" s="10">
        <f t="shared" ref="D4:AJ4" si="0">(INDEX($B$18:$I$18,1,MATCH(D$3,$B$13:$I$13,1)+1)-INDEX($B$18:$I$18,1,MATCH(D$3,$B$13:$I$13,1)))/5+C4</f>
        <v>1222.3421808909197</v>
      </c>
      <c r="E4" s="10">
        <f t="shared" si="0"/>
        <v>1318.2172713363796</v>
      </c>
      <c r="F4" s="10">
        <f t="shared" si="0"/>
        <v>1414.0923617818394</v>
      </c>
      <c r="G4" s="10">
        <f t="shared" si="0"/>
        <v>1506.8633721533574</v>
      </c>
      <c r="H4" s="10">
        <f t="shared" si="0"/>
        <v>1599.6343825248755</v>
      </c>
      <c r="I4" s="10">
        <f t="shared" si="0"/>
        <v>1692.4053928963936</v>
      </c>
      <c r="J4" s="10">
        <f t="shared" si="0"/>
        <v>1785.1764032679116</v>
      </c>
      <c r="K4" s="10">
        <f t="shared" si="0"/>
        <v>1877.9474136394297</v>
      </c>
      <c r="L4" s="10">
        <f t="shared" si="0"/>
        <v>1964.8033427242297</v>
      </c>
      <c r="M4" s="10">
        <f t="shared" si="0"/>
        <v>2051.6592718090296</v>
      </c>
      <c r="N4" s="10">
        <f t="shared" si="0"/>
        <v>2138.5152008938294</v>
      </c>
      <c r="O4" s="10">
        <f t="shared" si="0"/>
        <v>2225.3711299786291</v>
      </c>
      <c r="P4" s="10">
        <f t="shared" si="0"/>
        <v>2312.2270590634289</v>
      </c>
      <c r="Q4" s="10">
        <f t="shared" si="0"/>
        <v>2395.4985391799287</v>
      </c>
      <c r="R4" s="10">
        <f t="shared" si="0"/>
        <v>2478.7700192964285</v>
      </c>
      <c r="S4" s="10">
        <f t="shared" si="0"/>
        <v>2562.0414994129283</v>
      </c>
      <c r="T4" s="10">
        <f t="shared" si="0"/>
        <v>2645.312979529428</v>
      </c>
      <c r="U4" s="10">
        <f t="shared" si="0"/>
        <v>2728.5844596459278</v>
      </c>
      <c r="V4" s="10">
        <f t="shared" si="0"/>
        <v>2811.6111486101277</v>
      </c>
      <c r="W4" s="10">
        <f t="shared" si="0"/>
        <v>2894.6378375743275</v>
      </c>
      <c r="X4" s="10">
        <f t="shared" si="0"/>
        <v>2977.6645265385273</v>
      </c>
      <c r="Y4" s="10">
        <f t="shared" si="0"/>
        <v>3060.6912155027271</v>
      </c>
      <c r="Z4" s="10">
        <f t="shared" si="0"/>
        <v>3143.7179044669269</v>
      </c>
      <c r="AA4" s="10">
        <f t="shared" si="0"/>
        <v>3227.316544094047</v>
      </c>
      <c r="AB4" s="10">
        <f t="shared" si="0"/>
        <v>3310.9151837211671</v>
      </c>
      <c r="AC4" s="10">
        <f t="shared" si="0"/>
        <v>3394.5138233482871</v>
      </c>
      <c r="AD4" s="10">
        <f t="shared" si="0"/>
        <v>3478.1124629754072</v>
      </c>
      <c r="AE4" s="10">
        <f t="shared" si="0"/>
        <v>3561.7111026025273</v>
      </c>
      <c r="AF4" s="10">
        <f t="shared" si="0"/>
        <v>3645.2647073514272</v>
      </c>
      <c r="AG4" s="10">
        <f t="shared" si="0"/>
        <v>3728.8183121003271</v>
      </c>
      <c r="AH4" s="10">
        <f t="shared" si="0"/>
        <v>3812.3719168492271</v>
      </c>
      <c r="AI4" s="10">
        <f t="shared" si="0"/>
        <v>3895.925521598127</v>
      </c>
      <c r="AJ4" s="10">
        <f t="shared" si="0"/>
        <v>3979.479126347027</v>
      </c>
      <c r="AK4" s="10">
        <f>(INDEX($B$18:$I$18,1,MATCH(AJ$3,$B$13:$I$13,1)+1)-INDEX($B$18:$I$18,1,MATCH(AJ$3,$B$13:$I$13,1)))/5+AJ4</f>
        <v>4063.0327310959269</v>
      </c>
    </row>
    <row r="5" spans="1:48" x14ac:dyDescent="0.25">
      <c r="A5" s="10" t="s">
        <v>78</v>
      </c>
      <c r="B5" s="10">
        <f>INDEX('FAO Stats'!$L$103:$L$107,MATCH(B3,'FAO Stats'!$I$103:$I$107,0),1)/10^3-B4</f>
        <v>10894.407999999999</v>
      </c>
      <c r="C5" s="10">
        <f>(INDEX($B$14:$I$14,1,MATCH(C$3,$B$13:$I$13,1)+1)-INDEX($B$14:$I$14,1,MATCH(C$3,$B$13:$I$13,1)))/5+B5</f>
        <v>10905.980488773448</v>
      </c>
      <c r="D5" s="10">
        <f t="shared" ref="D5:AJ5" si="1">(INDEX($B$14:$I$14,1,MATCH(D$3,$B$13:$I$13,1)+1)-INDEX($B$14:$I$14,1,MATCH(D$3,$B$13:$I$13,1)))/5+C5</f>
        <v>10917.552977546897</v>
      </c>
      <c r="E5" s="10">
        <f t="shared" si="1"/>
        <v>10929.125466320345</v>
      </c>
      <c r="F5" s="10">
        <f t="shared" si="1"/>
        <v>10940.697955093794</v>
      </c>
      <c r="G5" s="10">
        <f t="shared" si="1"/>
        <v>10952.059495970207</v>
      </c>
      <c r="H5" s="10">
        <f t="shared" si="1"/>
        <v>10963.421036846619</v>
      </c>
      <c r="I5" s="10">
        <f t="shared" si="1"/>
        <v>10974.782577723032</v>
      </c>
      <c r="J5" s="10">
        <f t="shared" si="1"/>
        <v>10986.144118599444</v>
      </c>
      <c r="K5" s="10">
        <f t="shared" si="1"/>
        <v>10997.505659475857</v>
      </c>
      <c r="L5" s="10">
        <f t="shared" si="1"/>
        <v>11008.400878648681</v>
      </c>
      <c r="M5" s="10">
        <f t="shared" si="1"/>
        <v>11019.296097821505</v>
      </c>
      <c r="N5" s="10">
        <f t="shared" si="1"/>
        <v>11030.191316994329</v>
      </c>
      <c r="O5" s="10">
        <f t="shared" si="1"/>
        <v>11041.086536167153</v>
      </c>
      <c r="P5" s="10">
        <f t="shared" si="1"/>
        <v>11051.981755339977</v>
      </c>
      <c r="Q5" s="10">
        <f t="shared" si="1"/>
        <v>11062.398742592655</v>
      </c>
      <c r="R5" s="10">
        <f t="shared" si="1"/>
        <v>11072.815729845333</v>
      </c>
      <c r="S5" s="10">
        <f t="shared" si="1"/>
        <v>11083.232717098012</v>
      </c>
      <c r="T5" s="10">
        <f t="shared" si="1"/>
        <v>11093.64970435069</v>
      </c>
      <c r="U5" s="10">
        <f t="shared" si="1"/>
        <v>11104.066691603368</v>
      </c>
      <c r="V5" s="10">
        <f t="shared" si="1"/>
        <v>11114.21916855762</v>
      </c>
      <c r="W5" s="10">
        <f t="shared" si="1"/>
        <v>11124.371645511872</v>
      </c>
      <c r="X5" s="10">
        <f t="shared" si="1"/>
        <v>11134.524122466124</v>
      </c>
      <c r="Y5" s="10">
        <f t="shared" si="1"/>
        <v>11144.676599420376</v>
      </c>
      <c r="Z5" s="10">
        <f t="shared" si="1"/>
        <v>11154.829076374628</v>
      </c>
      <c r="AA5" s="10">
        <f t="shared" si="1"/>
        <v>11165.71463225548</v>
      </c>
      <c r="AB5" s="10">
        <f t="shared" si="1"/>
        <v>11176.600188136332</v>
      </c>
      <c r="AC5" s="10">
        <f t="shared" si="1"/>
        <v>11187.485744017184</v>
      </c>
      <c r="AD5" s="10">
        <f t="shared" si="1"/>
        <v>11198.371299898035</v>
      </c>
      <c r="AE5" s="10">
        <f t="shared" si="1"/>
        <v>11209.256855778887</v>
      </c>
      <c r="AF5" s="10">
        <f t="shared" si="1"/>
        <v>11220.388046365284</v>
      </c>
      <c r="AG5" s="10">
        <f t="shared" si="1"/>
        <v>11231.519236951681</v>
      </c>
      <c r="AH5" s="10">
        <f t="shared" si="1"/>
        <v>11242.650427538078</v>
      </c>
      <c r="AI5" s="10">
        <f t="shared" si="1"/>
        <v>11253.781618124474</v>
      </c>
      <c r="AJ5" s="10">
        <f t="shared" si="1"/>
        <v>11264.912808710871</v>
      </c>
      <c r="AK5" s="10">
        <f>(INDEX($B$14:$I$14,1,MATCH(AJ$3,$B$13:$I$13,1)+1)-INDEX($B$14:$I$14,1,MATCH(AJ$3,$B$13:$I$13,1)))/5+AJ5</f>
        <v>11276.043999297268</v>
      </c>
    </row>
    <row r="6" spans="1:48" x14ac:dyDescent="0.25">
      <c r="A6" s="10" t="s">
        <v>71</v>
      </c>
      <c r="B6" s="10">
        <f>INDEX('FAO Stats'!$L$138:$L$142,MATCH(B3,'FAO Stats'!$J$138:$J$142,0),1)/10^3</f>
        <v>13247.904</v>
      </c>
      <c r="C6" s="10">
        <f>(INDEX($B$15:$I$15,1,MATCH(C$3,$B$13:$I$13,1)+1)-INDEX($B$15:$I$15,1,MATCH(C$3,$B$13:$I$13,1)))/5+B6</f>
        <v>13254.72361604714</v>
      </c>
      <c r="D6" s="10">
        <f t="shared" ref="D6:AJ6" si="2">(INDEX($B$15:$I$15,1,MATCH(D$3,$B$13:$I$13,1)+1)-INDEX($B$15:$I$15,1,MATCH(D$3,$B$13:$I$13,1)))/5+C6</f>
        <v>13261.54323209428</v>
      </c>
      <c r="E6" s="10">
        <f t="shared" si="2"/>
        <v>13268.36284814142</v>
      </c>
      <c r="F6" s="10">
        <f t="shared" si="2"/>
        <v>13275.18246418856</v>
      </c>
      <c r="G6" s="10">
        <f t="shared" si="2"/>
        <v>13282.36472320989</v>
      </c>
      <c r="H6" s="10">
        <f t="shared" si="2"/>
        <v>13289.546982231221</v>
      </c>
      <c r="I6" s="10">
        <f t="shared" si="2"/>
        <v>13296.729241252551</v>
      </c>
      <c r="J6" s="10">
        <f t="shared" si="2"/>
        <v>13303.911500273882</v>
      </c>
      <c r="K6" s="10">
        <f t="shared" si="2"/>
        <v>13311.093759295212</v>
      </c>
      <c r="L6" s="10">
        <f t="shared" si="2"/>
        <v>13317.804525947624</v>
      </c>
      <c r="M6" s="10">
        <f t="shared" si="2"/>
        <v>13324.515292600036</v>
      </c>
      <c r="N6" s="10">
        <f t="shared" si="2"/>
        <v>13331.226059252447</v>
      </c>
      <c r="O6" s="10">
        <f t="shared" si="2"/>
        <v>13337.936825904859</v>
      </c>
      <c r="P6" s="10">
        <f t="shared" si="2"/>
        <v>13344.64759255727</v>
      </c>
      <c r="Q6" s="10">
        <f t="shared" si="2"/>
        <v>13350.771516926703</v>
      </c>
      <c r="R6" s="10">
        <f t="shared" si="2"/>
        <v>13356.895441296136</v>
      </c>
      <c r="S6" s="10">
        <f t="shared" si="2"/>
        <v>13363.019365665568</v>
      </c>
      <c r="T6" s="10">
        <f t="shared" si="2"/>
        <v>13369.143290035001</v>
      </c>
      <c r="U6" s="10">
        <f t="shared" si="2"/>
        <v>13375.267214404434</v>
      </c>
      <c r="V6" s="10">
        <f t="shared" si="2"/>
        <v>13381.410366798105</v>
      </c>
      <c r="W6" s="10">
        <f t="shared" si="2"/>
        <v>13387.553519191777</v>
      </c>
      <c r="X6" s="10">
        <f t="shared" si="2"/>
        <v>13393.696671585449</v>
      </c>
      <c r="Y6" s="10">
        <f t="shared" si="2"/>
        <v>13399.83982397912</v>
      </c>
      <c r="Z6" s="10">
        <f t="shared" si="2"/>
        <v>13405.982976372792</v>
      </c>
      <c r="AA6" s="10">
        <f t="shared" si="2"/>
        <v>13412.705711089262</v>
      </c>
      <c r="AB6" s="10">
        <f t="shared" si="2"/>
        <v>13419.428445805732</v>
      </c>
      <c r="AC6" s="10">
        <f t="shared" si="2"/>
        <v>13426.151180522202</v>
      </c>
      <c r="AD6" s="10">
        <f t="shared" si="2"/>
        <v>13432.873915238672</v>
      </c>
      <c r="AE6" s="10">
        <f t="shared" si="2"/>
        <v>13439.596649955141</v>
      </c>
      <c r="AF6" s="10">
        <f t="shared" si="2"/>
        <v>13447.014119788897</v>
      </c>
      <c r="AG6" s="10">
        <f t="shared" si="2"/>
        <v>13454.431589622653</v>
      </c>
      <c r="AH6" s="10">
        <f t="shared" si="2"/>
        <v>13461.849059456408</v>
      </c>
      <c r="AI6" s="10">
        <f t="shared" si="2"/>
        <v>13469.266529290164</v>
      </c>
      <c r="AJ6" s="10">
        <f t="shared" si="2"/>
        <v>13476.683999123919</v>
      </c>
      <c r="AK6" s="10">
        <f>(INDEX($B$15:$I$15,1,MATCH(AJ$3,$B$13:$I$13,1)+1)-INDEX($B$15:$I$15,1,MATCH(AJ$3,$B$13:$I$13,1)))/5+AJ6</f>
        <v>13484.101468957675</v>
      </c>
    </row>
    <row r="7" spans="1:48" x14ac:dyDescent="0.25">
      <c r="A7" s="10" t="s">
        <v>72</v>
      </c>
      <c r="B7" s="10">
        <f>INDEX('FAO Stats'!$L$143:$L$147,MATCH(B3,'FAO Stats'!$J$143:$J$147,0),1)/10^3</f>
        <v>842.3</v>
      </c>
      <c r="C7" s="10">
        <f>(INDEX($B$16:$I$16,1,MATCH(C$3,$B$13:$I$13,1)+1)-INDEX($B$16:$I$16,1,MATCH(C$3,$B$13:$I$13,1)))/5+B7</f>
        <v>842.66418189155229</v>
      </c>
      <c r="D7" s="10">
        <f t="shared" ref="D7:AJ7" si="3">(INDEX($B$16:$I$16,1,MATCH(D$3,$B$13:$I$13,1)+1)-INDEX($B$16:$I$16,1,MATCH(D$3,$B$13:$I$13,1)))/5+C7</f>
        <v>843.02836378310462</v>
      </c>
      <c r="E7" s="10">
        <f t="shared" si="3"/>
        <v>843.39254567465696</v>
      </c>
      <c r="F7" s="10">
        <f t="shared" si="3"/>
        <v>843.75672756620929</v>
      </c>
      <c r="G7" s="10">
        <f t="shared" si="3"/>
        <v>844.15904111180373</v>
      </c>
      <c r="H7" s="10">
        <f t="shared" si="3"/>
        <v>844.56135465739817</v>
      </c>
      <c r="I7" s="10">
        <f t="shared" si="3"/>
        <v>844.96366820299261</v>
      </c>
      <c r="J7" s="10">
        <f t="shared" si="3"/>
        <v>845.36598174858705</v>
      </c>
      <c r="K7" s="10">
        <f t="shared" si="3"/>
        <v>845.76829529418148</v>
      </c>
      <c r="L7" s="10">
        <f t="shared" si="3"/>
        <v>846.20922181442586</v>
      </c>
      <c r="M7" s="10">
        <f t="shared" si="3"/>
        <v>846.65014833467023</v>
      </c>
      <c r="N7" s="10">
        <f t="shared" si="3"/>
        <v>847.09107485491461</v>
      </c>
      <c r="O7" s="10">
        <f t="shared" si="3"/>
        <v>847.53200137515898</v>
      </c>
      <c r="P7" s="10">
        <f t="shared" si="3"/>
        <v>847.97292789540336</v>
      </c>
      <c r="Q7" s="10">
        <f t="shared" si="3"/>
        <v>848.44807354913894</v>
      </c>
      <c r="R7" s="10">
        <f t="shared" si="3"/>
        <v>848.92321920287452</v>
      </c>
      <c r="S7" s="10">
        <f t="shared" si="3"/>
        <v>849.3983648566101</v>
      </c>
      <c r="T7" s="10">
        <f t="shared" si="3"/>
        <v>849.87351051034568</v>
      </c>
      <c r="U7" s="10">
        <f t="shared" si="3"/>
        <v>850.34865616408126</v>
      </c>
      <c r="V7" s="10">
        <f t="shared" si="3"/>
        <v>850.86604613563611</v>
      </c>
      <c r="W7" s="10">
        <f t="shared" si="3"/>
        <v>851.38343610719096</v>
      </c>
      <c r="X7" s="10">
        <f t="shared" si="3"/>
        <v>851.90082607874581</v>
      </c>
      <c r="Y7" s="10">
        <f t="shared" si="3"/>
        <v>852.41821605030066</v>
      </c>
      <c r="Z7" s="10">
        <f t="shared" si="3"/>
        <v>852.93560602185551</v>
      </c>
      <c r="AA7" s="10">
        <f t="shared" si="3"/>
        <v>853.5183894754415</v>
      </c>
      <c r="AB7" s="10">
        <f t="shared" si="3"/>
        <v>854.10117292902748</v>
      </c>
      <c r="AC7" s="10">
        <f t="shared" si="3"/>
        <v>854.68395638261347</v>
      </c>
      <c r="AD7" s="10">
        <f t="shared" si="3"/>
        <v>855.26673983619946</v>
      </c>
      <c r="AE7" s="10">
        <f t="shared" si="3"/>
        <v>855.84952328978545</v>
      </c>
      <c r="AF7" s="10">
        <f t="shared" si="3"/>
        <v>856.49472446089408</v>
      </c>
      <c r="AG7" s="10">
        <f t="shared" si="3"/>
        <v>857.1399256320027</v>
      </c>
      <c r="AH7" s="10">
        <f t="shared" si="3"/>
        <v>857.78512680311132</v>
      </c>
      <c r="AI7" s="10">
        <f t="shared" si="3"/>
        <v>858.43032797421995</v>
      </c>
      <c r="AJ7" s="10">
        <f t="shared" si="3"/>
        <v>859.07552914532857</v>
      </c>
      <c r="AK7" s="10">
        <f>(INDEX($B$16:$I$16,1,MATCH(AJ$3,$B$13:$I$13,1)+1)-INDEX($B$16:$I$16,1,MATCH(AJ$3,$B$13:$I$13,1)))/5+AJ7</f>
        <v>859.7207303164372</v>
      </c>
    </row>
    <row r="8" spans="1:48" x14ac:dyDescent="0.25">
      <c r="A8" s="10" t="s">
        <v>73</v>
      </c>
      <c r="B8" s="10">
        <f>INDEX('FAO Stats'!$L$123:$L$127,MATCH(B3,'FAO Stats'!$J$123:$J$127,0),1)/10^3</f>
        <v>30.004999999999999</v>
      </c>
      <c r="C8" s="10">
        <f>(INDEX($B$16:$I$16,1,MATCH(C$3,$B$13:$I$13,1)+1)-INDEX($B$16:$I$16,1,MATCH(C$3,$B$13:$I$13,1)))/5+B8</f>
        <v>30.369181891552298</v>
      </c>
      <c r="D8" s="10">
        <f t="shared" ref="D8:AJ8" si="4">(INDEX($B$16:$I$16,1,MATCH(D$3,$B$13:$I$13,1)+1)-INDEX($B$16:$I$16,1,MATCH(D$3,$B$13:$I$13,1)))/5+C8</f>
        <v>30.733363783104597</v>
      </c>
      <c r="E8" s="10">
        <f t="shared" si="4"/>
        <v>31.097545674656896</v>
      </c>
      <c r="F8" s="10">
        <f t="shared" si="4"/>
        <v>31.461727566209195</v>
      </c>
      <c r="G8" s="10">
        <f t="shared" si="4"/>
        <v>31.864041111803655</v>
      </c>
      <c r="H8" s="10">
        <f t="shared" si="4"/>
        <v>32.266354657398118</v>
      </c>
      <c r="I8" s="10">
        <f t="shared" si="4"/>
        <v>32.668668202992578</v>
      </c>
      <c r="J8" s="10">
        <f t="shared" si="4"/>
        <v>33.070981748587037</v>
      </c>
      <c r="K8" s="10">
        <f t="shared" si="4"/>
        <v>33.473295294181497</v>
      </c>
      <c r="L8" s="10">
        <f t="shared" si="4"/>
        <v>33.914221814425815</v>
      </c>
      <c r="M8" s="10">
        <f t="shared" si="4"/>
        <v>34.355148334670133</v>
      </c>
      <c r="N8" s="10">
        <f t="shared" si="4"/>
        <v>34.796074854914451</v>
      </c>
      <c r="O8" s="10">
        <f t="shared" si="4"/>
        <v>35.237001375158769</v>
      </c>
      <c r="P8" s="10">
        <f t="shared" si="4"/>
        <v>35.677927895403087</v>
      </c>
      <c r="Q8" s="10">
        <f t="shared" si="4"/>
        <v>36.153073549138668</v>
      </c>
      <c r="R8" s="10">
        <f t="shared" si="4"/>
        <v>36.628219202874249</v>
      </c>
      <c r="S8" s="10">
        <f t="shared" si="4"/>
        <v>37.103364856609829</v>
      </c>
      <c r="T8" s="10">
        <f t="shared" si="4"/>
        <v>37.57851051034541</v>
      </c>
      <c r="U8" s="10">
        <f t="shared" si="4"/>
        <v>38.053656164080991</v>
      </c>
      <c r="V8" s="10">
        <f t="shared" si="4"/>
        <v>38.571046135635868</v>
      </c>
      <c r="W8" s="10">
        <f t="shared" si="4"/>
        <v>39.088436107190745</v>
      </c>
      <c r="X8" s="10">
        <f t="shared" si="4"/>
        <v>39.605826078745622</v>
      </c>
      <c r="Y8" s="10">
        <f t="shared" si="4"/>
        <v>40.123216050300499</v>
      </c>
      <c r="Z8" s="10">
        <f t="shared" si="4"/>
        <v>40.640606021855376</v>
      </c>
      <c r="AA8" s="10">
        <f t="shared" si="4"/>
        <v>41.223389475441415</v>
      </c>
      <c r="AB8" s="10">
        <f t="shared" si="4"/>
        <v>41.806172929027454</v>
      </c>
      <c r="AC8" s="10">
        <f t="shared" si="4"/>
        <v>42.388956382613493</v>
      </c>
      <c r="AD8" s="10">
        <f t="shared" si="4"/>
        <v>42.971739836199532</v>
      </c>
      <c r="AE8" s="10">
        <f t="shared" si="4"/>
        <v>43.554523289785571</v>
      </c>
      <c r="AF8" s="10">
        <f t="shared" si="4"/>
        <v>44.199724460894231</v>
      </c>
      <c r="AG8" s="10">
        <f t="shared" si="4"/>
        <v>44.844925632002891</v>
      </c>
      <c r="AH8" s="10">
        <f t="shared" si="4"/>
        <v>45.490126803111551</v>
      </c>
      <c r="AI8" s="10">
        <f t="shared" si="4"/>
        <v>46.13532797422021</v>
      </c>
      <c r="AJ8" s="10">
        <f t="shared" si="4"/>
        <v>46.78052914532887</v>
      </c>
      <c r="AK8" s="10">
        <f>(INDEX($B$16:$I$16,1,MATCH(AJ$3,$B$13:$I$13,1)+1)-INDEX($B$16:$I$16,1,MATCH(AJ$3,$B$13:$I$13,1)))/5+AJ8</f>
        <v>47.42573031643753</v>
      </c>
    </row>
    <row r="9" spans="1:48" ht="15.75" customHeight="1" x14ac:dyDescent="0.25">
      <c r="A9" s="10" t="s">
        <v>518</v>
      </c>
      <c r="B9" s="10">
        <f>INDEX('FAO Stats'!$L$108:$L$112,MATCH(B3,'FAO Stats'!$J$108:$J$112,0),1)</f>
        <v>167470</v>
      </c>
      <c r="C9" s="10">
        <f>(INDEX($B$17:$I$17,1,MATCH(C$3,$B$13:$I$13,1)+1)-INDEX($B$17:$I$17,1,MATCH(C$3,$B$13:$I$13,1)))/5+B9</f>
        <v>167491.89114855189</v>
      </c>
      <c r="D9" s="10">
        <f t="shared" ref="D9:AJ9" si="5">(INDEX($B$17:$I$17,1,MATCH(D$3,$B$13:$I$13,1)+1)-INDEX($B$17:$I$17,1,MATCH(D$3,$B$13:$I$13,1)))/5+C9</f>
        <v>167513.78229710378</v>
      </c>
      <c r="E9" s="10">
        <f t="shared" si="5"/>
        <v>167535.67344565567</v>
      </c>
      <c r="F9" s="10">
        <f t="shared" si="5"/>
        <v>167557.56459420756</v>
      </c>
      <c r="G9" s="10">
        <f t="shared" si="5"/>
        <v>167577.56110295534</v>
      </c>
      <c r="H9" s="10">
        <f t="shared" si="5"/>
        <v>167597.55761170312</v>
      </c>
      <c r="I9" s="10">
        <f t="shared" si="5"/>
        <v>167617.55412045089</v>
      </c>
      <c r="J9" s="10">
        <f t="shared" si="5"/>
        <v>167637.55062919867</v>
      </c>
      <c r="K9" s="10">
        <f t="shared" si="5"/>
        <v>167657.54713794644</v>
      </c>
      <c r="L9" s="10">
        <f t="shared" si="5"/>
        <v>167677.4100075993</v>
      </c>
      <c r="M9" s="10">
        <f t="shared" si="5"/>
        <v>167697.27287725217</v>
      </c>
      <c r="N9" s="10">
        <f t="shared" si="5"/>
        <v>167717.13574690503</v>
      </c>
      <c r="O9" s="10">
        <f t="shared" si="5"/>
        <v>167736.99861655789</v>
      </c>
      <c r="P9" s="10">
        <f t="shared" si="5"/>
        <v>167756.86148621075</v>
      </c>
      <c r="Q9" s="10">
        <f t="shared" si="5"/>
        <v>167777.24489575057</v>
      </c>
      <c r="R9" s="10">
        <f t="shared" si="5"/>
        <v>167797.62830529039</v>
      </c>
      <c r="S9" s="10">
        <f t="shared" si="5"/>
        <v>167818.01171483021</v>
      </c>
      <c r="T9" s="10">
        <f t="shared" si="5"/>
        <v>167838.39512437003</v>
      </c>
      <c r="U9" s="10">
        <f t="shared" si="5"/>
        <v>167858.77853390985</v>
      </c>
      <c r="V9" s="10">
        <f t="shared" si="5"/>
        <v>167879.2629390177</v>
      </c>
      <c r="W9" s="10">
        <f t="shared" si="5"/>
        <v>167899.74734412556</v>
      </c>
      <c r="X9" s="10">
        <f t="shared" si="5"/>
        <v>167920.23174923341</v>
      </c>
      <c r="Y9" s="10">
        <f t="shared" si="5"/>
        <v>167940.71615434127</v>
      </c>
      <c r="Z9" s="10">
        <f t="shared" si="5"/>
        <v>167961.20055944912</v>
      </c>
      <c r="AA9" s="10">
        <f t="shared" si="5"/>
        <v>167981.96581332694</v>
      </c>
      <c r="AB9" s="10">
        <f t="shared" si="5"/>
        <v>168002.73106720476</v>
      </c>
      <c r="AC9" s="10">
        <f t="shared" si="5"/>
        <v>168023.49632108258</v>
      </c>
      <c r="AD9" s="10">
        <f t="shared" si="5"/>
        <v>168044.2615749604</v>
      </c>
      <c r="AE9" s="10">
        <f t="shared" si="5"/>
        <v>168065.02682883822</v>
      </c>
      <c r="AF9" s="10">
        <f t="shared" si="5"/>
        <v>168085.12797722226</v>
      </c>
      <c r="AG9" s="10">
        <f t="shared" si="5"/>
        <v>168105.2291256063</v>
      </c>
      <c r="AH9" s="10">
        <f t="shared" si="5"/>
        <v>168125.33027399034</v>
      </c>
      <c r="AI9" s="10">
        <f t="shared" si="5"/>
        <v>168145.43142237439</v>
      </c>
      <c r="AJ9" s="10">
        <f t="shared" si="5"/>
        <v>168165.53257075843</v>
      </c>
      <c r="AK9" s="10">
        <f>(INDEX($B$17:$I$17,1,MATCH(AJ$3,$B$13:$I$13,1)+1)-INDEX($B$17:$I$17,1,MATCH(AJ$3,$B$13:$I$13,1)))/5+AJ9</f>
        <v>168185.63371914247</v>
      </c>
    </row>
    <row r="10" spans="1:48" ht="15.75" customHeight="1" x14ac:dyDescent="0.25">
      <c r="A10" s="10" t="s">
        <v>526</v>
      </c>
      <c r="B10">
        <f>INDEX('FAO Stats'!$L$148:$L$152,MATCH(B3,'FAO Stats'!$I$148:$I$152,0),1)</f>
        <v>5680</v>
      </c>
      <c r="C10" s="10">
        <f>(INDEX($B$17:$I$17,1,MATCH(C$3,$B$13:$I$13,1)+1)-INDEX($B$17:$I$17,1,MATCH(C$3,$B$13:$I$13,1)))/5+B10</f>
        <v>5701.8911485519038</v>
      </c>
      <c r="D10" s="10">
        <f t="shared" ref="D10:AJ10" si="6">(INDEX($B$17:$I$17,1,MATCH(D$3,$B$13:$I$13,1)+1)-INDEX($B$17:$I$17,1,MATCH(D$3,$B$13:$I$13,1)))/5+C10</f>
        <v>5723.7822971038077</v>
      </c>
      <c r="E10" s="10">
        <f t="shared" si="6"/>
        <v>5745.6734456557115</v>
      </c>
      <c r="F10" s="10">
        <f t="shared" si="6"/>
        <v>5767.5645942076153</v>
      </c>
      <c r="G10" s="10">
        <f t="shared" si="6"/>
        <v>5787.5611029553911</v>
      </c>
      <c r="H10" s="10">
        <f t="shared" si="6"/>
        <v>5807.5576117031669</v>
      </c>
      <c r="I10" s="10">
        <f t="shared" si="6"/>
        <v>5827.5541204509427</v>
      </c>
      <c r="J10" s="10">
        <f t="shared" si="6"/>
        <v>5847.5506291987185</v>
      </c>
      <c r="K10" s="10">
        <f t="shared" si="6"/>
        <v>5867.5471379464943</v>
      </c>
      <c r="L10" s="10">
        <f t="shared" si="6"/>
        <v>5887.4100075993565</v>
      </c>
      <c r="M10" s="10">
        <f t="shared" si="6"/>
        <v>5907.2728772522187</v>
      </c>
      <c r="N10" s="10">
        <f t="shared" si="6"/>
        <v>5927.1357469050809</v>
      </c>
      <c r="O10" s="10">
        <f t="shared" si="6"/>
        <v>5946.998616557943</v>
      </c>
      <c r="P10" s="10">
        <f t="shared" si="6"/>
        <v>5966.8614862108052</v>
      </c>
      <c r="Q10" s="10">
        <f t="shared" si="6"/>
        <v>5987.2448957506131</v>
      </c>
      <c r="R10" s="10">
        <f t="shared" si="6"/>
        <v>6007.6283052904209</v>
      </c>
      <c r="S10" s="10">
        <f t="shared" si="6"/>
        <v>6028.0117148302288</v>
      </c>
      <c r="T10" s="10">
        <f t="shared" si="6"/>
        <v>6048.3951243700367</v>
      </c>
      <c r="U10" s="10">
        <f t="shared" si="6"/>
        <v>6068.7785339098446</v>
      </c>
      <c r="V10" s="10">
        <f t="shared" si="6"/>
        <v>6089.2629390176944</v>
      </c>
      <c r="W10" s="10">
        <f t="shared" si="6"/>
        <v>6109.7473441255443</v>
      </c>
      <c r="X10" s="10">
        <f t="shared" si="6"/>
        <v>6130.2317492333941</v>
      </c>
      <c r="Y10" s="10">
        <f t="shared" si="6"/>
        <v>6150.716154341244</v>
      </c>
      <c r="Z10" s="10">
        <f t="shared" si="6"/>
        <v>6171.2005594490938</v>
      </c>
      <c r="AA10" s="10">
        <f t="shared" si="6"/>
        <v>6191.9658133269222</v>
      </c>
      <c r="AB10" s="10">
        <f t="shared" si="6"/>
        <v>6212.7310672047506</v>
      </c>
      <c r="AC10" s="10">
        <f t="shared" si="6"/>
        <v>6233.496321082579</v>
      </c>
      <c r="AD10" s="10">
        <f t="shared" si="6"/>
        <v>6254.2615749604074</v>
      </c>
      <c r="AE10" s="10">
        <f t="shared" si="6"/>
        <v>6275.0268288382358</v>
      </c>
      <c r="AF10" s="10">
        <f t="shared" si="6"/>
        <v>6295.1279772222861</v>
      </c>
      <c r="AG10" s="10">
        <f t="shared" si="6"/>
        <v>6315.2291256063363</v>
      </c>
      <c r="AH10" s="10">
        <f t="shared" si="6"/>
        <v>6335.3302739903866</v>
      </c>
      <c r="AI10" s="10">
        <f t="shared" si="6"/>
        <v>6355.4314223744368</v>
      </c>
      <c r="AJ10" s="10">
        <f t="shared" si="6"/>
        <v>6375.5325707584871</v>
      </c>
      <c r="AK10" s="10">
        <f>(INDEX($B$17:$I$17,1,MATCH(AJ$3,$B$13:$I$13,1)+1)-INDEX($B$17:$I$17,1,MATCH(AJ$3,$B$13:$I$13,1)))/5+AJ10</f>
        <v>6395.6337191425373</v>
      </c>
    </row>
    <row r="11" spans="1:48" ht="15.75" customHeight="1" x14ac:dyDescent="0.25">
      <c r="G11" s="10"/>
    </row>
    <row r="12" spans="1:48" x14ac:dyDescent="0.25">
      <c r="A12" s="13" t="s">
        <v>554</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row>
    <row r="13" spans="1:48" ht="15.75" customHeight="1" x14ac:dyDescent="0.25">
      <c r="A13" s="10"/>
      <c r="B13">
        <v>2015</v>
      </c>
      <c r="C13">
        <v>2020</v>
      </c>
      <c r="D13">
        <v>2025</v>
      </c>
      <c r="E13">
        <v>2030</v>
      </c>
      <c r="F13">
        <v>2035</v>
      </c>
      <c r="G13">
        <v>2040</v>
      </c>
      <c r="H13">
        <v>2045</v>
      </c>
      <c r="I13">
        <v>2050</v>
      </c>
    </row>
    <row r="14" spans="1:48" ht="15.75" customHeight="1" x14ac:dyDescent="0.25">
      <c r="A14" t="s">
        <v>539</v>
      </c>
      <c r="B14">
        <f>SUMIFS('IFPRI Results'!$G$1:$G$50,'IFPRI Results'!$F$1:$F$50,CONCATENATE("'",'Agriculture - EF &amp; Manure Mgmt'!B$13,"'"),'IFPRI Results'!$C$1:$C$50,'Agriculture - EF &amp; Manure Mgmt'!$A14)</f>
        <v>1158.34500969788</v>
      </c>
      <c r="C14">
        <f>SUMIFS('IFPRI Results'!$G$1:$G$50,'IFPRI Results'!$F$1:$F$50,CONCATENATE("'",'Agriculture - EF &amp; Manure Mgmt'!C$13,"'"),'IFPRI Results'!$C$1:$C$50,'Agriculture - EF &amp; Manure Mgmt'!$A14)</f>
        <v>1216.20745356512</v>
      </c>
      <c r="D14">
        <f>SUMIFS('IFPRI Results'!$G$1:$G$50,'IFPRI Results'!$F$1:$F$50,CONCATENATE("'",'Agriculture - EF &amp; Manure Mgmt'!D$13,"'"),'IFPRI Results'!$C$1:$C$50,'Agriculture - EF &amp; Manure Mgmt'!$A14)</f>
        <v>1273.0151579471799</v>
      </c>
      <c r="E14">
        <f>SUMIFS('IFPRI Results'!$G$1:$G$50,'IFPRI Results'!$F$1:$F$50,CONCATENATE("'",'Agriculture - EF &amp; Manure Mgmt'!E$13,"'"),'IFPRI Results'!$C$1:$C$50,'Agriculture - EF &amp; Manure Mgmt'!$A14)</f>
        <v>1327.4912538113001</v>
      </c>
      <c r="F14">
        <f>SUMIFS('IFPRI Results'!$G$1:$G$50,'IFPRI Results'!$F$1:$F$50,CONCATENATE("'",'Agriculture - EF &amp; Manure Mgmt'!F$13,"'"),'IFPRI Results'!$C$1:$C$50,'Agriculture - EF &amp; Manure Mgmt'!$A14)</f>
        <v>1379.57619007469</v>
      </c>
      <c r="G14">
        <f>SUMIFS('IFPRI Results'!$G$1:$G$50,'IFPRI Results'!$F$1:$F$50,CONCATENATE("'",'Agriculture - EF &amp; Manure Mgmt'!G$13,"'"),'IFPRI Results'!$C$1:$C$50,'Agriculture - EF &amp; Manure Mgmt'!$A14)</f>
        <v>1430.33857484595</v>
      </c>
      <c r="H14">
        <f>SUMIFS('IFPRI Results'!$G$1:$G$50,'IFPRI Results'!$F$1:$F$50,CONCATENATE("'",'Agriculture - EF &amp; Manure Mgmt'!H$13,"'"),'IFPRI Results'!$C$1:$C$50,'Agriculture - EF &amp; Manure Mgmt'!$A14)</f>
        <v>1484.76635425021</v>
      </c>
      <c r="I14">
        <f>SUMIFS('IFPRI Results'!$G$1:$G$50,'IFPRI Results'!$F$1:$F$50,CONCATENATE("'",'Agriculture - EF &amp; Manure Mgmt'!I$13,"'"),'IFPRI Results'!$C$1:$C$50,'Agriculture - EF &amp; Manure Mgmt'!$A14)</f>
        <v>1540.42230718219</v>
      </c>
    </row>
    <row r="15" spans="1:48" ht="15.75" customHeight="1" x14ac:dyDescent="0.25">
      <c r="A15" t="s">
        <v>550</v>
      </c>
      <c r="B15">
        <f>SUMIFS('IFPRI Results'!$G$1:$G$50,'IFPRI Results'!$F$1:$F$50,CONCATENATE("'",'Agriculture - EF &amp; Manure Mgmt'!B$13,"'"),'IFPRI Results'!$C$1:$C$50,'Agriculture - EF &amp; Manure Mgmt'!$A15)</f>
        <v>1071.1082417175501</v>
      </c>
      <c r="C15">
        <f>SUMIFS('IFPRI Results'!$G$1:$G$50,'IFPRI Results'!$F$1:$F$50,CONCATENATE("'",'Agriculture - EF &amp; Manure Mgmt'!C$13,"'"),'IFPRI Results'!$C$1:$C$50,'Agriculture - EF &amp; Manure Mgmt'!$A15)</f>
        <v>1105.2063219532499</v>
      </c>
      <c r="D15">
        <f>SUMIFS('IFPRI Results'!$G$1:$G$50,'IFPRI Results'!$F$1:$F$50,CONCATENATE("'",'Agriculture - EF &amp; Manure Mgmt'!D$13,"'"),'IFPRI Results'!$C$1:$C$50,'Agriculture - EF &amp; Manure Mgmt'!$A15)</f>
        <v>1141.1176170599001</v>
      </c>
      <c r="E15">
        <f>SUMIFS('IFPRI Results'!$G$1:$G$50,'IFPRI Results'!$F$1:$F$50,CONCATENATE("'",'Agriculture - EF &amp; Manure Mgmt'!E$13,"'"),'IFPRI Results'!$C$1:$C$50,'Agriculture - EF &amp; Manure Mgmt'!$A15)</f>
        <v>1174.67145032196</v>
      </c>
      <c r="F15">
        <f>SUMIFS('IFPRI Results'!$G$1:$G$50,'IFPRI Results'!$F$1:$F$50,CONCATENATE("'",'Agriculture - EF &amp; Manure Mgmt'!F$13,"'"),'IFPRI Results'!$C$1:$C$50,'Agriculture - EF &amp; Manure Mgmt'!$A15)</f>
        <v>1205.2910721691201</v>
      </c>
      <c r="G15">
        <f>SUMIFS('IFPRI Results'!$G$1:$G$50,'IFPRI Results'!$F$1:$F$50,CONCATENATE("'",'Agriculture - EF &amp; Manure Mgmt'!G$13,"'"),'IFPRI Results'!$C$1:$C$50,'Agriculture - EF &amp; Manure Mgmt'!$A15)</f>
        <v>1236.0068341374799</v>
      </c>
      <c r="H15">
        <f>SUMIFS('IFPRI Results'!$G$1:$G$50,'IFPRI Results'!$F$1:$F$50,CONCATENATE("'",'Agriculture - EF &amp; Manure Mgmt'!H$13,"'"),'IFPRI Results'!$C$1:$C$50,'Agriculture - EF &amp; Manure Mgmt'!$A15)</f>
        <v>1269.6205077198299</v>
      </c>
      <c r="I15">
        <f>SUMIFS('IFPRI Results'!$G$1:$G$50,'IFPRI Results'!$F$1:$F$50,CONCATENATE("'",'Agriculture - EF &amp; Manure Mgmt'!I$13,"'"),'IFPRI Results'!$C$1:$C$50,'Agriculture - EF &amp; Manure Mgmt'!$A15)</f>
        <v>1306.70785688861</v>
      </c>
    </row>
    <row r="16" spans="1:48" ht="15.75" customHeight="1" x14ac:dyDescent="0.25">
      <c r="A16" t="s">
        <v>551</v>
      </c>
      <c r="B16">
        <f>SUMIFS('IFPRI Results'!$G$1:$G$50,'IFPRI Results'!$F$1:$F$50,CONCATENATE("'",'Agriculture - EF &amp; Manure Mgmt'!B$13,"'"),'IFPRI Results'!$C$1:$C$50,'Agriculture - EF &amp; Manure Mgmt'!$A16)</f>
        <v>38.092333928899102</v>
      </c>
      <c r="C16">
        <f>SUMIFS('IFPRI Results'!$G$1:$G$50,'IFPRI Results'!$F$1:$F$50,CONCATENATE("'",'Agriculture - EF &amp; Manure Mgmt'!C$13,"'"),'IFPRI Results'!$C$1:$C$50,'Agriculture - EF &amp; Manure Mgmt'!$A16)</f>
        <v>39.913243386660596</v>
      </c>
      <c r="D16">
        <f>SUMIFS('IFPRI Results'!$G$1:$G$50,'IFPRI Results'!$F$1:$F$50,CONCATENATE("'",'Agriculture - EF &amp; Manure Mgmt'!D$13,"'"),'IFPRI Results'!$C$1:$C$50,'Agriculture - EF &amp; Manure Mgmt'!$A16)</f>
        <v>41.924811114632902</v>
      </c>
      <c r="E16">
        <f>SUMIFS('IFPRI Results'!$G$1:$G$50,'IFPRI Results'!$F$1:$F$50,CONCATENATE("'",'Agriculture - EF &amp; Manure Mgmt'!E$13,"'"),'IFPRI Results'!$C$1:$C$50,'Agriculture - EF &amp; Manure Mgmt'!$A16)</f>
        <v>44.129443715854499</v>
      </c>
      <c r="F16">
        <f>SUMIFS('IFPRI Results'!$G$1:$G$50,'IFPRI Results'!$F$1:$F$50,CONCATENATE("'",'Agriculture - EF &amp; Manure Mgmt'!F$13,"'"),'IFPRI Results'!$C$1:$C$50,'Agriculture - EF &amp; Manure Mgmt'!$A16)</f>
        <v>46.505171984532403</v>
      </c>
      <c r="G16">
        <f>SUMIFS('IFPRI Results'!$G$1:$G$50,'IFPRI Results'!$F$1:$F$50,CONCATENATE("'",'Agriculture - EF &amp; Manure Mgmt'!G$13,"'"),'IFPRI Results'!$C$1:$C$50,'Agriculture - EF &amp; Manure Mgmt'!$A16)</f>
        <v>49.092121842306803</v>
      </c>
      <c r="H16">
        <f>SUMIFS('IFPRI Results'!$G$1:$G$50,'IFPRI Results'!$F$1:$F$50,CONCATENATE("'",'Agriculture - EF &amp; Manure Mgmt'!H$13,"'"),'IFPRI Results'!$C$1:$C$50,'Agriculture - EF &amp; Manure Mgmt'!$A16)</f>
        <v>52.006039110236998</v>
      </c>
      <c r="I16">
        <f>SUMIFS('IFPRI Results'!$G$1:$G$50,'IFPRI Results'!$F$1:$F$50,CONCATENATE("'",'Agriculture - EF &amp; Manure Mgmt'!I$13,"'"),'IFPRI Results'!$C$1:$C$50,'Agriculture - EF &amp; Manure Mgmt'!$A16)</f>
        <v>55.232044965780297</v>
      </c>
    </row>
    <row r="17" spans="1:46" ht="15.75" customHeight="1" x14ac:dyDescent="0.25">
      <c r="A17" t="s">
        <v>552</v>
      </c>
      <c r="B17">
        <f>SUMIFS('IFPRI Results'!$G$1:$G$50,'IFPRI Results'!$F$1:$F$50,CONCATENATE("'",'Agriculture - EF &amp; Manure Mgmt'!B$13,"'"),'IFPRI Results'!$C$1:$C$50,'Agriculture - EF &amp; Manure Mgmt'!$A17)</f>
        <v>1313.47702366261</v>
      </c>
      <c r="C17">
        <f>SUMIFS('IFPRI Results'!$G$1:$G$50,'IFPRI Results'!$F$1:$F$50,CONCATENATE("'",'Agriculture - EF &amp; Manure Mgmt'!C$13,"'"),'IFPRI Results'!$C$1:$C$50,'Agriculture - EF &amp; Manure Mgmt'!$A17)</f>
        <v>1422.93276642213</v>
      </c>
      <c r="D17">
        <f>SUMIFS('IFPRI Results'!$G$1:$G$50,'IFPRI Results'!$F$1:$F$50,CONCATENATE("'",'Agriculture - EF &amp; Manure Mgmt'!D$13,"'"),'IFPRI Results'!$C$1:$C$50,'Agriculture - EF &amp; Manure Mgmt'!$A17)</f>
        <v>1522.91531016101</v>
      </c>
      <c r="E17">
        <f>SUMIFS('IFPRI Results'!$G$1:$G$50,'IFPRI Results'!$F$1:$F$50,CONCATENATE("'",'Agriculture - EF &amp; Manure Mgmt'!E$13,"'"),'IFPRI Results'!$C$1:$C$50,'Agriculture - EF &amp; Manure Mgmt'!$A17)</f>
        <v>1622.2296584253199</v>
      </c>
      <c r="F17">
        <f>SUMIFS('IFPRI Results'!$G$1:$G$50,'IFPRI Results'!$F$1:$F$50,CONCATENATE("'",'Agriculture - EF &amp; Manure Mgmt'!F$13,"'"),'IFPRI Results'!$C$1:$C$50,'Agriculture - EF &amp; Manure Mgmt'!$A17)</f>
        <v>1724.14670612436</v>
      </c>
      <c r="G17">
        <f>SUMIFS('IFPRI Results'!$G$1:$G$50,'IFPRI Results'!$F$1:$F$50,CONCATENATE("'",'Agriculture - EF &amp; Manure Mgmt'!G$13,"'"),'IFPRI Results'!$C$1:$C$50,'Agriculture - EF &amp; Manure Mgmt'!$A17)</f>
        <v>1826.5687316636099</v>
      </c>
      <c r="H17">
        <f>SUMIFS('IFPRI Results'!$G$1:$G$50,'IFPRI Results'!$F$1:$F$50,CONCATENATE("'",'Agriculture - EF &amp; Manure Mgmt'!H$13,"'"),'IFPRI Results'!$C$1:$C$50,'Agriculture - EF &amp; Manure Mgmt'!$A17)</f>
        <v>1930.3950010527501</v>
      </c>
      <c r="I17">
        <f>SUMIFS('IFPRI Results'!$G$1:$G$50,'IFPRI Results'!$F$1:$F$50,CONCATENATE("'",'Agriculture - EF &amp; Manure Mgmt'!I$13,"'"),'IFPRI Results'!$C$1:$C$50,'Agriculture - EF &amp; Manure Mgmt'!$A17)</f>
        <v>2030.900742973</v>
      </c>
    </row>
    <row r="18" spans="1:46" ht="15.75" customHeight="1" x14ac:dyDescent="0.25">
      <c r="A18" t="s">
        <v>553</v>
      </c>
      <c r="B18">
        <f>SUMIFS('IFPRI Results'!$G$1:$G$50,'IFPRI Results'!$F$1:$F$50,CONCATENATE("'",'Agriculture - EF &amp; Manure Mgmt'!B$13,"'"),'IFPRI Results'!$C$1:$C$50,'Agriculture - EF &amp; Manure Mgmt'!$A18)</f>
        <v>9160.7767704983107</v>
      </c>
      <c r="C18">
        <f>SUMIFS('IFPRI Results'!$G$1:$G$50,'IFPRI Results'!$F$1:$F$50,CONCATENATE("'",'Agriculture - EF &amp; Manure Mgmt'!C$13,"'"),'IFPRI Results'!$C$1:$C$50,'Agriculture - EF &amp; Manure Mgmt'!$A18)</f>
        <v>9640.15222272561</v>
      </c>
      <c r="D18">
        <f>SUMIFS('IFPRI Results'!$G$1:$G$50,'IFPRI Results'!$F$1:$F$50,CONCATENATE("'",'Agriculture - EF &amp; Manure Mgmt'!D$13,"'"),'IFPRI Results'!$C$1:$C$50,'Agriculture - EF &amp; Manure Mgmt'!$A18)</f>
        <v>10104.0072745832</v>
      </c>
      <c r="E18">
        <f>SUMIFS('IFPRI Results'!$G$1:$G$50,'IFPRI Results'!$F$1:$F$50,CONCATENATE("'",'Agriculture - EF &amp; Manure Mgmt'!E$13,"'"),'IFPRI Results'!$C$1:$C$50,'Agriculture - EF &amp; Manure Mgmt'!$A18)</f>
        <v>10538.2869200072</v>
      </c>
      <c r="F18">
        <f>SUMIFS('IFPRI Results'!$G$1:$G$50,'IFPRI Results'!$F$1:$F$50,CONCATENATE("'",'Agriculture - EF &amp; Manure Mgmt'!F$13,"'"),'IFPRI Results'!$C$1:$C$50,'Agriculture - EF &amp; Manure Mgmt'!$A18)</f>
        <v>10954.644320589699</v>
      </c>
      <c r="G18">
        <f>SUMIFS('IFPRI Results'!$G$1:$G$50,'IFPRI Results'!$F$1:$F$50,CONCATENATE("'",'Agriculture - EF &amp; Manure Mgmt'!G$13,"'"),'IFPRI Results'!$C$1:$C$50,'Agriculture - EF &amp; Manure Mgmt'!$A18)</f>
        <v>11369.777765410699</v>
      </c>
      <c r="H18">
        <f>SUMIFS('IFPRI Results'!$G$1:$G$50,'IFPRI Results'!$F$1:$F$50,CONCATENATE("'",'Agriculture - EF &amp; Manure Mgmt'!H$13,"'"),'IFPRI Results'!$C$1:$C$50,'Agriculture - EF &amp; Manure Mgmt'!$A18)</f>
        <v>11787.7709635463</v>
      </c>
      <c r="I18">
        <f>SUMIFS('IFPRI Results'!$G$1:$G$50,'IFPRI Results'!$F$1:$F$50,CONCATENATE("'",'Agriculture - EF &amp; Manure Mgmt'!I$13,"'"),'IFPRI Results'!$C$1:$C$50,'Agriculture - EF &amp; Manure Mgmt'!$A18)</f>
        <v>12205.5389872908</v>
      </c>
    </row>
    <row r="19" spans="1:46" ht="15.75" customHeight="1" x14ac:dyDescent="0.25">
      <c r="A19" s="10"/>
      <c r="G19" s="10"/>
    </row>
    <row r="20" spans="1:46" x14ac:dyDescent="0.25">
      <c r="A20" s="17" t="s">
        <v>27</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row>
    <row r="21" spans="1:46" x14ac:dyDescent="0.25">
      <c r="A21" s="18" t="s">
        <v>393</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x14ac:dyDescent="0.25">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ht="15.75" customHeight="1" x14ac:dyDescent="0.25">
      <c r="A23" s="10" t="s">
        <v>70</v>
      </c>
      <c r="B23" s="23">
        <f>Table3s1!C12</f>
        <v>147.49847105453381</v>
      </c>
      <c r="C23">
        <f t="shared" ref="C23:AK23" si="7">$B23*C4/$B4</f>
        <v>161.22012739663668</v>
      </c>
      <c r="D23">
        <f t="shared" si="7"/>
        <v>174.94178373873953</v>
      </c>
      <c r="E23">
        <f t="shared" si="7"/>
        <v>188.66344008084235</v>
      </c>
      <c r="F23">
        <f t="shared" si="7"/>
        <v>202.38509642294522</v>
      </c>
      <c r="G23">
        <f t="shared" si="7"/>
        <v>215.66249639110256</v>
      </c>
      <c r="H23">
        <f t="shared" si="7"/>
        <v>228.9398963592599</v>
      </c>
      <c r="I23">
        <f t="shared" si="7"/>
        <v>242.21729632741724</v>
      </c>
      <c r="J23">
        <f t="shared" si="7"/>
        <v>255.49469629557456</v>
      </c>
      <c r="K23">
        <f t="shared" si="7"/>
        <v>268.77209626373195</v>
      </c>
      <c r="L23">
        <f t="shared" si="7"/>
        <v>281.20292897156298</v>
      </c>
      <c r="M23">
        <f t="shared" si="7"/>
        <v>293.63376167939401</v>
      </c>
      <c r="N23">
        <f t="shared" si="7"/>
        <v>306.06459438722504</v>
      </c>
      <c r="O23">
        <f t="shared" si="7"/>
        <v>318.49542709505602</v>
      </c>
      <c r="P23">
        <f t="shared" si="7"/>
        <v>330.92625980288705</v>
      </c>
      <c r="Q23">
        <f t="shared" si="7"/>
        <v>342.84408567348544</v>
      </c>
      <c r="R23">
        <f t="shared" si="7"/>
        <v>354.76191154408383</v>
      </c>
      <c r="S23">
        <f t="shared" si="7"/>
        <v>366.67973741468222</v>
      </c>
      <c r="T23">
        <f t="shared" si="7"/>
        <v>378.59756328528056</v>
      </c>
      <c r="U23">
        <f t="shared" si="7"/>
        <v>390.51538915587895</v>
      </c>
      <c r="V23">
        <f t="shared" si="7"/>
        <v>402.39818048255319</v>
      </c>
      <c r="W23">
        <f t="shared" si="7"/>
        <v>414.28097180922737</v>
      </c>
      <c r="X23">
        <f t="shared" si="7"/>
        <v>426.16376313590155</v>
      </c>
      <c r="Y23">
        <f t="shared" si="7"/>
        <v>438.04655446257573</v>
      </c>
      <c r="Z23">
        <f t="shared" si="7"/>
        <v>449.92934578924996</v>
      </c>
      <c r="AA23">
        <f t="shared" si="7"/>
        <v>461.8939947747254</v>
      </c>
      <c r="AB23">
        <f t="shared" si="7"/>
        <v>473.85864376020095</v>
      </c>
      <c r="AC23">
        <f t="shared" si="7"/>
        <v>485.82329274567644</v>
      </c>
      <c r="AD23">
        <f t="shared" si="7"/>
        <v>497.78794173115199</v>
      </c>
      <c r="AE23">
        <f t="shared" si="7"/>
        <v>509.75259071662742</v>
      </c>
      <c r="AF23">
        <f t="shared" si="7"/>
        <v>521.71079430403893</v>
      </c>
      <c r="AG23">
        <f t="shared" si="7"/>
        <v>533.66899789145043</v>
      </c>
      <c r="AH23">
        <f t="shared" si="7"/>
        <v>545.62720147886193</v>
      </c>
      <c r="AI23">
        <f t="shared" si="7"/>
        <v>557.58540506627344</v>
      </c>
      <c r="AJ23">
        <f t="shared" si="7"/>
        <v>569.54360865368494</v>
      </c>
      <c r="AK23">
        <f t="shared" si="7"/>
        <v>581.50181224109645</v>
      </c>
    </row>
    <row r="24" spans="1:46" ht="15.75" customHeight="1" x14ac:dyDescent="0.25">
      <c r="A24" s="10" t="s">
        <v>621</v>
      </c>
      <c r="B24" s="23">
        <f>Table3s1!C13</f>
        <v>808.65900043726128</v>
      </c>
      <c r="C24">
        <f t="shared" ref="C24:AK24" si="8">$B24*C5/$B5</f>
        <v>809.51799132544056</v>
      </c>
      <c r="D24">
        <f t="shared" si="8"/>
        <v>810.37698221362007</v>
      </c>
      <c r="E24">
        <f t="shared" si="8"/>
        <v>811.23597310179935</v>
      </c>
      <c r="F24">
        <f t="shared" si="8"/>
        <v>812.09496398997874</v>
      </c>
      <c r="G24">
        <f t="shared" si="8"/>
        <v>812.938296852907</v>
      </c>
      <c r="H24">
        <f t="shared" si="8"/>
        <v>813.78162971583492</v>
      </c>
      <c r="I24">
        <f t="shared" si="8"/>
        <v>814.62496257876319</v>
      </c>
      <c r="J24">
        <f t="shared" si="8"/>
        <v>815.46829544169111</v>
      </c>
      <c r="K24">
        <f t="shared" si="8"/>
        <v>816.31162830461938</v>
      </c>
      <c r="L24">
        <f t="shared" si="8"/>
        <v>817.12034751596525</v>
      </c>
      <c r="M24">
        <f t="shared" si="8"/>
        <v>817.92906672731112</v>
      </c>
      <c r="N24">
        <f t="shared" si="8"/>
        <v>818.73778593865711</v>
      </c>
      <c r="O24">
        <f t="shared" si="8"/>
        <v>819.54650515000299</v>
      </c>
      <c r="P24">
        <f t="shared" si="8"/>
        <v>820.35522436134886</v>
      </c>
      <c r="Q24">
        <f t="shared" si="8"/>
        <v>821.12844586171116</v>
      </c>
      <c r="R24">
        <f t="shared" si="8"/>
        <v>821.90166736207334</v>
      </c>
      <c r="S24">
        <f t="shared" si="8"/>
        <v>822.67488886243564</v>
      </c>
      <c r="T24">
        <f t="shared" si="8"/>
        <v>823.44811036279782</v>
      </c>
      <c r="U24">
        <f t="shared" si="8"/>
        <v>824.22133186316012</v>
      </c>
      <c r="V24">
        <f t="shared" si="8"/>
        <v>824.97491956299552</v>
      </c>
      <c r="W24">
        <f t="shared" si="8"/>
        <v>825.72850726283082</v>
      </c>
      <c r="X24">
        <f t="shared" si="8"/>
        <v>826.48209496266622</v>
      </c>
      <c r="Y24">
        <f t="shared" si="8"/>
        <v>827.23568266250152</v>
      </c>
      <c r="Z24">
        <f t="shared" si="8"/>
        <v>827.98927036233692</v>
      </c>
      <c r="AA24">
        <f t="shared" si="8"/>
        <v>828.79727229670652</v>
      </c>
      <c r="AB24">
        <f t="shared" si="8"/>
        <v>829.60527423107635</v>
      </c>
      <c r="AC24">
        <f t="shared" si="8"/>
        <v>830.41327616544618</v>
      </c>
      <c r="AD24">
        <f t="shared" si="8"/>
        <v>831.221278099816</v>
      </c>
      <c r="AE24">
        <f t="shared" si="8"/>
        <v>832.02928003418572</v>
      </c>
      <c r="AF24">
        <f t="shared" si="8"/>
        <v>832.85551469083464</v>
      </c>
      <c r="AG24">
        <f t="shared" si="8"/>
        <v>833.68174934748345</v>
      </c>
      <c r="AH24">
        <f t="shared" si="8"/>
        <v>834.50798400413225</v>
      </c>
      <c r="AI24">
        <f t="shared" si="8"/>
        <v>835.33421866078106</v>
      </c>
      <c r="AJ24">
        <f t="shared" si="8"/>
        <v>836.16045331742987</v>
      </c>
      <c r="AK24">
        <f t="shared" si="8"/>
        <v>836.98668797407868</v>
      </c>
    </row>
    <row r="25" spans="1:46" ht="15.75" customHeight="1" x14ac:dyDescent="0.25">
      <c r="A25" s="10" t="s">
        <v>72</v>
      </c>
      <c r="B25" s="23">
        <f>Table3s1!C20</f>
        <v>7.6715999999999998</v>
      </c>
      <c r="C25">
        <f t="shared" ref="C25:AK25" si="9">$B25*C7/$B7</f>
        <v>7.6749169390944232</v>
      </c>
      <c r="D25">
        <f t="shared" si="9"/>
        <v>7.6782338781888466</v>
      </c>
      <c r="E25">
        <f t="shared" si="9"/>
        <v>7.68155081728327</v>
      </c>
      <c r="F25">
        <f t="shared" si="9"/>
        <v>7.6848677563776944</v>
      </c>
      <c r="G25">
        <f t="shared" si="9"/>
        <v>7.6885319954806048</v>
      </c>
      <c r="H25">
        <f t="shared" si="9"/>
        <v>7.6921962345835171</v>
      </c>
      <c r="I25">
        <f t="shared" si="9"/>
        <v>7.6958604736864276</v>
      </c>
      <c r="J25">
        <f t="shared" si="9"/>
        <v>7.6995247127893389</v>
      </c>
      <c r="K25">
        <f t="shared" si="9"/>
        <v>7.7031889518922512</v>
      </c>
      <c r="L25">
        <f t="shared" si="9"/>
        <v>7.7072048748326596</v>
      </c>
      <c r="M25">
        <f t="shared" si="9"/>
        <v>7.7112207977730689</v>
      </c>
      <c r="N25">
        <f t="shared" si="9"/>
        <v>7.7152367207134791</v>
      </c>
      <c r="O25">
        <f t="shared" si="9"/>
        <v>7.7192526436538875</v>
      </c>
      <c r="P25">
        <f t="shared" si="9"/>
        <v>7.7232685665942977</v>
      </c>
      <c r="Q25">
        <f t="shared" si="9"/>
        <v>7.7275961546237379</v>
      </c>
      <c r="R25">
        <f t="shared" si="9"/>
        <v>7.7319237426531791</v>
      </c>
      <c r="S25">
        <f t="shared" si="9"/>
        <v>7.7362513306826193</v>
      </c>
      <c r="T25">
        <f t="shared" si="9"/>
        <v>7.7405789187120604</v>
      </c>
      <c r="U25">
        <f t="shared" si="9"/>
        <v>7.7449065067415015</v>
      </c>
      <c r="V25">
        <f t="shared" si="9"/>
        <v>7.7496188525871377</v>
      </c>
      <c r="W25">
        <f t="shared" si="9"/>
        <v>7.7543311984327747</v>
      </c>
      <c r="X25">
        <f t="shared" si="9"/>
        <v>7.7590435442784127</v>
      </c>
      <c r="Y25">
        <f t="shared" si="9"/>
        <v>7.7637558901240489</v>
      </c>
      <c r="Z25">
        <f t="shared" si="9"/>
        <v>7.7684682359696859</v>
      </c>
      <c r="AA25">
        <f t="shared" si="9"/>
        <v>7.7737761803393051</v>
      </c>
      <c r="AB25">
        <f t="shared" si="9"/>
        <v>7.7790841247089251</v>
      </c>
      <c r="AC25">
        <f t="shared" si="9"/>
        <v>7.7843920690785442</v>
      </c>
      <c r="AD25">
        <f t="shared" si="9"/>
        <v>7.7897000134481633</v>
      </c>
      <c r="AE25">
        <f t="shared" si="9"/>
        <v>7.7950079578177824</v>
      </c>
      <c r="AF25">
        <f t="shared" si="9"/>
        <v>7.8008843976898916</v>
      </c>
      <c r="AG25">
        <f t="shared" si="9"/>
        <v>7.806760837561999</v>
      </c>
      <c r="AH25">
        <f t="shared" si="9"/>
        <v>7.8126372774341082</v>
      </c>
      <c r="AI25">
        <f t="shared" si="9"/>
        <v>7.8185137173062156</v>
      </c>
      <c r="AJ25">
        <f t="shared" si="9"/>
        <v>7.8243901571783248</v>
      </c>
      <c r="AK25">
        <f t="shared" si="9"/>
        <v>7.8302665970504322</v>
      </c>
    </row>
    <row r="26" spans="1:46" ht="15.75" customHeight="1" x14ac:dyDescent="0.25">
      <c r="A26" s="10" t="s">
        <v>71</v>
      </c>
      <c r="B26" s="23">
        <f>Table3s1!C21</f>
        <v>19.86375</v>
      </c>
      <c r="C26">
        <f t="shared" ref="C26:AK26" si="10">$B26*C6/$B6</f>
        <v>19.873975251349677</v>
      </c>
      <c r="D26">
        <f t="shared" si="10"/>
        <v>19.88420050269935</v>
      </c>
      <c r="E26">
        <f t="shared" si="10"/>
        <v>19.894425754049024</v>
      </c>
      <c r="F26">
        <f t="shared" si="10"/>
        <v>19.904651005398701</v>
      </c>
      <c r="G26">
        <f t="shared" si="10"/>
        <v>19.91541999931917</v>
      </c>
      <c r="H26">
        <f t="shared" si="10"/>
        <v>19.926188993239638</v>
      </c>
      <c r="I26">
        <f t="shared" si="10"/>
        <v>19.936957987160106</v>
      </c>
      <c r="J26">
        <f t="shared" si="10"/>
        <v>19.947726981080578</v>
      </c>
      <c r="K26">
        <f t="shared" si="10"/>
        <v>19.958495975001046</v>
      </c>
      <c r="L26">
        <f t="shared" si="10"/>
        <v>19.96855801886035</v>
      </c>
      <c r="M26">
        <f t="shared" si="10"/>
        <v>19.978620062719653</v>
      </c>
      <c r="N26">
        <f t="shared" si="10"/>
        <v>19.988682106578956</v>
      </c>
      <c r="O26">
        <f t="shared" si="10"/>
        <v>19.998744150438259</v>
      </c>
      <c r="P26">
        <f t="shared" si="10"/>
        <v>20.008806194297563</v>
      </c>
      <c r="Q26">
        <f t="shared" si="10"/>
        <v>20.017988333803807</v>
      </c>
      <c r="R26">
        <f t="shared" si="10"/>
        <v>20.027170473310047</v>
      </c>
      <c r="S26">
        <f t="shared" si="10"/>
        <v>20.036352612816295</v>
      </c>
      <c r="T26">
        <f t="shared" si="10"/>
        <v>20.045534752322538</v>
      </c>
      <c r="U26">
        <f t="shared" si="10"/>
        <v>20.054716891828779</v>
      </c>
      <c r="V26">
        <f t="shared" si="10"/>
        <v>20.063927861606324</v>
      </c>
      <c r="W26">
        <f t="shared" si="10"/>
        <v>20.073138831383865</v>
      </c>
      <c r="X26">
        <f t="shared" si="10"/>
        <v>20.082349801161406</v>
      </c>
      <c r="Y26">
        <f t="shared" si="10"/>
        <v>20.091560770938955</v>
      </c>
      <c r="Z26">
        <f t="shared" si="10"/>
        <v>20.100771740716496</v>
      </c>
      <c r="AA26">
        <f t="shared" si="10"/>
        <v>20.110851729348983</v>
      </c>
      <c r="AB26">
        <f t="shared" si="10"/>
        <v>20.120931717981474</v>
      </c>
      <c r="AC26">
        <f t="shared" si="10"/>
        <v>20.131011706613958</v>
      </c>
      <c r="AD26">
        <f t="shared" si="10"/>
        <v>20.141091695246445</v>
      </c>
      <c r="AE26">
        <f t="shared" si="10"/>
        <v>20.151171683878932</v>
      </c>
      <c r="AF26">
        <f t="shared" si="10"/>
        <v>20.16229335009951</v>
      </c>
      <c r="AG26">
        <f t="shared" si="10"/>
        <v>20.173415016320089</v>
      </c>
      <c r="AH26">
        <f t="shared" si="10"/>
        <v>20.184536682540664</v>
      </c>
      <c r="AI26">
        <f t="shared" si="10"/>
        <v>20.195658348761246</v>
      </c>
      <c r="AJ26">
        <f t="shared" si="10"/>
        <v>20.206780014981824</v>
      </c>
      <c r="AK26">
        <f t="shared" si="10"/>
        <v>20.217901681202399</v>
      </c>
    </row>
    <row r="27" spans="1:46" ht="15.75" customHeight="1" x14ac:dyDescent="0.25">
      <c r="A27" s="10" t="s">
        <v>622</v>
      </c>
      <c r="B27" s="23">
        <f>Table3s1!C22</f>
        <v>16.490338999999999</v>
      </c>
      <c r="C27">
        <f>SUM(C23:C26)/SUM($B$23:$B$26)*$B$27</f>
        <v>16.734991726664219</v>
      </c>
      <c r="D27">
        <f t="shared" ref="D27:AK27" si="11">SUM(D23:D26)/SUM($B$23:$B$26)*$B$27</f>
        <v>16.979644453328447</v>
      </c>
      <c r="E27">
        <f t="shared" si="11"/>
        <v>17.224297179992664</v>
      </c>
      <c r="F27">
        <f t="shared" si="11"/>
        <v>17.468949906656889</v>
      </c>
      <c r="G27">
        <f t="shared" si="11"/>
        <v>17.70590769990881</v>
      </c>
      <c r="H27">
        <f t="shared" si="11"/>
        <v>17.942865493160728</v>
      </c>
      <c r="I27">
        <f t="shared" si="11"/>
        <v>18.179823286412653</v>
      </c>
      <c r="J27">
        <f t="shared" si="11"/>
        <v>18.416781079664567</v>
      </c>
      <c r="K27">
        <f t="shared" si="11"/>
        <v>18.653738872916492</v>
      </c>
      <c r="L27">
        <f t="shared" si="11"/>
        <v>18.875918851284986</v>
      </c>
      <c r="M27">
        <f t="shared" si="11"/>
        <v>19.098098829653473</v>
      </c>
      <c r="N27">
        <f t="shared" si="11"/>
        <v>19.320278808021961</v>
      </c>
      <c r="O27">
        <f t="shared" si="11"/>
        <v>19.542458786390448</v>
      </c>
      <c r="P27">
        <f t="shared" si="11"/>
        <v>19.764638764758939</v>
      </c>
      <c r="Q27">
        <f t="shared" si="11"/>
        <v>19.977614247370823</v>
      </c>
      <c r="R27">
        <f t="shared" si="11"/>
        <v>20.190589729982708</v>
      </c>
      <c r="S27">
        <f t="shared" si="11"/>
        <v>20.403565212594593</v>
      </c>
      <c r="T27">
        <f t="shared" si="11"/>
        <v>20.616540695206474</v>
      </c>
      <c r="U27">
        <f t="shared" si="11"/>
        <v>20.829516177818359</v>
      </c>
      <c r="V27">
        <f t="shared" si="11"/>
        <v>21.041582149549154</v>
      </c>
      <c r="W27">
        <f t="shared" si="11"/>
        <v>21.253648121279944</v>
      </c>
      <c r="X27">
        <f t="shared" si="11"/>
        <v>21.465714093010739</v>
      </c>
      <c r="Y27">
        <f t="shared" si="11"/>
        <v>21.67778006474153</v>
      </c>
      <c r="Z27">
        <f t="shared" si="11"/>
        <v>21.889846036472324</v>
      </c>
      <c r="AA27">
        <f t="shared" si="11"/>
        <v>22.104220982818699</v>
      </c>
      <c r="AB27">
        <f t="shared" si="11"/>
        <v>22.318595929165085</v>
      </c>
      <c r="AC27">
        <f t="shared" si="11"/>
        <v>22.532970875511467</v>
      </c>
      <c r="AD27">
        <f t="shared" si="11"/>
        <v>22.747345821857849</v>
      </c>
      <c r="AE27">
        <f t="shared" si="11"/>
        <v>22.961720768204227</v>
      </c>
      <c r="AF27">
        <f t="shared" si="11"/>
        <v>23.176320306280367</v>
      </c>
      <c r="AG27">
        <f t="shared" si="11"/>
        <v>23.390919844356496</v>
      </c>
      <c r="AH27">
        <f t="shared" si="11"/>
        <v>23.605519382432625</v>
      </c>
      <c r="AI27">
        <f t="shared" si="11"/>
        <v>23.820118920508754</v>
      </c>
      <c r="AJ27">
        <f t="shared" si="11"/>
        <v>24.034718458584891</v>
      </c>
      <c r="AK27">
        <f t="shared" si="11"/>
        <v>24.249317996661016</v>
      </c>
    </row>
    <row r="28" spans="1:46" ht="15.75" customHeight="1" x14ac:dyDescent="0.25">
      <c r="A28" s="10"/>
      <c r="G28" s="10"/>
    </row>
    <row r="29" spans="1:46" x14ac:dyDescent="0.25">
      <c r="A29" t="s">
        <v>117</v>
      </c>
      <c r="B29" s="1">
        <f>SUM(B23:B27)</f>
        <v>1000.1831604917951</v>
      </c>
      <c r="C29" s="1">
        <f t="shared" ref="C29:AK29" si="12">SUM(C23:C27)</f>
        <v>1015.0220026391855</v>
      </c>
      <c r="D29" s="1">
        <f t="shared" si="12"/>
        <v>1029.8608447865763</v>
      </c>
      <c r="E29" s="1">
        <f t="shared" si="12"/>
        <v>1044.6996869339666</v>
      </c>
      <c r="F29" s="1">
        <f t="shared" si="12"/>
        <v>1059.5385290813572</v>
      </c>
      <c r="G29" s="1">
        <f t="shared" si="12"/>
        <v>1073.9106529387179</v>
      </c>
      <c r="H29" s="1">
        <f t="shared" si="12"/>
        <v>1088.2827767960787</v>
      </c>
      <c r="I29" s="1">
        <f t="shared" si="12"/>
        <v>1102.6549006534397</v>
      </c>
      <c r="J29" s="1">
        <f t="shared" si="12"/>
        <v>1117.0270245108002</v>
      </c>
      <c r="K29" s="1">
        <f t="shared" si="12"/>
        <v>1131.3991483681611</v>
      </c>
      <c r="L29" s="1">
        <f t="shared" si="12"/>
        <v>1144.8749582325065</v>
      </c>
      <c r="M29" s="1">
        <f t="shared" si="12"/>
        <v>1158.3507680968514</v>
      </c>
      <c r="N29" s="1">
        <f t="shared" si="12"/>
        <v>1171.8265779611966</v>
      </c>
      <c r="O29" s="1">
        <f t="shared" si="12"/>
        <v>1185.3023878255415</v>
      </c>
      <c r="P29" s="1">
        <f t="shared" si="12"/>
        <v>1198.7781976898866</v>
      </c>
      <c r="Q29" s="1">
        <f t="shared" si="12"/>
        <v>1211.695730270995</v>
      </c>
      <c r="R29" s="1">
        <f t="shared" si="12"/>
        <v>1224.6132628521032</v>
      </c>
      <c r="S29" s="1">
        <f t="shared" si="12"/>
        <v>1237.5307954332113</v>
      </c>
      <c r="T29" s="1">
        <f t="shared" si="12"/>
        <v>1250.4483280143193</v>
      </c>
      <c r="U29" s="1">
        <f t="shared" si="12"/>
        <v>1263.3658605954276</v>
      </c>
      <c r="V29" s="1">
        <f t="shared" si="12"/>
        <v>1276.2282289092914</v>
      </c>
      <c r="W29" s="1">
        <f t="shared" si="12"/>
        <v>1289.0905972231546</v>
      </c>
      <c r="X29" s="1">
        <f t="shared" si="12"/>
        <v>1301.9529655370184</v>
      </c>
      <c r="Y29" s="1">
        <f t="shared" si="12"/>
        <v>1314.8153338508816</v>
      </c>
      <c r="Z29" s="1">
        <f t="shared" si="12"/>
        <v>1327.6777021647454</v>
      </c>
      <c r="AA29" s="1">
        <f t="shared" si="12"/>
        <v>1340.680115963939</v>
      </c>
      <c r="AB29" s="1">
        <f t="shared" si="12"/>
        <v>1353.6825297631328</v>
      </c>
      <c r="AC29" s="1">
        <f t="shared" si="12"/>
        <v>1366.6849435623265</v>
      </c>
      <c r="AD29" s="1">
        <f t="shared" si="12"/>
        <v>1379.6873573615203</v>
      </c>
      <c r="AE29" s="1">
        <f t="shared" si="12"/>
        <v>1392.6897711607139</v>
      </c>
      <c r="AF29" s="1">
        <f t="shared" si="12"/>
        <v>1405.7058070489434</v>
      </c>
      <c r="AG29" s="1">
        <f t="shared" si="12"/>
        <v>1418.7218429371724</v>
      </c>
      <c r="AH29" s="1">
        <f t="shared" si="12"/>
        <v>1431.7378788254016</v>
      </c>
      <c r="AI29" s="1">
        <f t="shared" si="12"/>
        <v>1444.7539147136306</v>
      </c>
      <c r="AJ29" s="1">
        <f t="shared" si="12"/>
        <v>1457.7699506018598</v>
      </c>
      <c r="AK29" s="1">
        <f t="shared" si="12"/>
        <v>1470.7859864900888</v>
      </c>
    </row>
    <row r="30" spans="1:46" ht="15.75" customHeight="1" x14ac:dyDescent="0.25">
      <c r="A30" s="10"/>
      <c r="G30" s="10"/>
    </row>
    <row r="31" spans="1:46" ht="15.75" customHeight="1" x14ac:dyDescent="0.25">
      <c r="A31" s="10"/>
      <c r="G31" s="10"/>
    </row>
    <row r="32" spans="1:46" x14ac:dyDescent="0.25">
      <c r="A32" s="17" t="s">
        <v>28</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row>
    <row r="33" spans="1:46" x14ac:dyDescent="0.25">
      <c r="A33" s="18" t="s">
        <v>623</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row>
    <row r="34" spans="1:46" x14ac:dyDescent="0.25">
      <c r="B34">
        <v>2015</v>
      </c>
      <c r="C34">
        <v>2016</v>
      </c>
      <c r="D34">
        <v>2017</v>
      </c>
      <c r="E34">
        <v>2018</v>
      </c>
      <c r="F34">
        <v>2019</v>
      </c>
      <c r="G34">
        <v>2020</v>
      </c>
      <c r="H34">
        <v>2021</v>
      </c>
      <c r="I34">
        <v>2022</v>
      </c>
      <c r="J34">
        <v>2023</v>
      </c>
      <c r="K34">
        <v>2024</v>
      </c>
      <c r="L34">
        <v>2025</v>
      </c>
      <c r="M34">
        <v>2026</v>
      </c>
      <c r="N34">
        <v>2027</v>
      </c>
      <c r="O34">
        <v>2028</v>
      </c>
      <c r="P34">
        <v>2029</v>
      </c>
      <c r="Q34">
        <v>2030</v>
      </c>
      <c r="R34">
        <v>2031</v>
      </c>
      <c r="S34">
        <v>2032</v>
      </c>
      <c r="T34">
        <v>2033</v>
      </c>
      <c r="U34">
        <v>2034</v>
      </c>
      <c r="V34">
        <v>2035</v>
      </c>
      <c r="W34">
        <v>2036</v>
      </c>
      <c r="X34">
        <v>2037</v>
      </c>
      <c r="Y34">
        <v>2038</v>
      </c>
      <c r="Z34">
        <v>2039</v>
      </c>
      <c r="AA34">
        <v>2040</v>
      </c>
      <c r="AB34">
        <v>2041</v>
      </c>
      <c r="AC34">
        <v>2042</v>
      </c>
      <c r="AD34">
        <v>2043</v>
      </c>
      <c r="AE34">
        <v>2044</v>
      </c>
      <c r="AF34">
        <v>2045</v>
      </c>
      <c r="AG34">
        <v>2046</v>
      </c>
      <c r="AH34">
        <v>2047</v>
      </c>
      <c r="AI34">
        <v>2048</v>
      </c>
      <c r="AJ34">
        <v>2049</v>
      </c>
      <c r="AK34">
        <v>2050</v>
      </c>
    </row>
    <row r="35" spans="1:46" ht="15.75" customHeight="1" x14ac:dyDescent="0.25">
      <c r="A35" s="10" t="s">
        <v>70</v>
      </c>
      <c r="B35" s="12">
        <v>33.521790075208308</v>
      </c>
      <c r="C35">
        <f t="shared" ref="C35:AK35" si="13">$B35*C4/$B4</f>
        <v>36.640293474569368</v>
      </c>
      <c r="D35">
        <f t="shared" si="13"/>
        <v>39.758796873930429</v>
      </c>
      <c r="E35">
        <f t="shared" si="13"/>
        <v>42.877300273291489</v>
      </c>
      <c r="F35">
        <f t="shared" si="13"/>
        <v>45.995803672652549</v>
      </c>
      <c r="G35">
        <f t="shared" si="13"/>
        <v>49.01334149046891</v>
      </c>
      <c r="H35">
        <f t="shared" si="13"/>
        <v>52.030879308285272</v>
      </c>
      <c r="I35">
        <f t="shared" si="13"/>
        <v>55.048417126101633</v>
      </c>
      <c r="J35">
        <f t="shared" si="13"/>
        <v>58.065954943918001</v>
      </c>
      <c r="K35">
        <f t="shared" si="13"/>
        <v>61.083492761734362</v>
      </c>
      <c r="L35">
        <f t="shared" si="13"/>
        <v>63.908632314115756</v>
      </c>
      <c r="M35">
        <f t="shared" si="13"/>
        <v>66.73377186649715</v>
      </c>
      <c r="N35">
        <f t="shared" si="13"/>
        <v>69.558911418878523</v>
      </c>
      <c r="O35">
        <f t="shared" si="13"/>
        <v>72.384050971259924</v>
      </c>
      <c r="P35">
        <f t="shared" si="13"/>
        <v>75.209190523641297</v>
      </c>
      <c r="Q35">
        <f t="shared" si="13"/>
        <v>77.917739664054963</v>
      </c>
      <c r="R35">
        <f t="shared" si="13"/>
        <v>80.626288804468615</v>
      </c>
      <c r="S35">
        <f t="shared" si="13"/>
        <v>83.334837944882267</v>
      </c>
      <c r="T35">
        <f t="shared" si="13"/>
        <v>86.043387085295919</v>
      </c>
      <c r="U35">
        <f t="shared" si="13"/>
        <v>88.751936225709571</v>
      </c>
      <c r="V35">
        <f t="shared" si="13"/>
        <v>91.452523109847533</v>
      </c>
      <c r="W35">
        <f t="shared" si="13"/>
        <v>94.153109993985524</v>
      </c>
      <c r="X35">
        <f t="shared" si="13"/>
        <v>96.853696878123486</v>
      </c>
      <c r="Y35">
        <f t="shared" si="13"/>
        <v>99.554283762261463</v>
      </c>
      <c r="Z35">
        <f t="shared" si="13"/>
        <v>102.25487064639943</v>
      </c>
      <c r="AA35">
        <f t="shared" si="13"/>
        <v>104.9740612166283</v>
      </c>
      <c r="AB35">
        <f t="shared" si="13"/>
        <v>107.69325178685716</v>
      </c>
      <c r="AC35">
        <f t="shared" si="13"/>
        <v>110.41244235708604</v>
      </c>
      <c r="AD35">
        <f t="shared" si="13"/>
        <v>113.1316329273149</v>
      </c>
      <c r="AE35">
        <f t="shared" si="13"/>
        <v>115.85082349754377</v>
      </c>
      <c r="AF35">
        <f t="shared" si="13"/>
        <v>118.56854923034545</v>
      </c>
      <c r="AG35">
        <f t="shared" si="13"/>
        <v>121.28627496314714</v>
      </c>
      <c r="AH35">
        <f t="shared" si="13"/>
        <v>124.00400069594882</v>
      </c>
      <c r="AI35">
        <f t="shared" si="13"/>
        <v>126.7217264287505</v>
      </c>
      <c r="AJ35">
        <f t="shared" si="13"/>
        <v>129.4394521615522</v>
      </c>
      <c r="AK35">
        <f t="shared" si="13"/>
        <v>132.15717789435385</v>
      </c>
    </row>
    <row r="36" spans="1:46" ht="15.75" customHeight="1" x14ac:dyDescent="0.25">
      <c r="A36" s="10" t="s">
        <v>621</v>
      </c>
      <c r="B36" s="12">
        <v>39.026972476252233</v>
      </c>
      <c r="C36">
        <f t="shared" ref="C36:AK36" si="14">$B36*C5/$B5</f>
        <v>39.068428533418725</v>
      </c>
      <c r="D36">
        <f t="shared" si="14"/>
        <v>39.109884590585224</v>
      </c>
      <c r="E36">
        <f t="shared" si="14"/>
        <v>39.151340647751717</v>
      </c>
      <c r="F36">
        <f t="shared" si="14"/>
        <v>39.192796704918209</v>
      </c>
      <c r="G36">
        <f t="shared" si="14"/>
        <v>39.233497084697596</v>
      </c>
      <c r="H36">
        <f t="shared" si="14"/>
        <v>39.274197464476984</v>
      </c>
      <c r="I36">
        <f t="shared" si="14"/>
        <v>39.314897844256365</v>
      </c>
      <c r="J36">
        <f t="shared" si="14"/>
        <v>39.355598224035752</v>
      </c>
      <c r="K36">
        <f t="shared" si="14"/>
        <v>39.39629860381514</v>
      </c>
      <c r="L36">
        <f t="shared" si="14"/>
        <v>39.435328482150929</v>
      </c>
      <c r="M36">
        <f t="shared" si="14"/>
        <v>39.474358360486733</v>
      </c>
      <c r="N36">
        <f t="shared" si="14"/>
        <v>39.513388238822529</v>
      </c>
      <c r="O36">
        <f t="shared" si="14"/>
        <v>39.552418117158325</v>
      </c>
      <c r="P36">
        <f t="shared" si="14"/>
        <v>39.591447995494121</v>
      </c>
      <c r="Q36">
        <f t="shared" si="14"/>
        <v>39.628764706488951</v>
      </c>
      <c r="R36">
        <f t="shared" si="14"/>
        <v>39.666081417483781</v>
      </c>
      <c r="S36">
        <f t="shared" si="14"/>
        <v>39.703398128478604</v>
      </c>
      <c r="T36">
        <f t="shared" si="14"/>
        <v>39.740714839473434</v>
      </c>
      <c r="U36">
        <f t="shared" si="14"/>
        <v>39.778031550468263</v>
      </c>
      <c r="V36">
        <f t="shared" si="14"/>
        <v>39.814400707806541</v>
      </c>
      <c r="W36">
        <f t="shared" si="14"/>
        <v>39.850769865144819</v>
      </c>
      <c r="X36">
        <f t="shared" si="14"/>
        <v>39.88713902248309</v>
      </c>
      <c r="Y36">
        <f t="shared" si="14"/>
        <v>39.923508179821368</v>
      </c>
      <c r="Z36">
        <f t="shared" si="14"/>
        <v>39.959877337159647</v>
      </c>
      <c r="AA36">
        <f t="shared" si="14"/>
        <v>39.998872598742537</v>
      </c>
      <c r="AB36">
        <f t="shared" si="14"/>
        <v>40.037867860325427</v>
      </c>
      <c r="AC36">
        <f t="shared" si="14"/>
        <v>40.07686312190831</v>
      </c>
      <c r="AD36">
        <f t="shared" si="14"/>
        <v>40.115858383491201</v>
      </c>
      <c r="AE36">
        <f t="shared" si="14"/>
        <v>40.154853645074091</v>
      </c>
      <c r="AF36">
        <f t="shared" si="14"/>
        <v>40.19472884239029</v>
      </c>
      <c r="AG36">
        <f t="shared" si="14"/>
        <v>40.234604039706497</v>
      </c>
      <c r="AH36">
        <f t="shared" si="14"/>
        <v>40.274479237022696</v>
      </c>
      <c r="AI36">
        <f t="shared" si="14"/>
        <v>40.314354434338902</v>
      </c>
      <c r="AJ36">
        <f t="shared" si="14"/>
        <v>40.354229631655102</v>
      </c>
      <c r="AK36">
        <f t="shared" si="14"/>
        <v>40.394104828971308</v>
      </c>
    </row>
    <row r="37" spans="1:46" ht="15.75" customHeight="1" x14ac:dyDescent="0.25">
      <c r="A37" s="10" t="s">
        <v>72</v>
      </c>
      <c r="B37" s="23">
        <v>0.27536735496975001</v>
      </c>
      <c r="C37">
        <f>$B37*C7/$B7</f>
        <v>0.27548641445473709</v>
      </c>
      <c r="D37">
        <f t="shared" ref="D37:AK37" si="15">$B37*D7/$B7</f>
        <v>0.27560547393972423</v>
      </c>
      <c r="E37">
        <f t="shared" si="15"/>
        <v>0.27572453342471137</v>
      </c>
      <c r="F37">
        <f t="shared" si="15"/>
        <v>0.27584359290969845</v>
      </c>
      <c r="G37">
        <f t="shared" si="15"/>
        <v>0.27597511851449347</v>
      </c>
      <c r="H37">
        <f t="shared" si="15"/>
        <v>0.27610664411928854</v>
      </c>
      <c r="I37">
        <f t="shared" si="15"/>
        <v>0.27623816972408355</v>
      </c>
      <c r="J37">
        <f t="shared" si="15"/>
        <v>0.27636969532887856</v>
      </c>
      <c r="K37">
        <f t="shared" si="15"/>
        <v>0.27650122093367357</v>
      </c>
      <c r="L37">
        <f t="shared" si="15"/>
        <v>0.27664537001311756</v>
      </c>
      <c r="M37">
        <f t="shared" si="15"/>
        <v>0.27678951909256161</v>
      </c>
      <c r="N37">
        <f t="shared" si="15"/>
        <v>0.27693366817200565</v>
      </c>
      <c r="O37">
        <f t="shared" si="15"/>
        <v>0.2770778172514497</v>
      </c>
      <c r="P37">
        <f t="shared" si="15"/>
        <v>0.27722196633089369</v>
      </c>
      <c r="Q37">
        <f t="shared" si="15"/>
        <v>0.27737730243666903</v>
      </c>
      <c r="R37">
        <f t="shared" si="15"/>
        <v>0.27753263854244437</v>
      </c>
      <c r="S37">
        <f t="shared" si="15"/>
        <v>0.27768797464821965</v>
      </c>
      <c r="T37">
        <f t="shared" si="15"/>
        <v>0.27784331075399493</v>
      </c>
      <c r="U37">
        <f t="shared" si="15"/>
        <v>0.27799864685977027</v>
      </c>
      <c r="V37">
        <f t="shared" si="15"/>
        <v>0.27816779361028066</v>
      </c>
      <c r="W37">
        <f t="shared" si="15"/>
        <v>0.2783369403607911</v>
      </c>
      <c r="X37">
        <f t="shared" si="15"/>
        <v>0.27850608711130154</v>
      </c>
      <c r="Y37">
        <f t="shared" si="15"/>
        <v>0.27867523386181198</v>
      </c>
      <c r="Z37">
        <f t="shared" si="15"/>
        <v>0.27884438061232236</v>
      </c>
      <c r="AA37">
        <f t="shared" si="15"/>
        <v>0.27903490600485964</v>
      </c>
      <c r="AB37">
        <f t="shared" si="15"/>
        <v>0.27922543139739686</v>
      </c>
      <c r="AC37">
        <f t="shared" si="15"/>
        <v>0.27941595678993408</v>
      </c>
      <c r="AD37">
        <f t="shared" si="15"/>
        <v>0.27960648218247131</v>
      </c>
      <c r="AE37">
        <f t="shared" si="15"/>
        <v>0.27979700757500853</v>
      </c>
      <c r="AF37">
        <f t="shared" si="15"/>
        <v>0.28000793876331626</v>
      </c>
      <c r="AG37">
        <f t="shared" si="15"/>
        <v>0.28021886995162393</v>
      </c>
      <c r="AH37">
        <f t="shared" si="15"/>
        <v>0.2804298011399316</v>
      </c>
      <c r="AI37">
        <f t="shared" si="15"/>
        <v>0.28064073232823933</v>
      </c>
      <c r="AJ37">
        <f t="shared" si="15"/>
        <v>0.280851663516547</v>
      </c>
      <c r="AK37">
        <f t="shared" si="15"/>
        <v>0.28106259470485467</v>
      </c>
    </row>
    <row r="38" spans="1:46" ht="15.75" customHeight="1" x14ac:dyDescent="0.25">
      <c r="A38" s="10" t="s">
        <v>71</v>
      </c>
      <c r="B38" s="12">
        <v>67.785625613240242</v>
      </c>
      <c r="C38">
        <f>$B38*C6/$B6</f>
        <v>67.820519581387771</v>
      </c>
      <c r="D38">
        <f t="shared" ref="D38:AK38" si="16">$B38*D6/$B6</f>
        <v>67.855413549535285</v>
      </c>
      <c r="E38">
        <f t="shared" si="16"/>
        <v>67.890307517682814</v>
      </c>
      <c r="F38">
        <f t="shared" si="16"/>
        <v>67.925201485830343</v>
      </c>
      <c r="G38">
        <f t="shared" si="16"/>
        <v>67.961950991342846</v>
      </c>
      <c r="H38">
        <f t="shared" si="16"/>
        <v>67.998700496855363</v>
      </c>
      <c r="I38">
        <f t="shared" si="16"/>
        <v>68.035450002367881</v>
      </c>
      <c r="J38">
        <f t="shared" si="16"/>
        <v>68.072199507880384</v>
      </c>
      <c r="K38">
        <f t="shared" si="16"/>
        <v>68.108949013392902</v>
      </c>
      <c r="L38">
        <f t="shared" si="16"/>
        <v>68.143286031224406</v>
      </c>
      <c r="M38">
        <f t="shared" si="16"/>
        <v>68.177623049055924</v>
      </c>
      <c r="N38">
        <f t="shared" si="16"/>
        <v>68.211960066887443</v>
      </c>
      <c r="O38">
        <f t="shared" si="16"/>
        <v>68.246297084718961</v>
      </c>
      <c r="P38">
        <f t="shared" si="16"/>
        <v>68.280634102550479</v>
      </c>
      <c r="Q38">
        <f t="shared" si="16"/>
        <v>68.311968421140804</v>
      </c>
      <c r="R38">
        <f t="shared" si="16"/>
        <v>68.343302739731143</v>
      </c>
      <c r="S38">
        <f t="shared" si="16"/>
        <v>68.374637058321468</v>
      </c>
      <c r="T38">
        <f t="shared" si="16"/>
        <v>68.405971376911808</v>
      </c>
      <c r="U38">
        <f t="shared" si="16"/>
        <v>68.437305695502147</v>
      </c>
      <c r="V38">
        <f t="shared" si="16"/>
        <v>68.46873839823327</v>
      </c>
      <c r="W38">
        <f t="shared" si="16"/>
        <v>68.500171100964394</v>
      </c>
      <c r="X38">
        <f t="shared" si="16"/>
        <v>68.531603803695518</v>
      </c>
      <c r="Y38">
        <f t="shared" si="16"/>
        <v>68.563036506426656</v>
      </c>
      <c r="Z38">
        <f t="shared" si="16"/>
        <v>68.594469209157779</v>
      </c>
      <c r="AA38">
        <f t="shared" si="16"/>
        <v>68.628867464050614</v>
      </c>
      <c r="AB38">
        <f t="shared" si="16"/>
        <v>68.663265718943435</v>
      </c>
      <c r="AC38">
        <f t="shared" si="16"/>
        <v>68.697663973836271</v>
      </c>
      <c r="AD38">
        <f t="shared" si="16"/>
        <v>68.732062228729106</v>
      </c>
      <c r="AE38">
        <f t="shared" si="16"/>
        <v>68.766460483621927</v>
      </c>
      <c r="AF38">
        <f t="shared" si="16"/>
        <v>68.804413493633817</v>
      </c>
      <c r="AG38">
        <f t="shared" si="16"/>
        <v>68.842366503645707</v>
      </c>
      <c r="AH38">
        <f t="shared" si="16"/>
        <v>68.880319513657582</v>
      </c>
      <c r="AI38">
        <f t="shared" si="16"/>
        <v>68.918272523669472</v>
      </c>
      <c r="AJ38">
        <f t="shared" si="16"/>
        <v>68.956225533681348</v>
      </c>
      <c r="AK38">
        <f t="shared" si="16"/>
        <v>68.994178543693224</v>
      </c>
    </row>
    <row r="39" spans="1:46" ht="15.75" customHeight="1" x14ac:dyDescent="0.25">
      <c r="A39" s="10" t="s">
        <v>622</v>
      </c>
      <c r="B39" s="12">
        <v>9.5300328350712906</v>
      </c>
      <c r="C39">
        <f>$B$39*SUM(C35:C38)/SUM($B$35:$B$38)</f>
        <v>9.7465767908492023</v>
      </c>
      <c r="D39">
        <f t="shared" ref="D39:AK39" si="17">$B$39*SUM(D35:D38)/SUM($B$35:$B$38)</f>
        <v>9.9631207466271174</v>
      </c>
      <c r="E39">
        <f t="shared" si="17"/>
        <v>10.179664702405031</v>
      </c>
      <c r="F39">
        <f t="shared" si="17"/>
        <v>10.396208658182944</v>
      </c>
      <c r="G39">
        <f t="shared" si="17"/>
        <v>10.605984912818201</v>
      </c>
      <c r="H39">
        <f t="shared" si="17"/>
        <v>10.815761167453463</v>
      </c>
      <c r="I39">
        <f t="shared" si="17"/>
        <v>11.025537422088719</v>
      </c>
      <c r="J39">
        <f t="shared" si="17"/>
        <v>11.235313676723981</v>
      </c>
      <c r="K39">
        <f t="shared" si="17"/>
        <v>11.44508993135924</v>
      </c>
      <c r="L39">
        <f t="shared" si="17"/>
        <v>11.641550235771978</v>
      </c>
      <c r="M39">
        <f t="shared" si="17"/>
        <v>11.838010540184719</v>
      </c>
      <c r="N39">
        <f t="shared" si="17"/>
        <v>12.034470844597456</v>
      </c>
      <c r="O39">
        <f t="shared" si="17"/>
        <v>12.230931149010194</v>
      </c>
      <c r="P39">
        <f t="shared" si="17"/>
        <v>12.427391453422933</v>
      </c>
      <c r="Q39">
        <f t="shared" si="17"/>
        <v>12.615630804739778</v>
      </c>
      <c r="R39">
        <f t="shared" si="17"/>
        <v>12.80387015605662</v>
      </c>
      <c r="S39">
        <f t="shared" si="17"/>
        <v>12.992109507373465</v>
      </c>
      <c r="T39">
        <f t="shared" si="17"/>
        <v>13.180348858690307</v>
      </c>
      <c r="U39">
        <f t="shared" si="17"/>
        <v>13.368588210007154</v>
      </c>
      <c r="V39">
        <f t="shared" si="17"/>
        <v>13.556231290027537</v>
      </c>
      <c r="W39">
        <f t="shared" si="17"/>
        <v>13.743874370047923</v>
      </c>
      <c r="X39">
        <f t="shared" si="17"/>
        <v>13.931517450068309</v>
      </c>
      <c r="Y39">
        <f t="shared" si="17"/>
        <v>14.119160530088696</v>
      </c>
      <c r="Z39">
        <f t="shared" si="17"/>
        <v>14.30680361010908</v>
      </c>
      <c r="AA39">
        <f t="shared" si="17"/>
        <v>14.49608801399609</v>
      </c>
      <c r="AB39">
        <f t="shared" si="17"/>
        <v>14.685372417883102</v>
      </c>
      <c r="AC39">
        <f t="shared" si="17"/>
        <v>14.874656821770111</v>
      </c>
      <c r="AD39">
        <f t="shared" si="17"/>
        <v>15.063941225657121</v>
      </c>
      <c r="AE39">
        <f t="shared" si="17"/>
        <v>15.253225629544129</v>
      </c>
      <c r="AF39">
        <f t="shared" si="17"/>
        <v>15.442712702644636</v>
      </c>
      <c r="AG39">
        <f t="shared" si="17"/>
        <v>15.632199775745145</v>
      </c>
      <c r="AH39">
        <f t="shared" si="17"/>
        <v>15.821686848845651</v>
      </c>
      <c r="AI39">
        <f t="shared" si="17"/>
        <v>16.011173921946156</v>
      </c>
      <c r="AJ39">
        <f t="shared" si="17"/>
        <v>16.200660995046665</v>
      </c>
      <c r="AK39">
        <f t="shared" si="17"/>
        <v>16.390148068147166</v>
      </c>
    </row>
    <row r="40" spans="1:46" ht="15.75" customHeight="1" x14ac:dyDescent="0.25">
      <c r="A40" s="10"/>
      <c r="G40" s="10"/>
    </row>
    <row r="41" spans="1:46" x14ac:dyDescent="0.25">
      <c r="A41" t="s">
        <v>117</v>
      </c>
      <c r="B41" s="1">
        <f>SUM(B35:B39)</f>
        <v>150.13978835474182</v>
      </c>
      <c r="C41" s="1">
        <f t="shared" ref="C41:AK41" si="18">SUM(C35:C39)</f>
        <v>153.55130479467977</v>
      </c>
      <c r="D41" s="1">
        <f t="shared" si="18"/>
        <v>156.96282123461776</v>
      </c>
      <c r="E41" s="1">
        <f t="shared" si="18"/>
        <v>160.37433767455576</v>
      </c>
      <c r="F41" s="1">
        <f t="shared" si="18"/>
        <v>163.78585411449376</v>
      </c>
      <c r="G41" s="1">
        <f t="shared" si="18"/>
        <v>167.09074959784203</v>
      </c>
      <c r="H41" s="1">
        <f t="shared" si="18"/>
        <v>170.39564508119039</v>
      </c>
      <c r="I41" s="1">
        <f t="shared" si="18"/>
        <v>173.70054056453867</v>
      </c>
      <c r="J41" s="1">
        <f t="shared" si="18"/>
        <v>177.00543604788703</v>
      </c>
      <c r="K41" s="1">
        <f t="shared" si="18"/>
        <v>180.31033153123531</v>
      </c>
      <c r="L41" s="1">
        <f t="shared" si="18"/>
        <v>183.40544243327619</v>
      </c>
      <c r="M41" s="1">
        <f t="shared" si="18"/>
        <v>186.50055333531708</v>
      </c>
      <c r="N41" s="1">
        <f t="shared" si="18"/>
        <v>189.59566423735797</v>
      </c>
      <c r="O41" s="1">
        <f t="shared" si="18"/>
        <v>192.69077513939885</v>
      </c>
      <c r="P41" s="1">
        <f t="shared" si="18"/>
        <v>195.78588604143974</v>
      </c>
      <c r="Q41" s="1">
        <f t="shared" si="18"/>
        <v>198.75148089886116</v>
      </c>
      <c r="R41" s="1">
        <f t="shared" si="18"/>
        <v>201.71707575628261</v>
      </c>
      <c r="S41" s="1">
        <f t="shared" si="18"/>
        <v>204.68267061370403</v>
      </c>
      <c r="T41" s="1">
        <f t="shared" si="18"/>
        <v>207.64826547112546</v>
      </c>
      <c r="U41" s="1">
        <f t="shared" si="18"/>
        <v>210.61386032854691</v>
      </c>
      <c r="V41" s="1">
        <f t="shared" si="18"/>
        <v>213.57006129952515</v>
      </c>
      <c r="W41" s="1">
        <f t="shared" si="18"/>
        <v>216.52626227050345</v>
      </c>
      <c r="X41" s="1">
        <f t="shared" si="18"/>
        <v>219.48246324148172</v>
      </c>
      <c r="Y41" s="1">
        <f t="shared" si="18"/>
        <v>222.43866421246</v>
      </c>
      <c r="Z41" s="1">
        <f t="shared" si="18"/>
        <v>225.39486518343827</v>
      </c>
      <c r="AA41" s="1">
        <f t="shared" si="18"/>
        <v>228.37692419942238</v>
      </c>
      <c r="AB41" s="1">
        <f t="shared" si="18"/>
        <v>231.35898321540657</v>
      </c>
      <c r="AC41" s="1">
        <f t="shared" si="18"/>
        <v>234.34104223139067</v>
      </c>
      <c r="AD41" s="1">
        <f t="shared" si="18"/>
        <v>237.32310124737478</v>
      </c>
      <c r="AE41" s="1">
        <f t="shared" si="18"/>
        <v>240.30516026335891</v>
      </c>
      <c r="AF41" s="1">
        <f t="shared" si="18"/>
        <v>243.29041220777751</v>
      </c>
      <c r="AG41" s="1">
        <f t="shared" si="18"/>
        <v>246.2756641521961</v>
      </c>
      <c r="AH41" s="1">
        <f t="shared" si="18"/>
        <v>249.26091609661469</v>
      </c>
      <c r="AI41" s="1">
        <f t="shared" si="18"/>
        <v>252.24616804103326</v>
      </c>
      <c r="AJ41" s="1">
        <f t="shared" si="18"/>
        <v>255.23141998545188</v>
      </c>
      <c r="AK41" s="1">
        <f t="shared" si="18"/>
        <v>258.21667192987036</v>
      </c>
    </row>
    <row r="42" spans="1:46" ht="15.75" customHeight="1" x14ac:dyDescent="0.25">
      <c r="A42" s="10"/>
      <c r="G42" s="10"/>
    </row>
    <row r="43" spans="1:46" x14ac:dyDescent="0.25">
      <c r="A43" s="18" t="s">
        <v>624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spans="1:46" x14ac:dyDescent="0.25">
      <c r="B44">
        <v>2015</v>
      </c>
      <c r="C44">
        <v>2016</v>
      </c>
      <c r="D44">
        <v>2017</v>
      </c>
      <c r="E44">
        <v>2018</v>
      </c>
      <c r="F44">
        <v>2019</v>
      </c>
      <c r="G44">
        <v>2020</v>
      </c>
      <c r="H44">
        <v>2021</v>
      </c>
      <c r="I44">
        <v>2022</v>
      </c>
      <c r="J44">
        <v>2023</v>
      </c>
      <c r="K44">
        <v>2024</v>
      </c>
      <c r="L44">
        <v>2025</v>
      </c>
      <c r="M44">
        <v>2026</v>
      </c>
      <c r="N44">
        <v>2027</v>
      </c>
      <c r="O44">
        <v>2028</v>
      </c>
      <c r="P44">
        <v>2029</v>
      </c>
      <c r="Q44">
        <v>2030</v>
      </c>
      <c r="R44">
        <v>2031</v>
      </c>
      <c r="S44">
        <v>2032</v>
      </c>
      <c r="T44">
        <v>2033</v>
      </c>
      <c r="U44">
        <v>2034</v>
      </c>
      <c r="V44">
        <v>2035</v>
      </c>
      <c r="W44">
        <v>2036</v>
      </c>
      <c r="X44">
        <v>2037</v>
      </c>
      <c r="Y44">
        <v>2038</v>
      </c>
      <c r="Z44">
        <v>2039</v>
      </c>
      <c r="AA44">
        <v>2040</v>
      </c>
      <c r="AB44">
        <v>2041</v>
      </c>
      <c r="AC44">
        <v>2042</v>
      </c>
      <c r="AD44">
        <v>2043</v>
      </c>
      <c r="AE44">
        <v>2044</v>
      </c>
      <c r="AF44">
        <v>2045</v>
      </c>
      <c r="AG44">
        <v>2046</v>
      </c>
      <c r="AH44">
        <v>2047</v>
      </c>
      <c r="AI44">
        <v>2048</v>
      </c>
      <c r="AJ44">
        <v>2049</v>
      </c>
      <c r="AK44">
        <v>2050</v>
      </c>
    </row>
    <row r="45" spans="1:46" ht="15.75" customHeight="1" x14ac:dyDescent="0.25">
      <c r="A45" s="10" t="s">
        <v>70</v>
      </c>
      <c r="B45" s="12">
        <v>1.26498358516302</v>
      </c>
      <c r="C45">
        <f>$B45*C4/$B4</f>
        <v>1.3826639238805014</v>
      </c>
      <c r="D45">
        <f t="shared" ref="D45:AK46" si="19">$B45*D4/$B4</f>
        <v>1.5003442625979828</v>
      </c>
      <c r="E45">
        <f t="shared" si="19"/>
        <v>1.6180246013154642</v>
      </c>
      <c r="F45">
        <f t="shared" si="19"/>
        <v>1.7357049400329454</v>
      </c>
      <c r="G45">
        <f t="shared" si="19"/>
        <v>1.8495752255571478</v>
      </c>
      <c r="H45">
        <f t="shared" si="19"/>
        <v>1.96344551108135</v>
      </c>
      <c r="I45">
        <f t="shared" si="19"/>
        <v>2.0773157966055522</v>
      </c>
      <c r="J45">
        <f t="shared" si="19"/>
        <v>2.1911860821297542</v>
      </c>
      <c r="K45">
        <f t="shared" si="19"/>
        <v>2.3050563676539566</v>
      </c>
      <c r="L45">
        <f t="shared" si="19"/>
        <v>2.4116662817289303</v>
      </c>
      <c r="M45">
        <f t="shared" si="19"/>
        <v>2.5182761958039039</v>
      </c>
      <c r="N45">
        <f t="shared" si="19"/>
        <v>2.6248861098788776</v>
      </c>
      <c r="O45">
        <f t="shared" si="19"/>
        <v>2.7314960239538508</v>
      </c>
      <c r="P45">
        <f t="shared" si="19"/>
        <v>2.838105938028824</v>
      </c>
      <c r="Q45">
        <f t="shared" si="19"/>
        <v>2.9403161778323557</v>
      </c>
      <c r="R45">
        <f t="shared" si="19"/>
        <v>3.0425264176358868</v>
      </c>
      <c r="S45">
        <f t="shared" si="19"/>
        <v>3.1447366574394184</v>
      </c>
      <c r="T45">
        <f t="shared" si="19"/>
        <v>3.2469468972429496</v>
      </c>
      <c r="U45">
        <f t="shared" si="19"/>
        <v>3.3491571370464812</v>
      </c>
      <c r="V45">
        <f t="shared" si="19"/>
        <v>3.4510669118847765</v>
      </c>
      <c r="W45">
        <f t="shared" si="19"/>
        <v>3.5529766867230719</v>
      </c>
      <c r="X45">
        <f t="shared" si="19"/>
        <v>3.6548864615613672</v>
      </c>
      <c r="Y45">
        <f t="shared" si="19"/>
        <v>3.7567962363996625</v>
      </c>
      <c r="Z45">
        <f t="shared" si="19"/>
        <v>3.8587060112379579</v>
      </c>
      <c r="AA45">
        <f t="shared" si="19"/>
        <v>3.9613178177241966</v>
      </c>
      <c r="AB45">
        <f t="shared" si="19"/>
        <v>4.0639296242104352</v>
      </c>
      <c r="AC45">
        <f t="shared" si="19"/>
        <v>4.1665414306966735</v>
      </c>
      <c r="AD45">
        <f t="shared" si="19"/>
        <v>4.2691532371829126</v>
      </c>
      <c r="AE45">
        <f t="shared" si="19"/>
        <v>4.3717650436691509</v>
      </c>
      <c r="AF45">
        <f t="shared" si="19"/>
        <v>4.4743215728179875</v>
      </c>
      <c r="AG45">
        <f t="shared" si="19"/>
        <v>4.5768781019668232</v>
      </c>
      <c r="AH45">
        <f t="shared" si="19"/>
        <v>4.6794346311156589</v>
      </c>
      <c r="AI45">
        <f t="shared" si="19"/>
        <v>4.7819911602644956</v>
      </c>
      <c r="AJ45">
        <f t="shared" si="19"/>
        <v>4.8845476894133313</v>
      </c>
      <c r="AK45">
        <f t="shared" si="19"/>
        <v>4.9871042185621679</v>
      </c>
    </row>
    <row r="46" spans="1:46" ht="15.75" customHeight="1" x14ac:dyDescent="0.25">
      <c r="A46" s="10" t="s">
        <v>621</v>
      </c>
      <c r="B46" s="12">
        <v>8.0636331055946204</v>
      </c>
      <c r="C46">
        <f t="shared" ref="C46:R46" si="20">$B46*C5/$B5</f>
        <v>8.0721986287132417</v>
      </c>
      <c r="D46">
        <f t="shared" si="20"/>
        <v>8.0807641518318647</v>
      </c>
      <c r="E46">
        <f t="shared" si="20"/>
        <v>8.0893296749504877</v>
      </c>
      <c r="F46">
        <f t="shared" si="20"/>
        <v>8.097895198069109</v>
      </c>
      <c r="G46">
        <f t="shared" si="20"/>
        <v>8.1063045854485445</v>
      </c>
      <c r="H46">
        <f t="shared" si="20"/>
        <v>8.1147139728279782</v>
      </c>
      <c r="I46">
        <f t="shared" si="20"/>
        <v>8.123123360207412</v>
      </c>
      <c r="J46">
        <f t="shared" si="20"/>
        <v>8.1315327475868457</v>
      </c>
      <c r="K46">
        <f t="shared" si="20"/>
        <v>8.1399421349662795</v>
      </c>
      <c r="L46">
        <f t="shared" si="20"/>
        <v>8.1480063684716431</v>
      </c>
      <c r="M46">
        <f t="shared" si="20"/>
        <v>8.1560706019770066</v>
      </c>
      <c r="N46">
        <f t="shared" si="20"/>
        <v>8.1641348354823684</v>
      </c>
      <c r="O46">
        <f t="shared" si="20"/>
        <v>8.172199068987732</v>
      </c>
      <c r="P46">
        <f t="shared" si="20"/>
        <v>8.1802633024930937</v>
      </c>
      <c r="Q46">
        <f t="shared" si="20"/>
        <v>8.1879735666278002</v>
      </c>
      <c r="R46">
        <f t="shared" si="20"/>
        <v>8.1956838307625066</v>
      </c>
      <c r="S46">
        <f t="shared" si="19"/>
        <v>8.2033940948972113</v>
      </c>
      <c r="T46">
        <f t="shared" si="19"/>
        <v>8.2111043590319177</v>
      </c>
      <c r="U46">
        <f t="shared" si="19"/>
        <v>8.2188146231666241</v>
      </c>
      <c r="V46">
        <f t="shared" si="19"/>
        <v>8.2263291066770723</v>
      </c>
      <c r="W46">
        <f t="shared" si="19"/>
        <v>8.2338435901875204</v>
      </c>
      <c r="X46">
        <f t="shared" si="19"/>
        <v>8.2413580736979686</v>
      </c>
      <c r="Y46">
        <f t="shared" si="19"/>
        <v>8.2488725572084167</v>
      </c>
      <c r="Z46">
        <f t="shared" si="19"/>
        <v>8.2563870407188649</v>
      </c>
      <c r="AA46">
        <f t="shared" si="19"/>
        <v>8.2644441218171334</v>
      </c>
      <c r="AB46">
        <f t="shared" si="19"/>
        <v>8.2725012029154037</v>
      </c>
      <c r="AC46">
        <f t="shared" si="19"/>
        <v>8.280558284013674</v>
      </c>
      <c r="AD46">
        <f t="shared" si="19"/>
        <v>8.2886153651119425</v>
      </c>
      <c r="AE46">
        <f t="shared" si="19"/>
        <v>8.296672446210211</v>
      </c>
      <c r="AF46">
        <f t="shared" si="19"/>
        <v>8.3049113369252598</v>
      </c>
      <c r="AG46">
        <f t="shared" si="19"/>
        <v>8.3131502276403086</v>
      </c>
      <c r="AH46">
        <f t="shared" si="19"/>
        <v>8.3213891183553574</v>
      </c>
      <c r="AI46">
        <f t="shared" si="19"/>
        <v>8.3296280090704062</v>
      </c>
      <c r="AJ46">
        <f t="shared" si="19"/>
        <v>8.337866899785455</v>
      </c>
      <c r="AK46">
        <f t="shared" si="19"/>
        <v>8.3461057905005038</v>
      </c>
    </row>
    <row r="47" spans="1:46" ht="15.75" customHeight="1" x14ac:dyDescent="0.25">
      <c r="A47" s="10" t="s">
        <v>72</v>
      </c>
      <c r="B47" s="12">
        <v>4.4073032731200001E-2</v>
      </c>
      <c r="C47">
        <f>$B47*C7/$B7</f>
        <v>4.4092088412580152E-2</v>
      </c>
      <c r="D47">
        <f t="shared" ref="D47:AK47" si="21">$B47*D7/$B7</f>
        <v>4.4111144093960296E-2</v>
      </c>
      <c r="E47">
        <f t="shared" si="21"/>
        <v>4.413019977534044E-2</v>
      </c>
      <c r="F47">
        <f t="shared" si="21"/>
        <v>4.4149255456720583E-2</v>
      </c>
      <c r="G47">
        <f t="shared" si="21"/>
        <v>4.4170306362648626E-2</v>
      </c>
      <c r="H47">
        <f t="shared" si="21"/>
        <v>4.4191357268576661E-2</v>
      </c>
      <c r="I47">
        <f t="shared" si="21"/>
        <v>4.4212408174504711E-2</v>
      </c>
      <c r="J47">
        <f t="shared" si="21"/>
        <v>4.4233459080432747E-2</v>
      </c>
      <c r="K47">
        <f t="shared" si="21"/>
        <v>4.4254509986360782E-2</v>
      </c>
      <c r="L47">
        <f t="shared" si="21"/>
        <v>4.4277581301757664E-2</v>
      </c>
      <c r="M47">
        <f t="shared" si="21"/>
        <v>4.4300652617154532E-2</v>
      </c>
      <c r="N47">
        <f t="shared" si="21"/>
        <v>4.43237239325514E-2</v>
      </c>
      <c r="O47">
        <f t="shared" si="21"/>
        <v>4.4346795247948274E-2</v>
      </c>
      <c r="P47">
        <f t="shared" si="21"/>
        <v>4.4369866563345142E-2</v>
      </c>
      <c r="Q47">
        <f t="shared" si="21"/>
        <v>4.4394728382114196E-2</v>
      </c>
      <c r="R47">
        <f t="shared" si="21"/>
        <v>4.4419590200883256E-2</v>
      </c>
      <c r="S47">
        <f t="shared" si="21"/>
        <v>4.4444452019652303E-2</v>
      </c>
      <c r="T47">
        <f t="shared" si="21"/>
        <v>4.4469313838421363E-2</v>
      </c>
      <c r="U47">
        <f t="shared" si="21"/>
        <v>4.4494175657190424E-2</v>
      </c>
      <c r="V47">
        <f t="shared" si="21"/>
        <v>4.4521247894102597E-2</v>
      </c>
      <c r="W47">
        <f t="shared" si="21"/>
        <v>4.4548320131014785E-2</v>
      </c>
      <c r="X47">
        <f t="shared" si="21"/>
        <v>4.4575392367926972E-2</v>
      </c>
      <c r="Y47">
        <f t="shared" si="21"/>
        <v>4.4602464604839152E-2</v>
      </c>
      <c r="Z47">
        <f t="shared" si="21"/>
        <v>4.462953684175134E-2</v>
      </c>
      <c r="AA47">
        <f t="shared" si="21"/>
        <v>4.4660030768173146E-2</v>
      </c>
      <c r="AB47">
        <f t="shared" si="21"/>
        <v>4.4690524694594967E-2</v>
      </c>
      <c r="AC47">
        <f t="shared" si="21"/>
        <v>4.4721018621016788E-2</v>
      </c>
      <c r="AD47">
        <f t="shared" si="21"/>
        <v>4.4751512547438609E-2</v>
      </c>
      <c r="AE47">
        <f t="shared" si="21"/>
        <v>4.4782006473860429E-2</v>
      </c>
      <c r="AF47">
        <f t="shared" si="21"/>
        <v>4.4815766384026012E-2</v>
      </c>
      <c r="AG47">
        <f t="shared" si="21"/>
        <v>4.4849526294191609E-2</v>
      </c>
      <c r="AH47">
        <f t="shared" si="21"/>
        <v>4.4883286204357206E-2</v>
      </c>
      <c r="AI47">
        <f t="shared" si="21"/>
        <v>4.4917046114522789E-2</v>
      </c>
      <c r="AJ47">
        <f t="shared" si="21"/>
        <v>4.4950806024688386E-2</v>
      </c>
      <c r="AK47">
        <f t="shared" si="21"/>
        <v>4.4984565934853983E-2</v>
      </c>
    </row>
    <row r="48" spans="1:46" ht="15.75" customHeight="1" x14ac:dyDescent="0.25">
      <c r="A48" s="10" t="s">
        <v>71</v>
      </c>
      <c r="B48" s="12">
        <v>0.38891002188433998</v>
      </c>
      <c r="C48">
        <f>$B48*C6/$B6</f>
        <v>0.38911022087628133</v>
      </c>
      <c r="D48">
        <f t="shared" ref="D48:AK48" si="22">$B48*D6/$B6</f>
        <v>0.38931041986822268</v>
      </c>
      <c r="E48">
        <f t="shared" si="22"/>
        <v>0.38951061886016403</v>
      </c>
      <c r="F48">
        <f t="shared" si="22"/>
        <v>0.38971081785210543</v>
      </c>
      <c r="G48">
        <f t="shared" si="22"/>
        <v>0.38992166271580347</v>
      </c>
      <c r="H48">
        <f t="shared" si="22"/>
        <v>0.39013250757950146</v>
      </c>
      <c r="I48">
        <f t="shared" si="22"/>
        <v>0.39034335244319951</v>
      </c>
      <c r="J48">
        <f t="shared" si="22"/>
        <v>0.39055419730689761</v>
      </c>
      <c r="K48">
        <f t="shared" si="22"/>
        <v>0.39076504217059566</v>
      </c>
      <c r="L48">
        <f t="shared" si="22"/>
        <v>0.39096204574230403</v>
      </c>
      <c r="M48">
        <f t="shared" si="22"/>
        <v>0.39115904931401246</v>
      </c>
      <c r="N48">
        <f t="shared" si="22"/>
        <v>0.39135605288572084</v>
      </c>
      <c r="O48">
        <f t="shared" si="22"/>
        <v>0.39155305645742927</v>
      </c>
      <c r="P48">
        <f t="shared" si="22"/>
        <v>0.39175006002913765</v>
      </c>
      <c r="Q48">
        <f t="shared" si="22"/>
        <v>0.39192983605714438</v>
      </c>
      <c r="R48">
        <f t="shared" si="22"/>
        <v>0.3921096120851511</v>
      </c>
      <c r="S48">
        <f t="shared" si="22"/>
        <v>0.39228938811315772</v>
      </c>
      <c r="T48">
        <f t="shared" si="22"/>
        <v>0.39246916414116445</v>
      </c>
      <c r="U48">
        <f t="shared" si="22"/>
        <v>0.39264894016917112</v>
      </c>
      <c r="V48">
        <f t="shared" si="22"/>
        <v>0.39282928066166428</v>
      </c>
      <c r="W48">
        <f t="shared" si="22"/>
        <v>0.39300962115415738</v>
      </c>
      <c r="X48">
        <f t="shared" si="22"/>
        <v>0.39318996164665054</v>
      </c>
      <c r="Y48">
        <f t="shared" si="22"/>
        <v>0.39337030213914365</v>
      </c>
      <c r="Z48">
        <f t="shared" si="22"/>
        <v>0.3935506426316368</v>
      </c>
      <c r="AA48">
        <f t="shared" si="22"/>
        <v>0.393747997541946</v>
      </c>
      <c r="AB48">
        <f t="shared" si="22"/>
        <v>0.3939453524522552</v>
      </c>
      <c r="AC48">
        <f t="shared" si="22"/>
        <v>0.39414270736256446</v>
      </c>
      <c r="AD48">
        <f t="shared" si="22"/>
        <v>0.3943400622728736</v>
      </c>
      <c r="AE48">
        <f t="shared" si="22"/>
        <v>0.3945374171831828</v>
      </c>
      <c r="AF48">
        <f t="shared" si="22"/>
        <v>0.39475516697631025</v>
      </c>
      <c r="AG48">
        <f t="shared" si="22"/>
        <v>0.39497291676943769</v>
      </c>
      <c r="AH48">
        <f t="shared" si="22"/>
        <v>0.39519066656256513</v>
      </c>
      <c r="AI48">
        <f t="shared" si="22"/>
        <v>0.39540841635569257</v>
      </c>
      <c r="AJ48">
        <f t="shared" si="22"/>
        <v>0.39562616614882007</v>
      </c>
      <c r="AK48">
        <f t="shared" si="22"/>
        <v>0.39584391594194751</v>
      </c>
    </row>
    <row r="49" spans="1:37" ht="15.75" customHeight="1" x14ac:dyDescent="0.25">
      <c r="A49" s="10" t="s">
        <v>622</v>
      </c>
      <c r="B49" s="12">
        <v>2.3962946603245801</v>
      </c>
      <c r="C49">
        <f>$B$49*(SUM(C45:C48)/SUM($B$45:$B$48))</f>
        <v>2.4273395393724533</v>
      </c>
      <c r="D49">
        <f t="shared" ref="D49:AK49" si="23">$B$49*(SUM(D45:D48)/SUM($B$45:$B$48))</f>
        <v>2.4583844184203265</v>
      </c>
      <c r="E49">
        <f t="shared" si="23"/>
        <v>2.4894292974682002</v>
      </c>
      <c r="F49">
        <f t="shared" si="23"/>
        <v>2.520474176516073</v>
      </c>
      <c r="G49">
        <f t="shared" si="23"/>
        <v>2.5505485316932437</v>
      </c>
      <c r="H49">
        <f t="shared" si="23"/>
        <v>2.580622886870414</v>
      </c>
      <c r="I49">
        <f t="shared" si="23"/>
        <v>2.6106972420475838</v>
      </c>
      <c r="J49">
        <f t="shared" si="23"/>
        <v>2.6407715972247541</v>
      </c>
      <c r="K49">
        <f t="shared" si="23"/>
        <v>2.6708459524019248</v>
      </c>
      <c r="L49">
        <f t="shared" si="23"/>
        <v>2.6990503880459253</v>
      </c>
      <c r="M49">
        <f t="shared" si="23"/>
        <v>2.7272548236899259</v>
      </c>
      <c r="N49">
        <f t="shared" si="23"/>
        <v>2.7554592593339273</v>
      </c>
      <c r="O49">
        <f t="shared" si="23"/>
        <v>2.7836636949779283</v>
      </c>
      <c r="P49">
        <f t="shared" si="23"/>
        <v>2.8118681306219289</v>
      </c>
      <c r="Q49">
        <f t="shared" si="23"/>
        <v>2.8389018439589258</v>
      </c>
      <c r="R49">
        <f t="shared" si="23"/>
        <v>2.8659355572959222</v>
      </c>
      <c r="S49">
        <f t="shared" si="23"/>
        <v>2.8929692706329182</v>
      </c>
      <c r="T49">
        <f t="shared" si="23"/>
        <v>2.9200029839699142</v>
      </c>
      <c r="U49">
        <f t="shared" si="23"/>
        <v>2.9470366973069106</v>
      </c>
      <c r="V49">
        <f t="shared" si="23"/>
        <v>2.9739492725875705</v>
      </c>
      <c r="W49">
        <f t="shared" si="23"/>
        <v>3.0008618478682307</v>
      </c>
      <c r="X49">
        <f t="shared" si="23"/>
        <v>3.0277744231488906</v>
      </c>
      <c r="Y49">
        <f t="shared" si="23"/>
        <v>3.0546869984295513</v>
      </c>
      <c r="Z49">
        <f t="shared" si="23"/>
        <v>3.0815995737102115</v>
      </c>
      <c r="AA49">
        <f t="shared" si="23"/>
        <v>3.1088226994544921</v>
      </c>
      <c r="AB49">
        <f t="shared" si="23"/>
        <v>3.1360458251987731</v>
      </c>
      <c r="AC49">
        <f t="shared" si="23"/>
        <v>3.1632689509430549</v>
      </c>
      <c r="AD49">
        <f t="shared" si="23"/>
        <v>3.1904920766873364</v>
      </c>
      <c r="AE49">
        <f t="shared" si="23"/>
        <v>3.2177152024316173</v>
      </c>
      <c r="AF49">
        <f t="shared" si="23"/>
        <v>3.2449751978533095</v>
      </c>
      <c r="AG49">
        <f t="shared" si="23"/>
        <v>3.2722351932750025</v>
      </c>
      <c r="AH49">
        <f t="shared" si="23"/>
        <v>3.299495188696695</v>
      </c>
      <c r="AI49">
        <f t="shared" si="23"/>
        <v>3.3267551841183876</v>
      </c>
      <c r="AJ49">
        <f t="shared" si="23"/>
        <v>3.3540151795400797</v>
      </c>
      <c r="AK49">
        <f t="shared" si="23"/>
        <v>3.3812751749617727</v>
      </c>
    </row>
    <row r="50" spans="1:37" ht="15.75" customHeight="1" x14ac:dyDescent="0.25">
      <c r="A50" s="10" t="s">
        <v>425</v>
      </c>
      <c r="B50" s="12">
        <v>3.8272274479596602</v>
      </c>
      <c r="C50">
        <f>$B$50*SUM(C45:C48)/SUM($B$45:$B$48)</f>
        <v>3.876810587787094</v>
      </c>
      <c r="D50">
        <f t="shared" ref="D50:AK50" si="24">$B$50*SUM(D45:D48)/SUM($B$45:$B$48)</f>
        <v>3.9263937276145291</v>
      </c>
      <c r="E50">
        <f t="shared" si="24"/>
        <v>3.9759768674419647</v>
      </c>
      <c r="F50">
        <f t="shared" si="24"/>
        <v>4.025560007269398</v>
      </c>
      <c r="G50">
        <f t="shared" si="24"/>
        <v>4.0735930807972442</v>
      </c>
      <c r="H50">
        <f t="shared" si="24"/>
        <v>4.1216261543250887</v>
      </c>
      <c r="I50">
        <f t="shared" si="24"/>
        <v>4.1696592278529341</v>
      </c>
      <c r="J50">
        <f t="shared" si="24"/>
        <v>4.2176923013807786</v>
      </c>
      <c r="K50">
        <f t="shared" si="24"/>
        <v>4.2657253749086248</v>
      </c>
      <c r="L50">
        <f t="shared" si="24"/>
        <v>4.3107719178226382</v>
      </c>
      <c r="M50">
        <f t="shared" si="24"/>
        <v>4.3558184607366517</v>
      </c>
      <c r="N50">
        <f t="shared" si="24"/>
        <v>4.4008650036506651</v>
      </c>
      <c r="O50">
        <f t="shared" si="24"/>
        <v>4.4459115465646777</v>
      </c>
      <c r="P50">
        <f t="shared" si="24"/>
        <v>4.4909580894786911</v>
      </c>
      <c r="Q50">
        <f t="shared" si="24"/>
        <v>4.5341348203777256</v>
      </c>
      <c r="R50">
        <f t="shared" si="24"/>
        <v>4.5773115512767593</v>
      </c>
      <c r="S50">
        <f t="shared" si="24"/>
        <v>4.620488282175792</v>
      </c>
      <c r="T50">
        <f t="shared" si="24"/>
        <v>4.6636650130748256</v>
      </c>
      <c r="U50">
        <f t="shared" si="24"/>
        <v>4.7068417439738583</v>
      </c>
      <c r="V50">
        <f t="shared" si="24"/>
        <v>4.7498249999626996</v>
      </c>
      <c r="W50">
        <f t="shared" si="24"/>
        <v>4.7928082559515399</v>
      </c>
      <c r="X50">
        <f t="shared" si="24"/>
        <v>4.8357915119403803</v>
      </c>
      <c r="Y50">
        <f t="shared" si="24"/>
        <v>4.8787747679292206</v>
      </c>
      <c r="Z50">
        <f t="shared" si="24"/>
        <v>4.9217580239180618</v>
      </c>
      <c r="AA50">
        <f t="shared" si="24"/>
        <v>4.9652372736918178</v>
      </c>
      <c r="AB50">
        <f t="shared" si="24"/>
        <v>5.0087165234655728</v>
      </c>
      <c r="AC50">
        <f t="shared" si="24"/>
        <v>5.0521957732393297</v>
      </c>
      <c r="AD50">
        <f t="shared" si="24"/>
        <v>5.0956750230130865</v>
      </c>
      <c r="AE50">
        <f t="shared" si="24"/>
        <v>5.1391542727868416</v>
      </c>
      <c r="AF50">
        <f t="shared" si="24"/>
        <v>5.1826924087417181</v>
      </c>
      <c r="AG50">
        <f t="shared" si="24"/>
        <v>5.2262305446965946</v>
      </c>
      <c r="AH50">
        <f t="shared" si="24"/>
        <v>5.2697686806514721</v>
      </c>
      <c r="AI50">
        <f t="shared" si="24"/>
        <v>5.3133068166063486</v>
      </c>
      <c r="AJ50">
        <f t="shared" si="24"/>
        <v>5.3568449525612252</v>
      </c>
      <c r="AK50">
        <f t="shared" si="24"/>
        <v>5.4003830885161017</v>
      </c>
    </row>
    <row r="51" spans="1:37" ht="15.75" customHeight="1" x14ac:dyDescent="0.25"/>
    <row r="52" spans="1:37" x14ac:dyDescent="0.25">
      <c r="A52" t="s">
        <v>102</v>
      </c>
      <c r="B52" s="1">
        <f>SUM(B45:B49)</f>
        <v>12.15789440569776</v>
      </c>
      <c r="C52" s="1">
        <f t="shared" ref="C52:AK52" si="25">SUM(C45:C49)</f>
        <v>12.315404401255059</v>
      </c>
      <c r="D52" s="1">
        <f t="shared" si="25"/>
        <v>12.472914396812357</v>
      </c>
      <c r="E52" s="1">
        <f t="shared" si="25"/>
        <v>12.630424392369658</v>
      </c>
      <c r="F52" s="1">
        <f t="shared" si="25"/>
        <v>12.787934387926953</v>
      </c>
      <c r="G52" s="1">
        <f t="shared" si="25"/>
        <v>12.940520311777387</v>
      </c>
      <c r="H52" s="1">
        <f t="shared" si="25"/>
        <v>13.09310623562782</v>
      </c>
      <c r="I52" s="1">
        <f t="shared" si="25"/>
        <v>13.245692159478251</v>
      </c>
      <c r="J52" s="1">
        <f t="shared" si="25"/>
        <v>13.398278083328684</v>
      </c>
      <c r="K52" s="1">
        <f t="shared" si="25"/>
        <v>13.550864007179118</v>
      </c>
      <c r="L52" s="1">
        <f t="shared" si="25"/>
        <v>13.693962665290561</v>
      </c>
      <c r="M52" s="1">
        <f t="shared" si="25"/>
        <v>13.837061323402002</v>
      </c>
      <c r="N52" s="1">
        <f t="shared" si="25"/>
        <v>13.980159981513445</v>
      </c>
      <c r="O52" s="1">
        <f t="shared" si="25"/>
        <v>14.123258639624888</v>
      </c>
      <c r="P52" s="1">
        <f t="shared" si="25"/>
        <v>14.266357297736327</v>
      </c>
      <c r="Q52" s="1">
        <f t="shared" si="25"/>
        <v>14.403516152858341</v>
      </c>
      <c r="R52" s="1">
        <f t="shared" si="25"/>
        <v>14.540675007980351</v>
      </c>
      <c r="S52" s="1">
        <f t="shared" si="25"/>
        <v>14.677833863102357</v>
      </c>
      <c r="T52" s="1">
        <f t="shared" si="25"/>
        <v>14.814992718224367</v>
      </c>
      <c r="U52" s="1">
        <f t="shared" si="25"/>
        <v>14.952151573346377</v>
      </c>
      <c r="V52" s="1">
        <f t="shared" si="25"/>
        <v>15.088695819705187</v>
      </c>
      <c r="W52" s="1">
        <f t="shared" si="25"/>
        <v>15.225240066063995</v>
      </c>
      <c r="X52" s="1">
        <f t="shared" si="25"/>
        <v>15.361784312422802</v>
      </c>
      <c r="Y52" s="1">
        <f t="shared" si="25"/>
        <v>15.498328558781612</v>
      </c>
      <c r="Z52" s="1">
        <f t="shared" si="25"/>
        <v>15.634872805140422</v>
      </c>
      <c r="AA52" s="1">
        <f t="shared" si="25"/>
        <v>15.772992667305941</v>
      </c>
      <c r="AB52" s="1">
        <f t="shared" si="25"/>
        <v>15.91111252947146</v>
      </c>
      <c r="AC52" s="1">
        <f t="shared" si="25"/>
        <v>16.049232391636984</v>
      </c>
      <c r="AD52" s="1">
        <f t="shared" si="25"/>
        <v>16.187352253802501</v>
      </c>
      <c r="AE52" s="1">
        <f t="shared" si="25"/>
        <v>16.325472115968022</v>
      </c>
      <c r="AF52" s="1">
        <f t="shared" si="25"/>
        <v>16.463779040956894</v>
      </c>
      <c r="AG52" s="1">
        <f t="shared" si="25"/>
        <v>16.602085965945765</v>
      </c>
      <c r="AH52" s="1">
        <f t="shared" si="25"/>
        <v>16.740392890934633</v>
      </c>
      <c r="AI52" s="1">
        <f t="shared" si="25"/>
        <v>16.878699815923504</v>
      </c>
      <c r="AJ52" s="1">
        <f t="shared" si="25"/>
        <v>17.017006740912375</v>
      </c>
      <c r="AK52" s="1">
        <f t="shared" si="25"/>
        <v>17.155313665901247</v>
      </c>
    </row>
    <row r="53" spans="1:37" ht="15.75" customHeight="1" x14ac:dyDescent="0.25">
      <c r="A53" s="10"/>
      <c r="G53" s="10"/>
    </row>
    <row r="54" spans="1:37" ht="15.75" customHeight="1" x14ac:dyDescent="0.25">
      <c r="A54" s="10"/>
      <c r="G54" s="10"/>
    </row>
  </sheetData>
  <dataValidations count="1">
    <dataValidation allowBlank="1" showInputMessage="1" showErrorMessage="1" sqref="B50:B51"/>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3"/>
  <sheetViews>
    <sheetView workbookViewId="0">
      <selection activeCell="C33" sqref="C33"/>
    </sheetView>
  </sheetViews>
  <sheetFormatPr defaultColWidth="8.85546875" defaultRowHeight="15" x14ac:dyDescent="0.25"/>
  <cols>
    <col min="1" max="1" width="28.42578125" customWidth="1"/>
  </cols>
  <sheetData>
    <row r="1" spans="1:37" x14ac:dyDescent="0.25">
      <c r="A1" s="6" t="s">
        <v>67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x14ac:dyDescent="0.25">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x14ac:dyDescent="0.25">
      <c r="A3" t="s">
        <v>57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T105"/>
  <sheetViews>
    <sheetView topLeftCell="A82" zoomScale="85" zoomScaleNormal="85" zoomScalePageLayoutView="85" workbookViewId="0">
      <selection activeCell="B95" sqref="B95"/>
    </sheetView>
  </sheetViews>
  <sheetFormatPr defaultColWidth="8.85546875" defaultRowHeight="15" x14ac:dyDescent="0.25"/>
  <cols>
    <col min="1" max="1" width="56.140625" style="8" customWidth="1"/>
    <col min="2" max="2" width="20.85546875" bestFit="1" customWidth="1"/>
    <col min="4" max="4" width="11.7109375" bestFit="1" customWidth="1"/>
  </cols>
  <sheetData>
    <row r="1" spans="1:46" x14ac:dyDescent="0.25">
      <c r="A1" s="19" t="s">
        <v>80</v>
      </c>
      <c r="B1" s="17"/>
      <c r="C1" s="17"/>
      <c r="D1" s="17"/>
      <c r="E1" s="17"/>
      <c r="F1" s="17"/>
      <c r="G1" s="17"/>
      <c r="H1" s="17"/>
      <c r="I1" s="17"/>
      <c r="J1" s="17"/>
      <c r="K1" s="17"/>
      <c r="L1" s="17"/>
      <c r="M1" s="17"/>
      <c r="N1" s="17"/>
      <c r="O1" s="17"/>
      <c r="P1" s="17"/>
      <c r="Q1" s="17"/>
    </row>
    <row r="2" spans="1:46" x14ac:dyDescent="0.25">
      <c r="A2" s="18" t="s">
        <v>82</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row>
    <row r="3" spans="1:46" x14ac:dyDescent="0.25">
      <c r="B3">
        <v>2011</v>
      </c>
      <c r="C3">
        <v>2012</v>
      </c>
      <c r="D3">
        <v>2013</v>
      </c>
      <c r="E3">
        <v>2014</v>
      </c>
      <c r="F3">
        <v>2015</v>
      </c>
    </row>
    <row r="4" spans="1:46" x14ac:dyDescent="0.25">
      <c r="A4" s="8" t="s">
        <v>421</v>
      </c>
      <c r="B4">
        <v>2296.6999999999998</v>
      </c>
      <c r="C4">
        <v>2479.1</v>
      </c>
      <c r="D4">
        <v>2457.4</v>
      </c>
      <c r="E4">
        <v>2574</v>
      </c>
      <c r="F4">
        <v>2538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6" x14ac:dyDescent="0.25">
      <c r="A5" s="89" t="s">
        <v>420</v>
      </c>
    </row>
    <row r="6" spans="1:46" x14ac:dyDescent="0.25">
      <c r="A6" s="89"/>
    </row>
    <row r="7" spans="1:46" x14ac:dyDescent="0.25">
      <c r="A7" s="18" t="s">
        <v>423</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row>
    <row r="8" spans="1:46" x14ac:dyDescent="0.25">
      <c r="B8">
        <v>2015</v>
      </c>
      <c r="C8">
        <v>2030</v>
      </c>
    </row>
    <row r="9" spans="1:46" x14ac:dyDescent="0.25">
      <c r="A9" s="8" t="s">
        <v>422</v>
      </c>
      <c r="B9">
        <v>21.2</v>
      </c>
      <c r="C9">
        <v>28.1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6" x14ac:dyDescent="0.25">
      <c r="A10" s="89"/>
    </row>
    <row r="11" spans="1:46" x14ac:dyDescent="0.25">
      <c r="A11" s="18" t="s">
        <v>426</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row>
    <row r="12" spans="1:46" x14ac:dyDescent="0.25">
      <c r="B12">
        <v>2015</v>
      </c>
      <c r="C12">
        <v>2016</v>
      </c>
      <c r="D12">
        <v>2017</v>
      </c>
      <c r="E12">
        <v>2018</v>
      </c>
      <c r="F12">
        <v>2019</v>
      </c>
      <c r="G12">
        <v>2020</v>
      </c>
      <c r="H12">
        <v>2021</v>
      </c>
      <c r="I12">
        <v>2022</v>
      </c>
      <c r="J12">
        <v>2023</v>
      </c>
      <c r="K12">
        <v>2024</v>
      </c>
      <c r="L12">
        <v>2025</v>
      </c>
      <c r="M12">
        <v>2026</v>
      </c>
      <c r="N12">
        <v>2027</v>
      </c>
      <c r="O12">
        <v>2028</v>
      </c>
      <c r="P12">
        <v>2029</v>
      </c>
      <c r="Q12">
        <v>2030</v>
      </c>
      <c r="R12">
        <v>2031</v>
      </c>
      <c r="S12">
        <v>2032</v>
      </c>
      <c r="T12">
        <v>2033</v>
      </c>
      <c r="U12">
        <v>2034</v>
      </c>
      <c r="V12">
        <v>2035</v>
      </c>
      <c r="W12">
        <v>2036</v>
      </c>
      <c r="X12">
        <v>2037</v>
      </c>
      <c r="Y12">
        <v>2038</v>
      </c>
      <c r="Z12">
        <v>2039</v>
      </c>
      <c r="AA12">
        <v>2040</v>
      </c>
      <c r="AB12">
        <v>2041</v>
      </c>
      <c r="AC12">
        <v>2042</v>
      </c>
      <c r="AD12">
        <v>2043</v>
      </c>
      <c r="AE12">
        <v>2044</v>
      </c>
      <c r="AF12">
        <v>2045</v>
      </c>
      <c r="AG12">
        <v>2046</v>
      </c>
      <c r="AH12">
        <v>2047</v>
      </c>
      <c r="AI12">
        <v>2048</v>
      </c>
      <c r="AJ12">
        <v>2049</v>
      </c>
      <c r="AK12">
        <v>2050</v>
      </c>
    </row>
    <row r="13" spans="1:46" x14ac:dyDescent="0.25">
      <c r="A13" s="8" t="s">
        <v>422</v>
      </c>
      <c r="B13">
        <f>TREND($B$9:$C$9,$B$8:$C$8,B12)/$B$9*$F$4</f>
        <v>2538.0000000000055</v>
      </c>
      <c r="C13">
        <f t="shared" ref="C13:E13" si="0">TREND($B$9:$C$9,$B$8:$C$8,C12)/$B$9*$F$4</f>
        <v>2593.0698113207513</v>
      </c>
      <c r="D13">
        <f t="shared" si="0"/>
        <v>2648.1396226415104</v>
      </c>
      <c r="E13">
        <f t="shared" si="0"/>
        <v>2703.2094339622695</v>
      </c>
      <c r="F13">
        <f t="shared" ref="F13" si="1">TREND($B$9:$C$9,$B$8:$C$8,F12)/$B$9*$F$4</f>
        <v>2758.2792452830149</v>
      </c>
      <c r="G13">
        <f t="shared" ref="G13:H13" si="2">TREND($B$9:$C$9,$B$8:$C$8,G12)/$B$9*$F$4</f>
        <v>2813.349056603774</v>
      </c>
      <c r="H13">
        <f t="shared" si="2"/>
        <v>2868.4188679245331</v>
      </c>
      <c r="I13">
        <f t="shared" ref="I13" si="3">TREND($B$9:$C$9,$B$8:$C$8,I12)/$B$9*$F$4</f>
        <v>2923.488679245278</v>
      </c>
      <c r="J13">
        <f t="shared" ref="J13:K13" si="4">TREND($B$9:$C$9,$B$8:$C$8,J12)/$B$9*$F$4</f>
        <v>2978.5584905660371</v>
      </c>
      <c r="K13">
        <f t="shared" si="4"/>
        <v>3033.6283018867962</v>
      </c>
      <c r="L13">
        <f t="shared" ref="L13" si="5">TREND($B$9:$C$9,$B$8:$C$8,L12)/$B$9*$F$4</f>
        <v>3088.6981132075416</v>
      </c>
      <c r="M13">
        <f t="shared" ref="M13:N13" si="6">TREND($B$9:$C$9,$B$8:$C$8,M12)/$B$9*$F$4</f>
        <v>3143.7679245283007</v>
      </c>
      <c r="N13">
        <f t="shared" si="6"/>
        <v>3198.8377358490598</v>
      </c>
      <c r="O13">
        <f t="shared" ref="O13" si="7">TREND($B$9:$C$9,$B$8:$C$8,O12)/$B$9*$F$4</f>
        <v>3253.9075471698052</v>
      </c>
      <c r="P13">
        <f t="shared" ref="P13:Q13" si="8">TREND($B$9:$C$9,$B$8:$C$8,P12)/$B$9*$F$4</f>
        <v>3308.9773584905643</v>
      </c>
      <c r="Q13">
        <f t="shared" si="8"/>
        <v>3364.0471698113233</v>
      </c>
      <c r="R13">
        <f t="shared" ref="R13" si="9">TREND($B$9:$C$9,$B$8:$C$8,R12)/$B$9*$F$4</f>
        <v>3419.1169811320692</v>
      </c>
      <c r="S13">
        <f t="shared" ref="S13:T13" si="10">TREND($B$9:$C$9,$B$8:$C$8,S12)/$B$9*$F$4</f>
        <v>3474.1867924528283</v>
      </c>
      <c r="T13">
        <f t="shared" si="10"/>
        <v>3529.2566037735874</v>
      </c>
      <c r="U13">
        <f t="shared" ref="U13" si="11">TREND($B$9:$C$9,$B$8:$C$8,U12)/$B$9*$F$4</f>
        <v>3584.3264150943328</v>
      </c>
      <c r="V13">
        <f t="shared" ref="V13:W13" si="12">TREND($B$9:$C$9,$B$8:$C$8,V12)/$B$9*$F$4</f>
        <v>3639.3962264150919</v>
      </c>
      <c r="W13">
        <f t="shared" si="12"/>
        <v>3694.4660377358509</v>
      </c>
      <c r="X13">
        <f t="shared" ref="X13" si="13">TREND($B$9:$C$9,$B$8:$C$8,X12)/$B$9*$F$4</f>
        <v>3749.53584905661</v>
      </c>
      <c r="Y13">
        <f t="shared" ref="Y13:Z13" si="14">TREND($B$9:$C$9,$B$8:$C$8,Y12)/$B$9*$F$4</f>
        <v>3804.6056603773554</v>
      </c>
      <c r="Z13">
        <f t="shared" si="14"/>
        <v>3859.6754716981145</v>
      </c>
      <c r="AA13">
        <f t="shared" ref="AA13" si="15">TREND($B$9:$C$9,$B$8:$C$8,AA12)/$B$9*$F$4</f>
        <v>3914.7452830188736</v>
      </c>
      <c r="AB13">
        <f t="shared" ref="AB13:AC13" si="16">TREND($B$9:$C$9,$B$8:$C$8,AB12)/$B$9*$F$4</f>
        <v>3969.815094339619</v>
      </c>
      <c r="AC13">
        <f t="shared" si="16"/>
        <v>4024.8849056603781</v>
      </c>
      <c r="AD13">
        <f t="shared" ref="AD13" si="17">TREND($B$9:$C$9,$B$8:$C$8,AD12)/$B$9*$F$4</f>
        <v>4079.9547169811372</v>
      </c>
      <c r="AE13">
        <f t="shared" ref="AE13:AF13" si="18">TREND($B$9:$C$9,$B$8:$C$8,AE12)/$B$9*$F$4</f>
        <v>4135.0245283018821</v>
      </c>
      <c r="AF13">
        <f t="shared" si="18"/>
        <v>4190.0943396226412</v>
      </c>
      <c r="AG13">
        <f t="shared" ref="AG13" si="19">TREND($B$9:$C$9,$B$8:$C$8,AG12)/$B$9*$F$4</f>
        <v>4245.1641509434003</v>
      </c>
      <c r="AH13">
        <f t="shared" ref="AH13:AI13" si="20">TREND($B$9:$C$9,$B$8:$C$8,AH12)/$B$9*$F$4</f>
        <v>4300.2339622641457</v>
      </c>
      <c r="AI13">
        <f t="shared" si="20"/>
        <v>4355.3037735849048</v>
      </c>
      <c r="AJ13">
        <f t="shared" ref="AJ13" si="21">TREND($B$9:$C$9,$B$8:$C$8,AJ12)/$B$9*$F$4</f>
        <v>4410.3735849056638</v>
      </c>
      <c r="AK13">
        <f t="shared" ref="AK13" si="22">TREND($B$9:$C$9,$B$8:$C$8,AK12)/$B$9*$F$4</f>
        <v>4465.4433962264102</v>
      </c>
      <c r="AL13" s="1"/>
      <c r="AM13" s="1"/>
      <c r="AN13" s="1"/>
      <c r="AO13" s="1"/>
    </row>
    <row r="14" spans="1:46" x14ac:dyDescent="0.25">
      <c r="A14" s="89"/>
    </row>
    <row r="15" spans="1:46" x14ac:dyDescent="0.25">
      <c r="A15" s="18" t="s">
        <v>90</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row>
    <row r="16" spans="1:46" x14ac:dyDescent="0.25">
      <c r="B16">
        <v>2015</v>
      </c>
      <c r="C16">
        <v>2016</v>
      </c>
      <c r="D16">
        <v>2017</v>
      </c>
      <c r="E16">
        <v>2018</v>
      </c>
      <c r="F16">
        <v>2019</v>
      </c>
      <c r="G16">
        <v>2020</v>
      </c>
      <c r="H16">
        <v>2021</v>
      </c>
      <c r="I16">
        <v>2022</v>
      </c>
      <c r="J16">
        <v>2023</v>
      </c>
      <c r="K16">
        <v>2024</v>
      </c>
      <c r="L16">
        <v>2025</v>
      </c>
      <c r="M16">
        <v>2026</v>
      </c>
      <c r="N16">
        <v>2027</v>
      </c>
      <c r="O16">
        <v>2028</v>
      </c>
      <c r="P16">
        <v>2029</v>
      </c>
      <c r="Q16">
        <v>2030</v>
      </c>
      <c r="R16">
        <v>2031</v>
      </c>
      <c r="S16">
        <v>2032</v>
      </c>
      <c r="T16">
        <v>2033</v>
      </c>
      <c r="U16">
        <v>2034</v>
      </c>
      <c r="V16">
        <v>2035</v>
      </c>
      <c r="W16">
        <v>2036</v>
      </c>
      <c r="X16">
        <v>2037</v>
      </c>
      <c r="Y16">
        <v>2038</v>
      </c>
      <c r="Z16">
        <v>2039</v>
      </c>
      <c r="AA16">
        <v>2040</v>
      </c>
      <c r="AB16">
        <v>2041</v>
      </c>
      <c r="AC16">
        <v>2042</v>
      </c>
      <c r="AD16">
        <v>2043</v>
      </c>
      <c r="AE16">
        <v>2044</v>
      </c>
      <c r="AF16">
        <v>2045</v>
      </c>
      <c r="AG16">
        <v>2046</v>
      </c>
      <c r="AH16">
        <v>2047</v>
      </c>
      <c r="AI16">
        <v>2048</v>
      </c>
      <c r="AJ16">
        <v>2049</v>
      </c>
      <c r="AK16">
        <v>2050</v>
      </c>
    </row>
    <row r="17" spans="1:46" x14ac:dyDescent="0.25">
      <c r="A17" s="8" t="s">
        <v>424</v>
      </c>
      <c r="B17" s="21">
        <f>B13*0.01*44/28</f>
        <v>39.882857142857233</v>
      </c>
      <c r="C17" s="21">
        <f t="shared" ref="C17:AK17" si="23">C13*0.01*44/28</f>
        <v>40.748239892183229</v>
      </c>
      <c r="D17" s="21">
        <f t="shared" si="23"/>
        <v>41.613622641509444</v>
      </c>
      <c r="E17" s="21">
        <f t="shared" si="23"/>
        <v>42.47900539083566</v>
      </c>
      <c r="F17" s="21">
        <f t="shared" si="23"/>
        <v>43.344388140161655</v>
      </c>
      <c r="G17" s="21">
        <f t="shared" si="23"/>
        <v>44.209770889487871</v>
      </c>
      <c r="H17" s="21">
        <f t="shared" si="23"/>
        <v>45.075153638814086</v>
      </c>
      <c r="I17" s="21">
        <f t="shared" si="23"/>
        <v>45.940536388140082</v>
      </c>
      <c r="J17" s="21">
        <f t="shared" si="23"/>
        <v>46.805919137466297</v>
      </c>
      <c r="K17" s="21">
        <f t="shared" si="23"/>
        <v>47.671301886792513</v>
      </c>
      <c r="L17" s="21">
        <f t="shared" si="23"/>
        <v>48.536684636118515</v>
      </c>
      <c r="M17" s="21">
        <f t="shared" si="23"/>
        <v>49.402067385444731</v>
      </c>
      <c r="N17" s="21">
        <f t="shared" si="23"/>
        <v>50.267450134770947</v>
      </c>
      <c r="O17" s="21">
        <f t="shared" si="23"/>
        <v>51.132832884096942</v>
      </c>
      <c r="P17" s="21">
        <f t="shared" si="23"/>
        <v>51.998215633423158</v>
      </c>
      <c r="Q17" s="21">
        <f t="shared" si="23"/>
        <v>52.863598382749366</v>
      </c>
      <c r="R17" s="21">
        <f t="shared" si="23"/>
        <v>53.728981132075369</v>
      </c>
      <c r="S17" s="21">
        <f t="shared" si="23"/>
        <v>54.594363881401591</v>
      </c>
      <c r="T17" s="21">
        <f t="shared" si="23"/>
        <v>55.4597466307278</v>
      </c>
      <c r="U17" s="21">
        <f t="shared" si="23"/>
        <v>56.325129380053795</v>
      </c>
      <c r="V17" s="21">
        <f t="shared" si="23"/>
        <v>57.190512129380018</v>
      </c>
      <c r="W17" s="21">
        <f t="shared" si="23"/>
        <v>58.055894878706226</v>
      </c>
      <c r="X17" s="21">
        <f t="shared" si="23"/>
        <v>58.921277628032442</v>
      </c>
      <c r="Y17" s="21">
        <f t="shared" si="23"/>
        <v>59.786660377358444</v>
      </c>
      <c r="Z17" s="21">
        <f t="shared" si="23"/>
        <v>60.652043126684653</v>
      </c>
      <c r="AA17" s="21">
        <f t="shared" si="23"/>
        <v>61.517425876010869</v>
      </c>
      <c r="AB17" s="21">
        <f t="shared" si="23"/>
        <v>62.382808625336871</v>
      </c>
      <c r="AC17" s="21">
        <f t="shared" si="23"/>
        <v>63.24819137466308</v>
      </c>
      <c r="AD17" s="21">
        <f t="shared" si="23"/>
        <v>64.113574123989295</v>
      </c>
      <c r="AE17" s="21">
        <f t="shared" si="23"/>
        <v>64.978956873315298</v>
      </c>
      <c r="AF17" s="21">
        <f t="shared" si="23"/>
        <v>65.844339622641499</v>
      </c>
      <c r="AG17" s="21">
        <f t="shared" si="23"/>
        <v>66.709722371967729</v>
      </c>
      <c r="AH17" s="21">
        <f t="shared" si="23"/>
        <v>67.575105121293717</v>
      </c>
      <c r="AI17" s="21">
        <f t="shared" si="23"/>
        <v>68.440487870619933</v>
      </c>
      <c r="AJ17" s="21">
        <f t="shared" si="23"/>
        <v>69.305870619946148</v>
      </c>
      <c r="AK17" s="21">
        <f t="shared" si="23"/>
        <v>70.171253369272151</v>
      </c>
    </row>
    <row r="18" spans="1:46" x14ac:dyDescent="0.25">
      <c r="A18" s="8" t="s">
        <v>425</v>
      </c>
      <c r="B18" s="21">
        <f>((B13*0.1*0.01)+(B13*0.3*0.0075))*44/28</f>
        <v>12.961928571428599</v>
      </c>
      <c r="C18" s="21">
        <f t="shared" ref="C18:AK18" si="24">((C13*0.1*0.01)+(C13*0.3*0.0075))*44/28</f>
        <v>13.243177964959553</v>
      </c>
      <c r="D18" s="21">
        <f t="shared" si="24"/>
        <v>13.524427358490572</v>
      </c>
      <c r="E18" s="21">
        <f t="shared" si="24"/>
        <v>13.805676752021592</v>
      </c>
      <c r="F18" s="21">
        <f t="shared" si="24"/>
        <v>14.086926145552541</v>
      </c>
      <c r="G18" s="21">
        <f t="shared" si="24"/>
        <v>14.368175539083557</v>
      </c>
      <c r="H18" s="21">
        <f t="shared" si="24"/>
        <v>14.649424932614579</v>
      </c>
      <c r="I18" s="21">
        <f t="shared" si="24"/>
        <v>14.930674326145526</v>
      </c>
      <c r="J18" s="21">
        <f t="shared" si="24"/>
        <v>15.211923719676546</v>
      </c>
      <c r="K18" s="21">
        <f t="shared" si="24"/>
        <v>15.493173113207567</v>
      </c>
      <c r="L18" s="21">
        <f t="shared" si="24"/>
        <v>15.774422506738516</v>
      </c>
      <c r="M18" s="21">
        <f t="shared" si="24"/>
        <v>16.055671900269537</v>
      </c>
      <c r="N18" s="21">
        <f t="shared" si="24"/>
        <v>16.336921293800554</v>
      </c>
      <c r="O18" s="21">
        <f t="shared" si="24"/>
        <v>16.618170687331503</v>
      </c>
      <c r="P18" s="21">
        <f t="shared" si="24"/>
        <v>16.899420080862523</v>
      </c>
      <c r="Q18" s="21">
        <f t="shared" si="24"/>
        <v>17.180669474393543</v>
      </c>
      <c r="R18" s="21">
        <f t="shared" si="24"/>
        <v>17.461918867924492</v>
      </c>
      <c r="S18" s="21">
        <f t="shared" si="24"/>
        <v>17.743168261455516</v>
      </c>
      <c r="T18" s="21">
        <f t="shared" si="24"/>
        <v>18.024417654986536</v>
      </c>
      <c r="U18" s="21">
        <f t="shared" si="24"/>
        <v>18.305667048517481</v>
      </c>
      <c r="V18" s="21">
        <f t="shared" si="24"/>
        <v>18.586916442048505</v>
      </c>
      <c r="W18" s="21">
        <f t="shared" si="24"/>
        <v>18.868165835579525</v>
      </c>
      <c r="X18" s="21">
        <f t="shared" si="24"/>
        <v>19.149415229110542</v>
      </c>
      <c r="Y18" s="21">
        <f t="shared" si="24"/>
        <v>19.430664622641494</v>
      </c>
      <c r="Z18" s="21">
        <f t="shared" si="24"/>
        <v>19.711914016172511</v>
      </c>
      <c r="AA18" s="21">
        <f t="shared" si="24"/>
        <v>19.993163409703531</v>
      </c>
      <c r="AB18" s="21">
        <f t="shared" si="24"/>
        <v>20.27441280323448</v>
      </c>
      <c r="AC18" s="21">
        <f t="shared" si="24"/>
        <v>20.5556621967655</v>
      </c>
      <c r="AD18" s="21">
        <f t="shared" si="24"/>
        <v>20.83691159029652</v>
      </c>
      <c r="AE18" s="21">
        <f t="shared" si="24"/>
        <v>21.118160983827472</v>
      </c>
      <c r="AF18" s="21">
        <f t="shared" si="24"/>
        <v>21.399410377358489</v>
      </c>
      <c r="AG18" s="21">
        <f t="shared" si="24"/>
        <v>21.680659770889509</v>
      </c>
      <c r="AH18" s="21">
        <f t="shared" si="24"/>
        <v>21.961909164420462</v>
      </c>
      <c r="AI18" s="21">
        <f t="shared" si="24"/>
        <v>22.243158557951482</v>
      </c>
      <c r="AJ18" s="21">
        <f t="shared" si="24"/>
        <v>22.524407951482495</v>
      </c>
      <c r="AK18" s="21">
        <f t="shared" si="24"/>
        <v>22.805657345013451</v>
      </c>
    </row>
    <row r="19" spans="1:46" x14ac:dyDescent="0.25">
      <c r="B19" s="21"/>
    </row>
    <row r="20" spans="1:46" x14ac:dyDescent="0.25">
      <c r="A20" s="19" t="s">
        <v>91</v>
      </c>
      <c r="B20" s="17"/>
      <c r="C20" s="17"/>
      <c r="D20" s="17"/>
      <c r="E20" s="17"/>
      <c r="F20" s="17"/>
      <c r="G20" s="17"/>
      <c r="H20" s="17"/>
      <c r="I20" s="17"/>
      <c r="J20" s="17"/>
      <c r="K20" s="17"/>
      <c r="L20" s="17"/>
      <c r="M20" s="17"/>
      <c r="N20" s="17"/>
      <c r="O20" s="17"/>
      <c r="P20" s="17"/>
      <c r="Q20" s="17"/>
    </row>
    <row r="21" spans="1:46" x14ac:dyDescent="0.25">
      <c r="A21" s="18" t="s">
        <v>453</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x14ac:dyDescent="0.25">
      <c r="A22" s="8" t="s">
        <v>452</v>
      </c>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x14ac:dyDescent="0.25">
      <c r="A23" t="s">
        <v>86</v>
      </c>
      <c r="B23">
        <f>SUMIFS('FAO Stats'!$L$2:$L$97,'FAO Stats'!$H$2:$H$97,'Agriculture - Soil Mgmt'!$A23,'FAO Stats'!$I$2:$I$97,'Agriculture - Soil Mgmt'!B$22,'FAO Stats'!$K$2:$K$97,"ha")</f>
        <v>2353500</v>
      </c>
      <c r="C23">
        <f>SUMIFS('FAO Stats'!$L$2:$L$97,'FAO Stats'!$H$2:$H$97,'Agriculture - Soil Mgmt'!$A23,'FAO Stats'!$I$2:$I$97,'Agriculture - Soil Mgmt'!C$22,'FAO Stats'!$K$2:$K$97,"ha")</f>
        <v>2336800</v>
      </c>
      <c r="D23">
        <f>'FAPRI Projections'!Q48/'FAPRI Projections'!P48*C23</f>
        <v>2339201.5974096558</v>
      </c>
      <c r="E23">
        <f>'FAPRI Projections'!R48/'FAPRI Projections'!Q48*D23</f>
        <v>2374889.1055740472</v>
      </c>
      <c r="F23">
        <f>'FAPRI Projections'!S48/'FAPRI Projections'!R48*E23</f>
        <v>2392826.5192420441</v>
      </c>
      <c r="G23">
        <f>'FAPRI Projections'!T48/'FAPRI Projections'!S48*F23</f>
        <v>2426842.1174410977</v>
      </c>
      <c r="H23">
        <f>'FAPRI Projections'!U48/'FAPRI Projections'!T48*G23</f>
        <v>2439250.8774904953</v>
      </c>
      <c r="I23">
        <f>'FAPRI Projections'!V48/'FAPRI Projections'!U48*H23</f>
        <v>2469644.0248990213</v>
      </c>
      <c r="J23">
        <f>(($I$23-$C$23)/$C$23/COUNT($D$22:$I$22)+1)*I23</f>
        <v>2493043.363905027</v>
      </c>
      <c r="K23">
        <f t="shared" ref="K23:AK30" si="25">(($I$23-$C$23)/$C$23/COUNT($D$22:$I$22)+1)*J23</f>
        <v>2516664.4065494509</v>
      </c>
      <c r="L23">
        <f t="shared" si="25"/>
        <v>2540509.2534259586</v>
      </c>
      <c r="M23">
        <f t="shared" si="25"/>
        <v>2564580.0250308821</v>
      </c>
      <c r="N23">
        <f t="shared" si="25"/>
        <v>2588878.8619517949</v>
      </c>
      <c r="O23">
        <f t="shared" si="25"/>
        <v>2613407.9250578713</v>
      </c>
      <c r="P23">
        <f t="shared" si="25"/>
        <v>2638169.3956920495</v>
      </c>
      <c r="Q23">
        <f t="shared" si="25"/>
        <v>2663165.4758650176</v>
      </c>
      <c r="R23">
        <f t="shared" si="25"/>
        <v>2688398.3884510347</v>
      </c>
      <c r="S23">
        <f t="shared" si="25"/>
        <v>2713870.3773856089</v>
      </c>
      <c r="T23">
        <f t="shared" si="25"/>
        <v>2739583.7078650487</v>
      </c>
      <c r="U23">
        <f t="shared" si="25"/>
        <v>2765540.6665479043</v>
      </c>
      <c r="V23">
        <f t="shared" si="25"/>
        <v>2791743.5617583166</v>
      </c>
      <c r="W23">
        <f t="shared" si="25"/>
        <v>2818194.7236912954</v>
      </c>
      <c r="X23">
        <f t="shared" si="25"/>
        <v>2844896.5046199397</v>
      </c>
      <c r="Y23">
        <f t="shared" si="25"/>
        <v>2871851.2791046249</v>
      </c>
      <c r="Z23">
        <f t="shared" si="25"/>
        <v>2899061.444204167</v>
      </c>
      <c r="AA23">
        <f t="shared" si="25"/>
        <v>2926529.4196889931</v>
      </c>
      <c r="AB23">
        <f t="shared" si="25"/>
        <v>2954257.648256328</v>
      </c>
      <c r="AC23">
        <f t="shared" si="25"/>
        <v>2982248.5957474192</v>
      </c>
      <c r="AD23">
        <f t="shared" si="25"/>
        <v>3010504.7513668234</v>
      </c>
      <c r="AE23">
        <f t="shared" si="25"/>
        <v>3039028.6279037683</v>
      </c>
      <c r="AF23">
        <f t="shared" si="25"/>
        <v>3067822.7619556119</v>
      </c>
      <c r="AG23">
        <f t="shared" si="25"/>
        <v>3096889.7141534192</v>
      </c>
      <c r="AH23">
        <f t="shared" si="25"/>
        <v>3126232.0693896771</v>
      </c>
      <c r="AI23">
        <f t="shared" si="25"/>
        <v>3155852.4370481647</v>
      </c>
      <c r="AJ23">
        <f t="shared" si="25"/>
        <v>3185753.4512360045</v>
      </c>
      <c r="AK23">
        <f t="shared" si="25"/>
        <v>3215937.77101791</v>
      </c>
    </row>
    <row r="24" spans="1:46" x14ac:dyDescent="0.25">
      <c r="A24" t="s">
        <v>447</v>
      </c>
      <c r="B24">
        <f>SUMIFS('FAO Stats'!$L$2:$L$97,'FAO Stats'!$H$2:$H$97,'Agriculture - Soil Mgmt'!$A24,'FAO Stats'!$I$2:$I$97,'Agriculture - Soil Mgmt'!B$22,'FAO Stats'!$K$2:$K$97,"ha")</f>
        <v>104400</v>
      </c>
      <c r="C24">
        <f>SUMIFS('FAO Stats'!$L$2:$L$97,'FAO Stats'!$H$2:$H$97,'Agriculture - Soil Mgmt'!$A24,'FAO Stats'!$I$2:$I$97,'Agriculture - Soil Mgmt'!C$22,'FAO Stats'!$K$2:$K$97,"ha")</f>
        <v>110500</v>
      </c>
      <c r="D24">
        <f>C24*AVERAGE('FAPRI Projections'!Q$7/'FAPRI Projections'!P$7,'FAPRI Projections'!Q$30/'FAPRI Projections'!P$30,'FAPRI Projections'!Q$48/'FAPRI Projections'!P$48,'FAPRI Projections'!Q$71/'FAPRI Projections'!P$71)</f>
        <v>110830.90146536367</v>
      </c>
      <c r="E24">
        <f>D24*AVERAGE('FAPRI Projections'!R$7/'FAPRI Projections'!Q$7,'FAPRI Projections'!R$30/'FAPRI Projections'!Q$30,'FAPRI Projections'!R$48/'FAPRI Projections'!Q$48,'FAPRI Projections'!R$71/'FAPRI Projections'!Q$71)</f>
        <v>111266.90940565344</v>
      </c>
      <c r="F24">
        <f>E24*AVERAGE('FAPRI Projections'!S$7/'FAPRI Projections'!R$7,'FAPRI Projections'!S$30/'FAPRI Projections'!R$30,'FAPRI Projections'!S$48/'FAPRI Projections'!R$48,'FAPRI Projections'!S$71/'FAPRI Projections'!R$71)</f>
        <v>111624.76405582832</v>
      </c>
      <c r="G24">
        <f>F24*AVERAGE('FAPRI Projections'!T$7/'FAPRI Projections'!S$7,'FAPRI Projections'!T$30/'FAPRI Projections'!S$30,'FAPRI Projections'!T$48/'FAPRI Projections'!S$48,'FAPRI Projections'!T$71/'FAPRI Projections'!S$71)</f>
        <v>112314.98408325434</v>
      </c>
      <c r="H24">
        <f>G24*AVERAGE('FAPRI Projections'!U$7/'FAPRI Projections'!T$7,'FAPRI Projections'!U$30/'FAPRI Projections'!T$30,'FAPRI Projections'!U$48/'FAPRI Projections'!T$48,'FAPRI Projections'!U$71/'FAPRI Projections'!T$71)</f>
        <v>112703.28954630884</v>
      </c>
      <c r="I24">
        <f>H24*AVERAGE('FAPRI Projections'!V$7/'FAPRI Projections'!U$7,'FAPRI Projections'!V$30/'FAPRI Projections'!U$30,'FAPRI Projections'!V$48/'FAPRI Projections'!U$48,'FAPRI Projections'!V$71/'FAPRI Projections'!U$71)</f>
        <v>113202.23082541869</v>
      </c>
      <c r="J24">
        <f t="shared" ref="J24:Y30" si="26">(($I$23-$C$23)/$C$23/COUNT($D$22:$I$22)+1)*I24</f>
        <v>114274.79729597649</v>
      </c>
      <c r="K24">
        <f t="shared" si="26"/>
        <v>115357.52610013298</v>
      </c>
      <c r="L24">
        <f t="shared" si="26"/>
        <v>116450.51352378467</v>
      </c>
      <c r="M24">
        <f t="shared" si="26"/>
        <v>117553.85676511594</v>
      </c>
      <c r="N24">
        <f t="shared" si="26"/>
        <v>118667.65394324281</v>
      </c>
      <c r="O24">
        <f t="shared" si="26"/>
        <v>119792.00410693852</v>
      </c>
      <c r="P24">
        <f t="shared" si="26"/>
        <v>120927.00724344185</v>
      </c>
      <c r="Q24">
        <f t="shared" si="26"/>
        <v>122072.76428734891</v>
      </c>
      <c r="R24">
        <f t="shared" si="26"/>
        <v>123229.37712958909</v>
      </c>
      <c r="S24">
        <f t="shared" si="26"/>
        <v>124396.94862648613</v>
      </c>
      <c r="T24">
        <f t="shared" si="26"/>
        <v>125575.58260890507</v>
      </c>
      <c r="U24">
        <f t="shared" si="26"/>
        <v>126765.3838914857</v>
      </c>
      <c r="V24">
        <f t="shared" si="26"/>
        <v>127966.45828196376</v>
      </c>
      <c r="W24">
        <f t="shared" si="26"/>
        <v>129178.91259058016</v>
      </c>
      <c r="X24">
        <f t="shared" si="26"/>
        <v>130402.85463957963</v>
      </c>
      <c r="Y24">
        <f t="shared" si="26"/>
        <v>131638.39327279912</v>
      </c>
      <c r="Z24">
        <f t="shared" si="25"/>
        <v>132885.63836534726</v>
      </c>
      <c r="AA24">
        <f t="shared" si="25"/>
        <v>134144.70083337539</v>
      </c>
      <c r="AB24">
        <f t="shared" si="25"/>
        <v>135415.69264394118</v>
      </c>
      <c r="AC24">
        <f t="shared" si="25"/>
        <v>136698.72682496579</v>
      </c>
      <c r="AD24">
        <f t="shared" si="25"/>
        <v>137993.91747528536</v>
      </c>
      <c r="AE24">
        <f t="shared" si="25"/>
        <v>139301.37977479753</v>
      </c>
      <c r="AF24">
        <f t="shared" si="25"/>
        <v>140621.22999470448</v>
      </c>
      <c r="AG24">
        <f t="shared" si="25"/>
        <v>141953.58550785264</v>
      </c>
      <c r="AH24">
        <f t="shared" si="25"/>
        <v>143298.56479917059</v>
      </c>
      <c r="AI24">
        <f t="shared" si="25"/>
        <v>144656.28747620579</v>
      </c>
      <c r="AJ24">
        <f t="shared" si="25"/>
        <v>146026.87427976116</v>
      </c>
      <c r="AK24">
        <f t="shared" si="25"/>
        <v>147410.44709463243</v>
      </c>
    </row>
    <row r="25" spans="1:46" x14ac:dyDescent="0.25">
      <c r="A25" t="s">
        <v>448</v>
      </c>
      <c r="B25">
        <f>SUMIFS('FAO Stats'!$L$2:$L$97,'FAO Stats'!$H$2:$H$97,'Agriculture - Soil Mgmt'!$A25,'FAO Stats'!$I$2:$I$97,'Agriculture - Soil Mgmt'!B$22,'FAO Stats'!$K$2:$K$97,"ha")</f>
        <v>0</v>
      </c>
      <c r="C25">
        <f>SUMIFS('FAO Stats'!$L$2:$L$97,'FAO Stats'!$H$2:$H$97,'Agriculture - Soil Mgmt'!$A25,'FAO Stats'!$I$2:$I$97,'Agriculture - Soil Mgmt'!C$22,'FAO Stats'!$K$2:$K$97,"ha")</f>
        <v>0</v>
      </c>
      <c r="D25">
        <f>C25*AVERAGE('FAPRI Projections'!Q$7/'FAPRI Projections'!P$7,'FAPRI Projections'!Q$30/'FAPRI Projections'!P$30,'FAPRI Projections'!Q$48/'FAPRI Projections'!P$48,'FAPRI Projections'!Q$71/'FAPRI Projections'!P$71)</f>
        <v>0</v>
      </c>
      <c r="E25">
        <f>D25*AVERAGE('FAPRI Projections'!R$7/'FAPRI Projections'!Q$7,'FAPRI Projections'!R$30/'FAPRI Projections'!Q$30,'FAPRI Projections'!R$48/'FAPRI Projections'!Q$48,'FAPRI Projections'!R$71/'FAPRI Projections'!Q$71)</f>
        <v>0</v>
      </c>
      <c r="F25">
        <f>E25*AVERAGE('FAPRI Projections'!S$7/'FAPRI Projections'!R$7,'FAPRI Projections'!S$30/'FAPRI Projections'!R$30,'FAPRI Projections'!S$48/'FAPRI Projections'!R$48,'FAPRI Projections'!S$71/'FAPRI Projections'!R$71)</f>
        <v>0</v>
      </c>
      <c r="G25">
        <f>F25*AVERAGE('FAPRI Projections'!T$7/'FAPRI Projections'!S$7,'FAPRI Projections'!T$30/'FAPRI Projections'!S$30,'FAPRI Projections'!T$48/'FAPRI Projections'!S$48,'FAPRI Projections'!T$71/'FAPRI Projections'!S$71)</f>
        <v>0</v>
      </c>
      <c r="H25">
        <f>G25*AVERAGE('FAPRI Projections'!U$7/'FAPRI Projections'!T$7,'FAPRI Projections'!U$30/'FAPRI Projections'!T$30,'FAPRI Projections'!U$48/'FAPRI Projections'!T$48,'FAPRI Projections'!U$71/'FAPRI Projections'!T$71)</f>
        <v>0</v>
      </c>
      <c r="I25">
        <f>H25*AVERAGE('FAPRI Projections'!V$7/'FAPRI Projections'!U$7,'FAPRI Projections'!V$30/'FAPRI Projections'!U$30,'FAPRI Projections'!V$48/'FAPRI Projections'!U$48,'FAPRI Projections'!V$71/'FAPRI Projections'!U$71)</f>
        <v>0</v>
      </c>
      <c r="J25">
        <f t="shared" si="26"/>
        <v>0</v>
      </c>
      <c r="K25">
        <f t="shared" si="25"/>
        <v>0</v>
      </c>
      <c r="L25">
        <f t="shared" si="25"/>
        <v>0</v>
      </c>
      <c r="M25">
        <f t="shared" si="25"/>
        <v>0</v>
      </c>
      <c r="N25">
        <f t="shared" si="25"/>
        <v>0</v>
      </c>
      <c r="O25">
        <f t="shared" si="25"/>
        <v>0</v>
      </c>
      <c r="P25">
        <f t="shared" si="25"/>
        <v>0</v>
      </c>
      <c r="Q25">
        <f t="shared" si="25"/>
        <v>0</v>
      </c>
      <c r="R25">
        <f t="shared" si="25"/>
        <v>0</v>
      </c>
      <c r="S25">
        <f t="shared" si="25"/>
        <v>0</v>
      </c>
      <c r="T25">
        <f t="shared" si="25"/>
        <v>0</v>
      </c>
      <c r="U25">
        <f t="shared" si="25"/>
        <v>0</v>
      </c>
      <c r="V25">
        <f t="shared" si="25"/>
        <v>0</v>
      </c>
      <c r="W25">
        <f t="shared" si="25"/>
        <v>0</v>
      </c>
      <c r="X25">
        <f t="shared" si="25"/>
        <v>0</v>
      </c>
      <c r="Y25">
        <f t="shared" si="25"/>
        <v>0</v>
      </c>
      <c r="Z25">
        <f t="shared" si="25"/>
        <v>0</v>
      </c>
      <c r="AA25">
        <f t="shared" si="25"/>
        <v>0</v>
      </c>
      <c r="AB25">
        <f t="shared" si="25"/>
        <v>0</v>
      </c>
      <c r="AC25">
        <f t="shared" si="25"/>
        <v>0</v>
      </c>
      <c r="AD25">
        <f t="shared" si="25"/>
        <v>0</v>
      </c>
      <c r="AE25">
        <f t="shared" si="25"/>
        <v>0</v>
      </c>
      <c r="AF25">
        <f t="shared" si="25"/>
        <v>0</v>
      </c>
      <c r="AG25">
        <f t="shared" si="25"/>
        <v>0</v>
      </c>
      <c r="AH25">
        <f t="shared" si="25"/>
        <v>0</v>
      </c>
      <c r="AI25">
        <f t="shared" si="25"/>
        <v>0</v>
      </c>
      <c r="AJ25">
        <f t="shared" si="25"/>
        <v>0</v>
      </c>
      <c r="AK25">
        <f t="shared" si="25"/>
        <v>0</v>
      </c>
    </row>
    <row r="26" spans="1:46" x14ac:dyDescent="0.25">
      <c r="A26" t="s">
        <v>450</v>
      </c>
      <c r="B26">
        <f>SUMIFS('FAO Stats'!$L$2:$L$97,'FAO Stats'!$H$2:$H$97,'Agriculture - Soil Mgmt'!$A26,'FAO Stats'!$I$2:$I$97,'Agriculture - Soil Mgmt'!B$22,'FAO Stats'!$K$2:$K$97,"ha")</f>
        <v>46500</v>
      </c>
      <c r="C26">
        <f>SUMIFS('FAO Stats'!$L$2:$L$97,'FAO Stats'!$H$2:$H$97,'Agriculture - Soil Mgmt'!$A26,'FAO Stats'!$I$2:$I$97,'Agriculture - Soil Mgmt'!C$22,'FAO Stats'!$K$2:$K$97,"ha")</f>
        <v>59800</v>
      </c>
      <c r="D26">
        <f>C26*AVERAGE('FAPRI Projections'!Q$7/'FAPRI Projections'!P$7,'FAPRI Projections'!Q$30/'FAPRI Projections'!P$30,'FAPRI Projections'!Q$48/'FAPRI Projections'!P$48,'FAPRI Projections'!Q$71/'FAPRI Projections'!P$71)</f>
        <v>59979.076087137983</v>
      </c>
      <c r="E26">
        <f>D26*AVERAGE('FAPRI Projections'!R$7/'FAPRI Projections'!Q$7,'FAPRI Projections'!R$30/'FAPRI Projections'!Q$30,'FAPRI Projections'!R$48/'FAPRI Projections'!Q$48,'FAPRI Projections'!R$71/'FAPRI Projections'!Q$71)</f>
        <v>60215.033325412449</v>
      </c>
      <c r="F26">
        <f>E26*AVERAGE('FAPRI Projections'!S$7/'FAPRI Projections'!R$7,'FAPRI Projections'!S$30/'FAPRI Projections'!R$30,'FAPRI Projections'!S$48/'FAPRI Projections'!R$48,'FAPRI Projections'!S$71/'FAPRI Projections'!R$71)</f>
        <v>60408.695841977678</v>
      </c>
      <c r="G26">
        <f>F26*AVERAGE('FAPRI Projections'!T$7/'FAPRI Projections'!S$7,'FAPRI Projections'!T$30/'FAPRI Projections'!S$30,'FAPRI Projections'!T$48/'FAPRI Projections'!S$48,'FAPRI Projections'!T$71/'FAPRI Projections'!S$71)</f>
        <v>60782.226680349406</v>
      </c>
      <c r="H26">
        <f>G26*AVERAGE('FAPRI Projections'!U$7/'FAPRI Projections'!T$7,'FAPRI Projections'!U$30/'FAPRI Projections'!T$30,'FAPRI Projections'!U$48/'FAPRI Projections'!T$48,'FAPRI Projections'!U$71/'FAPRI Projections'!T$71)</f>
        <v>60992.368460355363</v>
      </c>
      <c r="I26">
        <f>H26*AVERAGE('FAPRI Projections'!V$7/'FAPRI Projections'!U$7,'FAPRI Projections'!V$30/'FAPRI Projections'!U$30,'FAPRI Projections'!V$48/'FAPRI Projections'!U$48,'FAPRI Projections'!V$71/'FAPRI Projections'!U$71)</f>
        <v>61262.383740814817</v>
      </c>
      <c r="J26">
        <f t="shared" si="26"/>
        <v>61842.831477822569</v>
      </c>
      <c r="K26">
        <f t="shared" si="25"/>
        <v>62428.778830660201</v>
      </c>
      <c r="L26">
        <f t="shared" si="25"/>
        <v>63020.277906989351</v>
      </c>
      <c r="M26">
        <f t="shared" si="25"/>
        <v>63617.381308180396</v>
      </c>
      <c r="N26">
        <f t="shared" si="25"/>
        <v>64220.14213399023</v>
      </c>
      <c r="O26">
        <f t="shared" si="25"/>
        <v>64828.613987284378</v>
      </c>
      <c r="P26">
        <f t="shared" si="25"/>
        <v>65442.850978803828</v>
      </c>
      <c r="Q26">
        <f t="shared" si="25"/>
        <v>66062.907731977059</v>
      </c>
      <c r="R26">
        <f t="shared" si="25"/>
        <v>66688.839387777625</v>
      </c>
      <c r="S26">
        <f t="shared" si="25"/>
        <v>67320.701609627795</v>
      </c>
      <c r="T26">
        <f t="shared" si="25"/>
        <v>67958.550588348633</v>
      </c>
      <c r="U26">
        <f t="shared" si="25"/>
        <v>68602.443047156979</v>
      </c>
      <c r="V26">
        <f t="shared" si="25"/>
        <v>69252.436246709811</v>
      </c>
      <c r="W26">
        <f t="shared" si="25"/>
        <v>69908.587990196334</v>
      </c>
      <c r="X26">
        <f t="shared" si="25"/>
        <v>70570.956628478394</v>
      </c>
      <c r="Y26">
        <f t="shared" si="25"/>
        <v>71239.601065279538</v>
      </c>
      <c r="Z26">
        <f t="shared" si="25"/>
        <v>71914.58076242324</v>
      </c>
      <c r="AA26">
        <f t="shared" si="25"/>
        <v>72595.955745120809</v>
      </c>
      <c r="AB26">
        <f t="shared" si="25"/>
        <v>73283.786607309346</v>
      </c>
      <c r="AC26">
        <f t="shared" si="25"/>
        <v>73978.134517040322</v>
      </c>
      <c r="AD26">
        <f t="shared" si="25"/>
        <v>74679.061221919139</v>
      </c>
      <c r="AE26">
        <f t="shared" si="25"/>
        <v>75386.629054596327</v>
      </c>
      <c r="AF26">
        <f t="shared" si="25"/>
        <v>76100.900938310675</v>
      </c>
      <c r="AG26">
        <f t="shared" si="25"/>
        <v>76821.940392484976</v>
      </c>
      <c r="AH26">
        <f t="shared" si="25"/>
        <v>77549.811538374692</v>
      </c>
      <c r="AI26">
        <f t="shared" si="25"/>
        <v>78284.579104770208</v>
      </c>
      <c r="AJ26">
        <f t="shared" si="25"/>
        <v>79026.308433753118</v>
      </c>
      <c r="AK26">
        <f t="shared" si="25"/>
        <v>79775.065486506981</v>
      </c>
    </row>
    <row r="27" spans="1:46" x14ac:dyDescent="0.25">
      <c r="A27" t="s">
        <v>451</v>
      </c>
      <c r="B27">
        <f>SUMIFS('FAO Stats'!$L$2:$L$97,'FAO Stats'!$H$2:$H$97,'Agriculture - Soil Mgmt'!$A27,'FAO Stats'!$I$2:$I$97,'Agriculture - Soil Mgmt'!B$22,'FAO Stats'!$K$2:$K$97,"ha")</f>
        <v>1630000</v>
      </c>
      <c r="C27">
        <f>SUMIFS('FAO Stats'!$L$2:$L$97,'FAO Stats'!$H$2:$H$97,'Agriculture - Soil Mgmt'!$A27,'FAO Stats'!$I$2:$I$97,'Agriculture - Soil Mgmt'!C$22,'FAO Stats'!$K$2:$K$97,"ha")</f>
        <v>2175200</v>
      </c>
      <c r="D27">
        <f>C27*AVERAGE('FAPRI Projections'!Q$7/'FAPRI Projections'!P$7,'FAPRI Projections'!Q$30/'FAPRI Projections'!P$30,'FAPRI Projections'!Q$48/'FAPRI Projections'!P$48,'FAPRI Projections'!Q$71/'FAPRI Projections'!P$71)</f>
        <v>2181713.8178050593</v>
      </c>
      <c r="E27">
        <f>D27*AVERAGE('FAPRI Projections'!R$7/'FAPRI Projections'!Q$7,'FAPRI Projections'!R$30/'FAPRI Projections'!Q$30,'FAPRI Projections'!R$48/'FAPRI Projections'!Q$48,'FAPRI Projections'!R$71/'FAPRI Projections'!Q$71)</f>
        <v>2190296.6637029625</v>
      </c>
      <c r="F27">
        <f>E27*AVERAGE('FAPRI Projections'!S$7/'FAPRI Projections'!R$7,'FAPRI Projections'!S$30/'FAPRI Projections'!R$30,'FAPRI Projections'!S$48/'FAPRI Projections'!R$48,'FAPRI Projections'!S$71/'FAPRI Projections'!R$71)</f>
        <v>2197341.0567804324</v>
      </c>
      <c r="G27">
        <f>F27*AVERAGE('FAPRI Projections'!T$7/'FAPRI Projections'!S$7,'FAPRI Projections'!T$30/'FAPRI Projections'!S$30,'FAPRI Projections'!T$48/'FAPRI Projections'!S$48,'FAPRI Projections'!T$71/'FAPRI Projections'!S$71)</f>
        <v>2210928.0848678267</v>
      </c>
      <c r="H27">
        <f>G27*AVERAGE('FAPRI Projections'!U$7/'FAPRI Projections'!T$7,'FAPRI Projections'!U$30/'FAPRI Projections'!T$30,'FAPRI Projections'!U$48/'FAPRI Projections'!T$48,'FAPRI Projections'!U$71/'FAPRI Projections'!T$71)</f>
        <v>2218571.9042636286</v>
      </c>
      <c r="I27">
        <f>H27*AVERAGE('FAPRI Projections'!V$7/'FAPRI Projections'!U$7,'FAPRI Projections'!V$30/'FAPRI Projections'!U$30,'FAPRI Projections'!V$48/'FAPRI Projections'!U$48,'FAPRI Projections'!V$71/'FAPRI Projections'!U$71)</f>
        <v>2228393.597207699</v>
      </c>
      <c r="J27">
        <f t="shared" si="26"/>
        <v>2249507.1409792583</v>
      </c>
      <c r="K27">
        <f t="shared" si="25"/>
        <v>2270820.7309774593</v>
      </c>
      <c r="L27">
        <f t="shared" si="25"/>
        <v>2292336.2625967097</v>
      </c>
      <c r="M27">
        <f t="shared" si="25"/>
        <v>2314055.6491898661</v>
      </c>
      <c r="N27">
        <f t="shared" si="25"/>
        <v>2335980.8222383871</v>
      </c>
      <c r="O27">
        <f t="shared" si="25"/>
        <v>2358113.7315240963</v>
      </c>
      <c r="P27">
        <f t="shared" si="25"/>
        <v>2380456.3453025762</v>
      </c>
      <c r="Q27">
        <f t="shared" si="25"/>
        <v>2403010.6504782019</v>
      </c>
      <c r="R27">
        <f t="shared" si="25"/>
        <v>2425778.6527808337</v>
      </c>
      <c r="S27">
        <f t="shared" si="25"/>
        <v>2448762.3769441862</v>
      </c>
      <c r="T27">
        <f t="shared" si="25"/>
        <v>2471963.8668858842</v>
      </c>
      <c r="U27">
        <f t="shared" si="25"/>
        <v>2495385.1858892273</v>
      </c>
      <c r="V27">
        <f t="shared" si="25"/>
        <v>2519028.4167866739</v>
      </c>
      <c r="W27">
        <f t="shared" si="25"/>
        <v>2542895.6621450665</v>
      </c>
      <c r="X27">
        <f t="shared" si="25"/>
        <v>2566989.0444526104</v>
      </c>
      <c r="Y27">
        <f t="shared" si="25"/>
        <v>2591310.7063076245</v>
      </c>
      <c r="Z27">
        <f t="shared" si="25"/>
        <v>2615862.810609079</v>
      </c>
      <c r="AA27">
        <f t="shared" si="25"/>
        <v>2640647.5407489412</v>
      </c>
      <c r="AB27">
        <f t="shared" si="25"/>
        <v>2665667.100806341</v>
      </c>
      <c r="AC27">
        <f t="shared" si="25"/>
        <v>2690923.7157435785</v>
      </c>
      <c r="AD27">
        <f t="shared" si="25"/>
        <v>2716419.6316039865</v>
      </c>
      <c r="AE27">
        <f t="shared" si="25"/>
        <v>2742157.115711669</v>
      </c>
      <c r="AF27">
        <f t="shared" si="25"/>
        <v>2768138.4568731315</v>
      </c>
      <c r="AG27">
        <f t="shared" si="25"/>
        <v>2794365.9655808224</v>
      </c>
      <c r="AH27">
        <f t="shared" si="25"/>
        <v>2820841.9742186032</v>
      </c>
      <c r="AI27">
        <f t="shared" si="25"/>
        <v>2847568.8372691642</v>
      </c>
      <c r="AJ27">
        <f t="shared" si="25"/>
        <v>2874548.9315234055</v>
      </c>
      <c r="AK27">
        <f t="shared" si="25"/>
        <v>2901784.6562918033</v>
      </c>
    </row>
    <row r="28" spans="1:46" x14ac:dyDescent="0.25">
      <c r="A28" t="s">
        <v>446</v>
      </c>
      <c r="B28">
        <f>SUMIFS('FAO Stats'!$L$2:$L$97,'FAO Stats'!$H$2:$H$97,'Agriculture - Soil Mgmt'!$A28,'FAO Stats'!$I$2:$I$97,'Agriculture - Soil Mgmt'!B$22,'FAO Stats'!$K$2:$K$97,"ha")</f>
        <v>1311700</v>
      </c>
      <c r="C28">
        <f>SUMIFS('FAO Stats'!$L$2:$L$97,'FAO Stats'!$H$2:$H$97,'Agriculture - Soil Mgmt'!$A28,'FAO Stats'!$I$2:$I$97,'Agriculture - Soil Mgmt'!C$22,'FAO Stats'!$K$2:$K$97,"ha")</f>
        <v>1317700</v>
      </c>
      <c r="D28">
        <f>C28*'FAPRI Projections'!Q30/'FAPRI Projections'!P30</f>
        <v>1313792.3034460533</v>
      </c>
      <c r="E28">
        <f>D28*'FAPRI Projections'!R30/'FAPRI Projections'!Q30</f>
        <v>1302406.569502064</v>
      </c>
      <c r="F28">
        <f>E28*'FAPRI Projections'!S30/'FAPRI Projections'!R30</f>
        <v>1303234.0366573089</v>
      </c>
      <c r="G28">
        <f>F28*'FAPRI Projections'!T30/'FAPRI Projections'!S30</f>
        <v>1300664.3885287782</v>
      </c>
      <c r="H28">
        <f>G28*'FAPRI Projections'!U30/'FAPRI Projections'!T30</f>
        <v>1297025.3711057496</v>
      </c>
      <c r="I28">
        <f>H28*'FAPRI Projections'!V30/'FAPRI Projections'!U30</f>
        <v>1288960.0403272975</v>
      </c>
      <c r="J28">
        <f t="shared" si="26"/>
        <v>1301172.6558478873</v>
      </c>
      <c r="K28">
        <f t="shared" si="25"/>
        <v>1313500.983239433</v>
      </c>
      <c r="L28">
        <f t="shared" si="25"/>
        <v>1325946.1188466987</v>
      </c>
      <c r="M28">
        <f t="shared" si="25"/>
        <v>1338509.1694020759</v>
      </c>
      <c r="N28">
        <f t="shared" si="25"/>
        <v>1351191.2521240048</v>
      </c>
      <c r="O28">
        <f t="shared" si="25"/>
        <v>1363993.4948163263</v>
      </c>
      <c r="P28">
        <f t="shared" si="25"/>
        <v>1376917.0359685775</v>
      </c>
      <c r="Q28">
        <f t="shared" si="25"/>
        <v>1389963.0248572356</v>
      </c>
      <c r="R28">
        <f t="shared" si="25"/>
        <v>1403132.6216479219</v>
      </c>
      <c r="S28">
        <f t="shared" si="25"/>
        <v>1416426.9974985742</v>
      </c>
      <c r="T28">
        <f t="shared" si="25"/>
        <v>1429847.3346635967</v>
      </c>
      <c r="U28">
        <f t="shared" si="25"/>
        <v>1443394.8265989963</v>
      </c>
      <c r="V28">
        <f t="shared" si="25"/>
        <v>1457070.6780685156</v>
      </c>
      <c r="W28">
        <f t="shared" si="25"/>
        <v>1470876.1052507712</v>
      </c>
      <c r="X28">
        <f t="shared" si="25"/>
        <v>1484812.3358474069</v>
      </c>
      <c r="Y28">
        <f t="shared" si="25"/>
        <v>1498880.6091922722</v>
      </c>
      <c r="Z28">
        <f t="shared" si="25"/>
        <v>1513082.1763616349</v>
      </c>
      <c r="AA28">
        <f t="shared" si="25"/>
        <v>1527418.3002854374</v>
      </c>
      <c r="AB28">
        <f t="shared" si="25"/>
        <v>1541890.2558596088</v>
      </c>
      <c r="AC28">
        <f t="shared" si="25"/>
        <v>1556499.3300594385</v>
      </c>
      <c r="AD28">
        <f t="shared" si="25"/>
        <v>1571246.8220540271</v>
      </c>
      <c r="AE28">
        <f t="shared" si="25"/>
        <v>1586134.0433218188</v>
      </c>
      <c r="AF28">
        <f t="shared" si="25"/>
        <v>1601162.3177672306</v>
      </c>
      <c r="AG28">
        <f t="shared" si="25"/>
        <v>1616332.9818383853</v>
      </c>
      <c r="AH28">
        <f t="shared" si="25"/>
        <v>1631647.3846459605</v>
      </c>
      <c r="AI28">
        <f t="shared" si="25"/>
        <v>1647106.8880831632</v>
      </c>
      <c r="AJ28">
        <f t="shared" si="25"/>
        <v>1662712.8669468423</v>
      </c>
      <c r="AK28">
        <f t="shared" si="25"/>
        <v>1678466.7090597467</v>
      </c>
    </row>
    <row r="29" spans="1:46" x14ac:dyDescent="0.25">
      <c r="A29" t="s">
        <v>88</v>
      </c>
      <c r="B29">
        <f>SUMIFS('FAO Stats'!$L$2:$L$97,'FAO Stats'!$H$2:$H$97,'Agriculture - Soil Mgmt'!$A29,'FAO Stats'!$I$2:$I$97,'Agriculture - Soil Mgmt'!B$22,'FAO Stats'!$K$2:$K$97,"ha")</f>
        <v>2197400</v>
      </c>
      <c r="C29">
        <f>SUMIFS('FAO Stats'!$L$2:$L$97,'FAO Stats'!$H$2:$H$97,'Agriculture - Soil Mgmt'!$A29,'FAO Stats'!$I$2:$I$97,'Agriculture - Soil Mgmt'!C$22,'FAO Stats'!$K$2:$K$97,"ha")</f>
        <v>2190500</v>
      </c>
      <c r="D29">
        <f>C29*'FAPRI Projections'!Q71/'FAPRI Projections'!P71</f>
        <v>2211263.873589044</v>
      </c>
      <c r="E29">
        <f>D29*'FAPRI Projections'!R71/'FAPRI Projections'!Q71</f>
        <v>2229629.6345432065</v>
      </c>
      <c r="F29">
        <f>E29*'FAPRI Projections'!S71/'FAPRI Projections'!R71</f>
        <v>2250062.9655889077</v>
      </c>
      <c r="G29">
        <f>F29*'FAPRI Projections'!T71/'FAPRI Projections'!S71</f>
        <v>2276138.392856658</v>
      </c>
      <c r="H29">
        <f>G29*'FAPRI Projections'!U71/'FAPRI Projections'!T71</f>
        <v>2302889.6235399558</v>
      </c>
      <c r="I29">
        <f>H29*'FAPRI Projections'!V71/'FAPRI Projections'!U71</f>
        <v>2329978.4479117431</v>
      </c>
      <c r="J29">
        <f t="shared" si="26"/>
        <v>2352054.4860086115</v>
      </c>
      <c r="K29">
        <f t="shared" si="25"/>
        <v>2374339.6897561285</v>
      </c>
      <c r="L29">
        <f t="shared" si="25"/>
        <v>2396836.0409532571</v>
      </c>
      <c r="M29">
        <f t="shared" si="25"/>
        <v>2419545.540176074</v>
      </c>
      <c r="N29">
        <f t="shared" si="25"/>
        <v>2442470.2069556778</v>
      </c>
      <c r="O29">
        <f t="shared" si="25"/>
        <v>2465612.0799577846</v>
      </c>
      <c r="P29">
        <f t="shared" si="25"/>
        <v>2488973.2171640242</v>
      </c>
      <c r="Q29">
        <f t="shared" si="25"/>
        <v>2512555.6960549532</v>
      </c>
      <c r="R29">
        <f t="shared" si="25"/>
        <v>2536361.6137948041</v>
      </c>
      <c r="S29">
        <f t="shared" si="25"/>
        <v>2560393.0874179839</v>
      </c>
      <c r="T29">
        <f t="shared" si="25"/>
        <v>2584652.2540173391</v>
      </c>
      <c r="U29">
        <f t="shared" si="25"/>
        <v>2609141.270934205</v>
      </c>
      <c r="V29">
        <f t="shared" si="25"/>
        <v>2633862.3159502563</v>
      </c>
      <c r="W29">
        <f t="shared" si="25"/>
        <v>2658817.5874811742</v>
      </c>
      <c r="X29">
        <f t="shared" si="25"/>
        <v>2684009.3047721493</v>
      </c>
      <c r="Y29">
        <f t="shared" si="25"/>
        <v>2709439.7080952376</v>
      </c>
      <c r="Z29">
        <f t="shared" si="25"/>
        <v>2735111.0589485844</v>
      </c>
      <c r="AA29">
        <f t="shared" si="25"/>
        <v>2761025.6402575364</v>
      </c>
      <c r="AB29">
        <f t="shared" si="25"/>
        <v>2787185.7565776617</v>
      </c>
      <c r="AC29">
        <f t="shared" si="25"/>
        <v>2813593.7342996891</v>
      </c>
      <c r="AD29">
        <f t="shared" si="25"/>
        <v>2840251.9218563936</v>
      </c>
      <c r="AE29">
        <f t="shared" si="25"/>
        <v>2867162.6899314383</v>
      </c>
      <c r="AF29">
        <f t="shared" si="25"/>
        <v>2894328.4316701978</v>
      </c>
      <c r="AG29">
        <f t="shared" si="25"/>
        <v>2921751.5628925776</v>
      </c>
      <c r="AH29">
        <f t="shared" si="25"/>
        <v>2949434.5223078504</v>
      </c>
      <c r="AI29">
        <f t="shared" si="25"/>
        <v>2977379.771731528</v>
      </c>
      <c r="AJ29">
        <f t="shared" si="25"/>
        <v>3005589.7963042874</v>
      </c>
      <c r="AK29">
        <f t="shared" si="25"/>
        <v>3034067.1047129724</v>
      </c>
    </row>
    <row r="30" spans="1:46" x14ac:dyDescent="0.25">
      <c r="A30" t="s">
        <v>87</v>
      </c>
      <c r="B30">
        <f>SUMIFS('FAO Stats'!$L$2:$L$97,'FAO Stats'!$H$2:$H$97,'Agriculture - Soil Mgmt'!$A30,'FAO Stats'!$I$2:$I$97,'Agriculture - Soil Mgmt'!B$22,'FAO Stats'!$K$2:$K$97,"ha")</f>
        <v>9577400</v>
      </c>
      <c r="C30">
        <f>SUMIFS('FAO Stats'!$L$2:$L$97,'FAO Stats'!$H$2:$H$97,'Agriculture - Soil Mgmt'!$A30,'FAO Stats'!$I$2:$I$97,'Agriculture - Soil Mgmt'!C$22,'FAO Stats'!$K$2:$K$97,"ha")</f>
        <v>9261600</v>
      </c>
      <c r="D30">
        <f>C30*'FAPRI Projections'!Q7/'FAPRI Projections'!P7</f>
        <v>9302694.5641375072</v>
      </c>
      <c r="E30">
        <f>D30*'FAPRI Projections'!R7/'FAPRI Projections'!Q7</f>
        <v>9310513.0662692059</v>
      </c>
      <c r="F30">
        <f>E30*'FAPRI Projections'!S7/'FAPRI Projections'!R7</f>
        <v>9268727.4179943539</v>
      </c>
      <c r="G30">
        <f>F30*'FAPRI Projections'!T7/'FAPRI Projections'!S7</f>
        <v>9277077.7782650962</v>
      </c>
      <c r="H30">
        <f>G30*'FAPRI Projections'!U7/'FAPRI Projections'!T7</f>
        <v>9274860.0187337641</v>
      </c>
      <c r="I30">
        <f>H30*'FAPRI Projections'!V7/'FAPRI Projections'!U7</f>
        <v>9272109.6522230562</v>
      </c>
      <c r="J30">
        <f t="shared" si="26"/>
        <v>9359960.8708059024</v>
      </c>
      <c r="K30">
        <f t="shared" si="25"/>
        <v>9448644.4605422374</v>
      </c>
      <c r="L30">
        <f t="shared" si="25"/>
        <v>9538168.3079673685</v>
      </c>
      <c r="M30">
        <f t="shared" si="25"/>
        <v>9628540.3743398059</v>
      </c>
      <c r="N30">
        <f t="shared" si="25"/>
        <v>9719768.696349252</v>
      </c>
      <c r="O30">
        <f t="shared" si="25"/>
        <v>9811861.3868312892</v>
      </c>
      <c r="P30">
        <f t="shared" si="25"/>
        <v>9904826.6354888529</v>
      </c>
      <c r="Q30">
        <f t="shared" si="25"/>
        <v>9998672.7096205279</v>
      </c>
      <c r="R30">
        <f t="shared" si="25"/>
        <v>10093407.954855749</v>
      </c>
      <c r="S30">
        <f t="shared" si="25"/>
        <v>10189040.795896977</v>
      </c>
      <c r="T30">
        <f t="shared" si="25"/>
        <v>10285579.737268887</v>
      </c>
      <c r="U30">
        <f t="shared" si="25"/>
        <v>10383033.364074677</v>
      </c>
      <c r="V30">
        <f t="shared" si="25"/>
        <v>10481410.342759525</v>
      </c>
      <c r="W30">
        <f t="shared" si="25"/>
        <v>10580719.421881288</v>
      </c>
      <c r="X30">
        <f t="shared" si="25"/>
        <v>10680969.432888504</v>
      </c>
      <c r="Y30">
        <f t="shared" si="25"/>
        <v>10782169.290905759</v>
      </c>
      <c r="Z30">
        <f t="shared" si="25"/>
        <v>10884327.995526506</v>
      </c>
      <c r="AA30">
        <f t="shared" si="25"/>
        <v>10987454.631613379</v>
      </c>
      <c r="AB30">
        <f t="shared" si="25"/>
        <v>11091558.370106114</v>
      </c>
      <c r="AC30">
        <f t="shared" si="25"/>
        <v>11196648.468837095</v>
      </c>
      <c r="AD30">
        <f t="shared" si="25"/>
        <v>11302734.273354655</v>
      </c>
      <c r="AE30">
        <f t="shared" si="25"/>
        <v>11409825.217754159</v>
      </c>
      <c r="AF30">
        <f t="shared" si="25"/>
        <v>11517930.825516971</v>
      </c>
      <c r="AG30">
        <f t="shared" si="25"/>
        <v>11627060.710357364</v>
      </c>
      <c r="AH30">
        <f t="shared" si="25"/>
        <v>11737224.577077463</v>
      </c>
      <c r="AI30">
        <f t="shared" si="25"/>
        <v>11848432.222430274</v>
      </c>
      <c r="AJ30">
        <f t="shared" si="25"/>
        <v>11960693.535990905</v>
      </c>
      <c r="AK30">
        <f t="shared" si="25"/>
        <v>12074018.501036035</v>
      </c>
    </row>
    <row r="32" spans="1:46" x14ac:dyDescent="0.25">
      <c r="A32" s="18" t="s">
        <v>81</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row>
    <row r="33" spans="1:46" x14ac:dyDescent="0.25">
      <c r="A33" s="8" t="s">
        <v>445</v>
      </c>
      <c r="B33">
        <v>2015</v>
      </c>
      <c r="C33">
        <v>2016</v>
      </c>
      <c r="D33">
        <v>2017</v>
      </c>
      <c r="E33">
        <v>2018</v>
      </c>
      <c r="F33">
        <v>2019</v>
      </c>
      <c r="G33">
        <v>2020</v>
      </c>
      <c r="H33">
        <v>2021</v>
      </c>
      <c r="I33">
        <v>2022</v>
      </c>
      <c r="J33">
        <v>2023</v>
      </c>
      <c r="K33">
        <v>2024</v>
      </c>
      <c r="L33">
        <v>2025</v>
      </c>
      <c r="M33">
        <v>2026</v>
      </c>
      <c r="N33">
        <v>2027</v>
      </c>
      <c r="O33">
        <v>2028</v>
      </c>
      <c r="P33">
        <v>2029</v>
      </c>
      <c r="Q33">
        <v>2030</v>
      </c>
      <c r="R33">
        <v>2031</v>
      </c>
      <c r="S33">
        <v>2032</v>
      </c>
      <c r="T33">
        <v>2033</v>
      </c>
      <c r="U33">
        <v>2034</v>
      </c>
      <c r="V33">
        <v>2035</v>
      </c>
      <c r="W33">
        <v>2036</v>
      </c>
      <c r="X33">
        <v>2037</v>
      </c>
      <c r="Y33">
        <v>2038</v>
      </c>
      <c r="Z33">
        <v>2039</v>
      </c>
      <c r="AA33">
        <v>2040</v>
      </c>
      <c r="AB33">
        <v>2041</v>
      </c>
      <c r="AC33">
        <v>2042</v>
      </c>
      <c r="AD33">
        <v>2043</v>
      </c>
      <c r="AE33">
        <v>2044</v>
      </c>
      <c r="AF33">
        <v>2045</v>
      </c>
      <c r="AG33">
        <v>2046</v>
      </c>
      <c r="AH33">
        <v>2047</v>
      </c>
      <c r="AI33">
        <v>2048</v>
      </c>
      <c r="AJ33">
        <v>2049</v>
      </c>
      <c r="AK33">
        <v>2050</v>
      </c>
    </row>
    <row r="34" spans="1:46" x14ac:dyDescent="0.25">
      <c r="A34" t="s">
        <v>86</v>
      </c>
      <c r="B34">
        <f>SUMIFS('FAO Stats'!$L$2:$L$97,'FAO Stats'!$H$2:$H$97,'Agriculture - Soil Mgmt'!$A34,'FAO Stats'!$I$2:$I$97,'Agriculture - Soil Mgmt'!B$33,'FAO Stats'!$K$2:$K$97,"tonnes")</f>
        <v>8225700</v>
      </c>
      <c r="C34">
        <f>SUMIFS('FAO Stats'!$L$2:$L$97,'FAO Stats'!$H$2:$H$97,'Agriculture - Soil Mgmt'!$A34,'FAO Stats'!$I$2:$I$97,'Agriculture - Soil Mgmt'!C$33,'FAO Stats'!$K$2:$K$97,"tonnes")</f>
        <v>8704300</v>
      </c>
      <c r="D34">
        <f>C34*'FAPRI Projections'!Q54/'FAPRI Projections'!P54</f>
        <v>8809794.667735938</v>
      </c>
      <c r="E34">
        <f>D34*'FAPRI Projections'!R54/'FAPRI Projections'!Q54</f>
        <v>9023170.3671603836</v>
      </c>
      <c r="F34">
        <f>E34*'FAPRI Projections'!S54/'FAPRI Projections'!R54</f>
        <v>9167907.8205825016</v>
      </c>
      <c r="G34">
        <f>F34*'FAPRI Projections'!T54/'FAPRI Projections'!S54</f>
        <v>9374158.3675448075</v>
      </c>
      <c r="H34">
        <f>G34*'FAPRI Projections'!U54/'FAPRI Projections'!T54</f>
        <v>9509954.0599649902</v>
      </c>
      <c r="I34">
        <f>H34*'FAPRI Projections'!V54/'FAPRI Projections'!U54</f>
        <v>9707042.5107950978</v>
      </c>
      <c r="J34">
        <f>(($I$34-$C$34)/$C$34/COUNT($E$33:$J$33)+1)*I34</f>
        <v>9893419.0560977925</v>
      </c>
      <c r="K34">
        <f t="shared" ref="K34:AK41" si="27">(($I$34-$C$34)/$C$34/COUNT($E$33:$J$33)+1)*J34</f>
        <v>10083374.056589114</v>
      </c>
      <c r="L34">
        <f t="shared" si="27"/>
        <v>10276976.219098646</v>
      </c>
      <c r="M34">
        <f t="shared" si="27"/>
        <v>10474295.569636513</v>
      </c>
      <c r="N34">
        <f t="shared" si="27"/>
        <v>10675403.478721818</v>
      </c>
      <c r="O34">
        <f t="shared" si="27"/>
        <v>10880372.687197404</v>
      </c>
      <c r="P34">
        <f t="shared" si="27"/>
        <v>11089277.332540257</v>
      </c>
      <c r="Q34">
        <f t="shared" si="27"/>
        <v>11302192.975677071</v>
      </c>
      <c r="R34">
        <f t="shared" si="27"/>
        <v>11519196.628314679</v>
      </c>
      <c r="S34">
        <f t="shared" si="27"/>
        <v>11740366.78079523</v>
      </c>
      <c r="T34">
        <f t="shared" si="27"/>
        <v>11965783.430486187</v>
      </c>
      <c r="U34">
        <f t="shared" si="27"/>
        <v>12195528.110715425</v>
      </c>
      <c r="V34">
        <f t="shared" si="27"/>
        <v>12429683.920261875</v>
      </c>
      <c r="W34">
        <f t="shared" si="27"/>
        <v>12668335.553412404</v>
      </c>
      <c r="X34">
        <f t="shared" si="27"/>
        <v>12911569.33059578</v>
      </c>
      <c r="Y34">
        <f t="shared" si="27"/>
        <v>13159473.229604825</v>
      </c>
      <c r="Z34">
        <f t="shared" si="27"/>
        <v>13412136.917418029</v>
      </c>
      <c r="AA34">
        <f t="shared" si="27"/>
        <v>13669651.782632146</v>
      </c>
      <c r="AB34">
        <f t="shared" si="27"/>
        <v>13932110.968517499</v>
      </c>
      <c r="AC34">
        <f t="shared" si="27"/>
        <v>14199609.406707956</v>
      </c>
      <c r="AD34">
        <f t="shared" si="27"/>
        <v>14472243.851537753</v>
      </c>
      <c r="AE34">
        <f t="shared" si="27"/>
        <v>14750112.915037593</v>
      </c>
      <c r="AF34">
        <f t="shared" si="27"/>
        <v>15033317.102602666</v>
      </c>
      <c r="AG34">
        <f t="shared" si="27"/>
        <v>15321958.849345516</v>
      </c>
      <c r="AH34">
        <f t="shared" si="27"/>
        <v>15616142.55714687</v>
      </c>
      <c r="AI34">
        <f t="shared" si="27"/>
        <v>15915974.63241786</v>
      </c>
      <c r="AJ34">
        <f t="shared" si="27"/>
        <v>16221563.524587281</v>
      </c>
      <c r="AK34">
        <f t="shared" si="27"/>
        <v>16533019.765327813</v>
      </c>
    </row>
    <row r="35" spans="1:46" x14ac:dyDescent="0.25">
      <c r="A35" t="s">
        <v>447</v>
      </c>
      <c r="B35">
        <f>SUMIFS('FAO Stats'!$L$2:$L$97,'FAO Stats'!$H$2:$H$97,'Agriculture - Soil Mgmt'!$A35,'FAO Stats'!$I$2:$I$97,'Agriculture - Soil Mgmt'!B$33,'FAO Stats'!$K$2:$K$97,"tonnes")</f>
        <v>243300</v>
      </c>
      <c r="C35">
        <f>SUMIFS('FAO Stats'!$L$2:$L$97,'FAO Stats'!$H$2:$H$97,'Agriculture - Soil Mgmt'!$A35,'FAO Stats'!$I$2:$I$97,'Agriculture - Soil Mgmt'!C$33,'FAO Stats'!$K$2:$K$97,"tonnes")</f>
        <v>249400</v>
      </c>
      <c r="D35">
        <f>AVERAGE('FAPRI Projections'!Q$13/'FAPRI Projections'!P$13,'FAPRI Projections'!Q$36/'FAPRI Projections'!P$36,'FAPRI Projections'!Q$54/'FAPRI Projections'!P$54,'FAPRI Projections'!Q$77/'FAPRI Projections'!P$77)*C35</f>
        <v>252152.95452453863</v>
      </c>
      <c r="E35">
        <f>AVERAGE('FAPRI Projections'!R$13/'FAPRI Projections'!Q$13,'FAPRI Projections'!R$36/'FAPRI Projections'!Q$36,'FAPRI Projections'!R$54/'FAPRI Projections'!Q$54,'FAPRI Projections'!R$77/'FAPRI Projections'!Q$77)*D35</f>
        <v>254604.25768407929</v>
      </c>
      <c r="F35">
        <f>AVERAGE('FAPRI Projections'!S$13/'FAPRI Projections'!R$13,'FAPRI Projections'!S$36/'FAPRI Projections'!R$36,'FAPRI Projections'!S$54/'FAPRI Projections'!R$54,'FAPRI Projections'!S$77/'FAPRI Projections'!R$77)*E35</f>
        <v>256500.51898809971</v>
      </c>
      <c r="G35">
        <f>AVERAGE('FAPRI Projections'!T$13/'FAPRI Projections'!S$13,'FAPRI Projections'!T$36/'FAPRI Projections'!S$36,'FAPRI Projections'!T$54/'FAPRI Projections'!S$54,'FAPRI Projections'!T$77/'FAPRI Projections'!S$77)*F35</f>
        <v>259514.10203112938</v>
      </c>
      <c r="H35">
        <f>AVERAGE('FAPRI Projections'!U$13/'FAPRI Projections'!T$13,'FAPRI Projections'!U$36/'FAPRI Projections'!T$36,'FAPRI Projections'!U$54/'FAPRI Projections'!T$54,'FAPRI Projections'!U$77/'FAPRI Projections'!T$77)*G35</f>
        <v>262216.02236632985</v>
      </c>
      <c r="I35">
        <f>AVERAGE('FAPRI Projections'!V$13/'FAPRI Projections'!U$13,'FAPRI Projections'!V$36/'FAPRI Projections'!U$36,'FAPRI Projections'!V$54/'FAPRI Projections'!U$54,'FAPRI Projections'!V$77/'FAPRI Projections'!U$77)*H35</f>
        <v>264753.2750797153</v>
      </c>
      <c r="J35">
        <f t="shared" ref="J35:Y41" si="28">(($I$34-$C$34)/$C$34/COUNT($E$33:$J$33)+1)*I35</f>
        <v>269836.57421145972</v>
      </c>
      <c r="K35">
        <f t="shared" si="28"/>
        <v>275017.47338254272</v>
      </c>
      <c r="L35">
        <f t="shared" si="28"/>
        <v>280297.84652708308</v>
      </c>
      <c r="M35">
        <f t="shared" si="28"/>
        <v>285679.60355899122</v>
      </c>
      <c r="N35">
        <f t="shared" si="28"/>
        <v>291164.69106278609</v>
      </c>
      <c r="O35">
        <f t="shared" si="28"/>
        <v>296755.09299767611</v>
      </c>
      <c r="P35">
        <f t="shared" si="28"/>
        <v>302452.83141515794</v>
      </c>
      <c r="Q35">
        <f t="shared" si="28"/>
        <v>308259.967190394</v>
      </c>
      <c r="R35">
        <f t="shared" si="28"/>
        <v>314178.6007676319</v>
      </c>
      <c r="S35">
        <f t="shared" si="28"/>
        <v>320210.87291993643</v>
      </c>
      <c r="T35">
        <f t="shared" si="28"/>
        <v>326358.96552350838</v>
      </c>
      <c r="U35">
        <f t="shared" si="28"/>
        <v>332625.10234687029</v>
      </c>
      <c r="V35">
        <f t="shared" si="28"/>
        <v>339011.54985520482</v>
      </c>
      <c r="W35">
        <f t="shared" si="28"/>
        <v>345520.61803013651</v>
      </c>
      <c r="X35">
        <f t="shared" si="28"/>
        <v>352154.66120525327</v>
      </c>
      <c r="Y35">
        <f t="shared" si="28"/>
        <v>358916.07891767035</v>
      </c>
      <c r="Z35">
        <f t="shared" si="27"/>
        <v>365807.3167759442</v>
      </c>
      <c r="AA35">
        <f t="shared" si="27"/>
        <v>372830.86734465027</v>
      </c>
      <c r="AB35">
        <f t="shared" si="27"/>
        <v>379989.27104594524</v>
      </c>
      <c r="AC35">
        <f t="shared" si="27"/>
        <v>387285.11707843898</v>
      </c>
      <c r="AD35">
        <f t="shared" si="27"/>
        <v>394721.04435370921</v>
      </c>
      <c r="AE35">
        <f t="shared" si="27"/>
        <v>402299.74245079729</v>
      </c>
      <c r="AF35">
        <f t="shared" si="27"/>
        <v>410023.95258903038</v>
      </c>
      <c r="AG35">
        <f t="shared" si="27"/>
        <v>417896.46861952211</v>
      </c>
      <c r="AH35">
        <f t="shared" si="27"/>
        <v>425920.13803571003</v>
      </c>
      <c r="AI35">
        <f t="shared" si="27"/>
        <v>434097.86300329544</v>
      </c>
      <c r="AJ35">
        <f t="shared" si="27"/>
        <v>442432.60140995868</v>
      </c>
      <c r="AK35">
        <f t="shared" si="27"/>
        <v>450927.36793522834</v>
      </c>
    </row>
    <row r="36" spans="1:46" x14ac:dyDescent="0.25">
      <c r="A36" t="s">
        <v>448</v>
      </c>
      <c r="B36">
        <f>SUMIFS('FAO Stats'!$L$2:$L$97,'FAO Stats'!$H$2:$H$97,'Agriculture - Soil Mgmt'!$A36,'FAO Stats'!$I$2:$I$97,'Agriculture - Soil Mgmt'!B$33,'FAO Stats'!$K$2:$K$97,"tonnes")</f>
        <v>0</v>
      </c>
      <c r="C36">
        <f>SUMIFS('FAO Stats'!$L$2:$L$97,'FAO Stats'!$H$2:$H$97,'Agriculture - Soil Mgmt'!$A36,'FAO Stats'!$I$2:$I$97,'Agriculture - Soil Mgmt'!C$33,'FAO Stats'!$K$2:$K$97,"tonnes")</f>
        <v>0</v>
      </c>
      <c r="D36">
        <f>AVERAGE('FAPRI Projections'!Q$13/'FAPRI Projections'!P$13,'FAPRI Projections'!Q$36/'FAPRI Projections'!P$36,'FAPRI Projections'!Q$54/'FAPRI Projections'!P$54,'FAPRI Projections'!Q$77/'FAPRI Projections'!P$77)*C36</f>
        <v>0</v>
      </c>
      <c r="E36">
        <f>AVERAGE('FAPRI Projections'!R$13/'FAPRI Projections'!Q$13,'FAPRI Projections'!R$36/'FAPRI Projections'!Q$36,'FAPRI Projections'!R$54/'FAPRI Projections'!Q$54,'FAPRI Projections'!R$77/'FAPRI Projections'!Q$77)*D36</f>
        <v>0</v>
      </c>
      <c r="F36">
        <f>AVERAGE('FAPRI Projections'!S$13/'FAPRI Projections'!R$13,'FAPRI Projections'!S$36/'FAPRI Projections'!R$36,'FAPRI Projections'!S$54/'FAPRI Projections'!R$54,'FAPRI Projections'!S$77/'FAPRI Projections'!R$77)*E36</f>
        <v>0</v>
      </c>
      <c r="G36">
        <f>AVERAGE('FAPRI Projections'!T$13/'FAPRI Projections'!S$13,'FAPRI Projections'!T$36/'FAPRI Projections'!S$36,'FAPRI Projections'!T$54/'FAPRI Projections'!S$54,'FAPRI Projections'!T$77/'FAPRI Projections'!S$77)*F36</f>
        <v>0</v>
      </c>
      <c r="H36">
        <f>AVERAGE('FAPRI Projections'!U$13/'FAPRI Projections'!T$13,'FAPRI Projections'!U$36/'FAPRI Projections'!T$36,'FAPRI Projections'!U$54/'FAPRI Projections'!T$54,'FAPRI Projections'!U$77/'FAPRI Projections'!T$77)*G36</f>
        <v>0</v>
      </c>
      <c r="I36">
        <f>AVERAGE('FAPRI Projections'!V$13/'FAPRI Projections'!U$13,'FAPRI Projections'!V$36/'FAPRI Projections'!U$36,'FAPRI Projections'!V$54/'FAPRI Projections'!U$54,'FAPRI Projections'!V$77/'FAPRI Projections'!U$77)*H36</f>
        <v>0</v>
      </c>
      <c r="J36">
        <f t="shared" si="28"/>
        <v>0</v>
      </c>
      <c r="K36">
        <f t="shared" si="27"/>
        <v>0</v>
      </c>
      <c r="L36">
        <f t="shared" si="27"/>
        <v>0</v>
      </c>
      <c r="M36">
        <f t="shared" si="27"/>
        <v>0</v>
      </c>
      <c r="N36">
        <f t="shared" si="27"/>
        <v>0</v>
      </c>
      <c r="O36">
        <f t="shared" si="27"/>
        <v>0</v>
      </c>
      <c r="P36">
        <f t="shared" si="27"/>
        <v>0</v>
      </c>
      <c r="Q36">
        <f t="shared" si="27"/>
        <v>0</v>
      </c>
      <c r="R36">
        <f t="shared" si="27"/>
        <v>0</v>
      </c>
      <c r="S36">
        <f t="shared" si="27"/>
        <v>0</v>
      </c>
      <c r="T36">
        <f t="shared" si="27"/>
        <v>0</v>
      </c>
      <c r="U36">
        <f t="shared" si="27"/>
        <v>0</v>
      </c>
      <c r="V36">
        <f t="shared" si="27"/>
        <v>0</v>
      </c>
      <c r="W36">
        <f t="shared" si="27"/>
        <v>0</v>
      </c>
      <c r="X36">
        <f t="shared" si="27"/>
        <v>0</v>
      </c>
      <c r="Y36">
        <f t="shared" si="27"/>
        <v>0</v>
      </c>
      <c r="Z36">
        <f t="shared" si="27"/>
        <v>0</v>
      </c>
      <c r="AA36">
        <f t="shared" si="27"/>
        <v>0</v>
      </c>
      <c r="AB36">
        <f t="shared" si="27"/>
        <v>0</v>
      </c>
      <c r="AC36">
        <f t="shared" si="27"/>
        <v>0</v>
      </c>
      <c r="AD36">
        <f t="shared" si="27"/>
        <v>0</v>
      </c>
      <c r="AE36">
        <f t="shared" si="27"/>
        <v>0</v>
      </c>
      <c r="AF36">
        <f t="shared" si="27"/>
        <v>0</v>
      </c>
      <c r="AG36">
        <f t="shared" si="27"/>
        <v>0</v>
      </c>
      <c r="AH36">
        <f t="shared" si="27"/>
        <v>0</v>
      </c>
      <c r="AI36">
        <f t="shared" si="27"/>
        <v>0</v>
      </c>
      <c r="AJ36">
        <f t="shared" si="27"/>
        <v>0</v>
      </c>
      <c r="AK36">
        <f t="shared" si="27"/>
        <v>0</v>
      </c>
    </row>
    <row r="37" spans="1:46" x14ac:dyDescent="0.25">
      <c r="A37" t="s">
        <v>450</v>
      </c>
      <c r="B37">
        <f>SUMIFS('FAO Stats'!$L$2:$L$97,'FAO Stats'!$H$2:$H$97,'Agriculture - Soil Mgmt'!$A37,'FAO Stats'!$I$2:$I$97,'Agriculture - Soil Mgmt'!B$33,'FAO Stats'!$K$2:$K$97,"tonnes")</f>
        <v>83500</v>
      </c>
      <c r="C37">
        <f>SUMIFS('FAO Stats'!$L$2:$L$97,'FAO Stats'!$H$2:$H$97,'Agriculture - Soil Mgmt'!$A37,'FAO Stats'!$I$2:$I$97,'Agriculture - Soil Mgmt'!C$33,'FAO Stats'!$K$2:$K$97,"tonnes")</f>
        <v>106900</v>
      </c>
      <c r="D37">
        <f>AVERAGE('FAPRI Projections'!Q$13/'FAPRI Projections'!P$13,'FAPRI Projections'!Q$36/'FAPRI Projections'!P$36,'FAPRI Projections'!Q$54/'FAPRI Projections'!P$54,'FAPRI Projections'!Q$77/'FAPRI Projections'!P$77)*C37</f>
        <v>108079.99534351716</v>
      </c>
      <c r="E37">
        <f>AVERAGE('FAPRI Projections'!R$13/'FAPRI Projections'!Q$13,'FAPRI Projections'!R$36/'FAPRI Projections'!Q$36,'FAPRI Projections'!R$54/'FAPRI Projections'!Q$54,'FAPRI Projections'!R$77/'FAPRI Projections'!Q$77)*D37</f>
        <v>109130.69425191691</v>
      </c>
      <c r="F37">
        <f>AVERAGE('FAPRI Projections'!S$13/'FAPRI Projections'!R$13,'FAPRI Projections'!S$36/'FAPRI Projections'!R$36,'FAPRI Projections'!S$54/'FAPRI Projections'!R$54,'FAPRI Projections'!S$77/'FAPRI Projections'!R$77)*E37</f>
        <v>109943.48628639879</v>
      </c>
      <c r="G37">
        <f>AVERAGE('FAPRI Projections'!T$13/'FAPRI Projections'!S$13,'FAPRI Projections'!T$36/'FAPRI Projections'!S$36,'FAPRI Projections'!T$54/'FAPRI Projections'!S$54,'FAPRI Projections'!T$77/'FAPRI Projections'!S$77)*F37</f>
        <v>111235.19449529966</v>
      </c>
      <c r="H37">
        <f>AVERAGE('FAPRI Projections'!U$13/'FAPRI Projections'!T$13,'FAPRI Projections'!U$36/'FAPRI Projections'!T$36,'FAPRI Projections'!U$54/'FAPRI Projections'!T$54,'FAPRI Projections'!U$77/'FAPRI Projections'!T$77)*G37</f>
        <v>112393.31512013097</v>
      </c>
      <c r="I37">
        <f>AVERAGE('FAPRI Projections'!V$13/'FAPRI Projections'!U$13,'FAPRI Projections'!V$36/'FAPRI Projections'!U$36,'FAPRI Projections'!V$54/'FAPRI Projections'!U$54,'FAPRI Projections'!V$77/'FAPRI Projections'!U$77)*H37</f>
        <v>113480.85447482584</v>
      </c>
      <c r="J37">
        <f t="shared" si="28"/>
        <v>115659.70241862489</v>
      </c>
      <c r="K37">
        <f t="shared" si="27"/>
        <v>117880.38454127434</v>
      </c>
      <c r="L37">
        <f t="shared" si="27"/>
        <v>120143.7040647361</v>
      </c>
      <c r="M37">
        <f t="shared" si="27"/>
        <v>122450.47963294371</v>
      </c>
      <c r="N37">
        <f t="shared" si="27"/>
        <v>124801.54560790632</v>
      </c>
      <c r="O37">
        <f t="shared" si="27"/>
        <v>127197.75237149789</v>
      </c>
      <c r="P37">
        <f t="shared" si="27"/>
        <v>129639.96663304082</v>
      </c>
      <c r="Q37">
        <f t="shared" si="27"/>
        <v>132129.07174279517</v>
      </c>
      <c r="R37">
        <f t="shared" si="27"/>
        <v>134665.9680114669</v>
      </c>
      <c r="S37">
        <f t="shared" si="27"/>
        <v>137251.57303585086</v>
      </c>
      <c r="T37">
        <f t="shared" si="27"/>
        <v>139886.82203072592</v>
      </c>
      <c r="U37">
        <f t="shared" si="27"/>
        <v>142572.66816712281</v>
      </c>
      <c r="V37">
        <f t="shared" si="27"/>
        <v>145310.08291708658</v>
      </c>
      <c r="W37">
        <f t="shared" si="27"/>
        <v>148100.05640505848</v>
      </c>
      <c r="X37">
        <f t="shared" si="27"/>
        <v>150943.59776600468</v>
      </c>
      <c r="Y37">
        <f t="shared" si="27"/>
        <v>153841.73551042084</v>
      </c>
      <c r="Z37">
        <f t="shared" si="27"/>
        <v>156795.51789634494</v>
      </c>
      <c r="AA37">
        <f t="shared" si="27"/>
        <v>159806.01330851286</v>
      </c>
      <c r="AB37">
        <f t="shared" si="27"/>
        <v>162874.31064479364</v>
      </c>
      <c r="AC37">
        <f t="shared" si="27"/>
        <v>166001.51971004455</v>
      </c>
      <c r="AD37">
        <f t="shared" si="27"/>
        <v>169188.77161752805</v>
      </c>
      <c r="AE37">
        <f t="shared" si="27"/>
        <v>172437.21919803612</v>
      </c>
      <c r="AF37">
        <f t="shared" si="27"/>
        <v>175748.0374168698</v>
      </c>
      <c r="AG37">
        <f t="shared" si="27"/>
        <v>179122.42379882475</v>
      </c>
      <c r="AH37">
        <f t="shared" si="27"/>
        <v>182561.59886133671</v>
      </c>
      <c r="AI37">
        <f t="shared" si="27"/>
        <v>186066.8065559433</v>
      </c>
      <c r="AJ37">
        <f t="shared" si="27"/>
        <v>189639.31471822195</v>
      </c>
      <c r="AK37">
        <f t="shared" si="27"/>
        <v>193280.41552636682</v>
      </c>
    </row>
    <row r="38" spans="1:46" x14ac:dyDescent="0.25">
      <c r="A38" t="s">
        <v>451</v>
      </c>
      <c r="B38">
        <f>SUMIFS('FAO Stats'!$L$2:$L$97,'FAO Stats'!$H$2:$H$97,'Agriculture - Soil Mgmt'!$A38,'FAO Stats'!$I$2:$I$97,'Agriculture - Soil Mgmt'!B$33,'FAO Stats'!$K$2:$K$97,"tonnes")</f>
        <v>2540500</v>
      </c>
      <c r="C38">
        <f>SUMIFS('FAO Stats'!$L$2:$L$97,'FAO Stats'!$H$2:$H$97,'Agriculture - Soil Mgmt'!$A38,'FAO Stats'!$I$2:$I$97,'Agriculture - Soil Mgmt'!C$33,'FAO Stats'!$K$2:$K$97,"tonnes")</f>
        <v>3233800</v>
      </c>
      <c r="D38">
        <f>AVERAGE('FAPRI Projections'!Q$13/'FAPRI Projections'!P$13,'FAPRI Projections'!Q$36/'FAPRI Projections'!P$36,'FAPRI Projections'!Q$54/'FAPRI Projections'!P$54,'FAPRI Projections'!Q$77/'FAPRI Projections'!P$77)*C38</f>
        <v>3269495.6870146473</v>
      </c>
      <c r="E38">
        <f>AVERAGE('FAPRI Projections'!R$13/'FAPRI Projections'!Q$13,'FAPRI Projections'!R$36/'FAPRI Projections'!Q$36,'FAPRI Projections'!R$54/'FAPRI Projections'!Q$54,'FAPRI Projections'!R$77/'FAPRI Projections'!Q$77)*D38</f>
        <v>3301280.0661538718</v>
      </c>
      <c r="F38">
        <f>AVERAGE('FAPRI Projections'!S$13/'FAPRI Projections'!R$13,'FAPRI Projections'!S$36/'FAPRI Projections'!R$36,'FAPRI Projections'!S$54/'FAPRI Projections'!R$54,'FAPRI Projections'!S$77/'FAPRI Projections'!R$77)*E38</f>
        <v>3325867.5954439328</v>
      </c>
      <c r="G38">
        <f>AVERAGE('FAPRI Projections'!T$13/'FAPRI Projections'!S$13,'FAPRI Projections'!T$36/'FAPRI Projections'!S$36,'FAPRI Projections'!T$54/'FAPRI Projections'!S$54,'FAPRI Projections'!T$77/'FAPRI Projections'!S$77)*F38</f>
        <v>3364942.6750130965</v>
      </c>
      <c r="H38">
        <f>AVERAGE('FAPRI Projections'!U$13/'FAPRI Projections'!T$13,'FAPRI Projections'!U$36/'FAPRI Projections'!T$36,'FAPRI Projections'!U$54/'FAPRI Projections'!T$54,'FAPRI Projections'!U$77/'FAPRI Projections'!T$77)*G38</f>
        <v>3399976.636440407</v>
      </c>
      <c r="I38">
        <f>AVERAGE('FAPRI Projections'!V$13/'FAPRI Projections'!U$13,'FAPRI Projections'!V$36/'FAPRI Projections'!U$36,'FAPRI Projections'!V$54/'FAPRI Projections'!U$54,'FAPRI Projections'!V$77/'FAPRI Projections'!U$77)*H38</f>
        <v>3432875.4649269581</v>
      </c>
      <c r="J38">
        <f t="shared" si="28"/>
        <v>3498787.1438853992</v>
      </c>
      <c r="K38">
        <f t="shared" si="27"/>
        <v>3565964.3361045183</v>
      </c>
      <c r="L38">
        <f t="shared" si="27"/>
        <v>3634431.3396121953</v>
      </c>
      <c r="M38">
        <f t="shared" si="27"/>
        <v>3704212.9189617722</v>
      </c>
      <c r="N38">
        <f t="shared" si="27"/>
        <v>3775334.3141894061</v>
      </c>
      <c r="O38">
        <f t="shared" si="27"/>
        <v>3847821.2499434049</v>
      </c>
      <c r="P38">
        <f t="shared" si="27"/>
        <v>3921699.9447888453</v>
      </c>
      <c r="Q38">
        <f t="shared" si="27"/>
        <v>3996997.1206908436</v>
      </c>
      <c r="R38">
        <f t="shared" si="27"/>
        <v>4073740.0126799052</v>
      </c>
      <c r="S38">
        <f t="shared" si="27"/>
        <v>4151956.3787028501</v>
      </c>
      <c r="T38">
        <f t="shared" si="27"/>
        <v>4231674.5096628778</v>
      </c>
      <c r="U38">
        <f t="shared" si="27"/>
        <v>4312923.2396524036</v>
      </c>
      <c r="V38">
        <f t="shared" si="27"/>
        <v>4395731.956382364</v>
      </c>
      <c r="W38">
        <f t="shared" si="27"/>
        <v>4480130.6118117711</v>
      </c>
      <c r="X38">
        <f t="shared" si="27"/>
        <v>4566149.7329813484</v>
      </c>
      <c r="Y38">
        <f t="shared" si="27"/>
        <v>4653820.4330551839</v>
      </c>
      <c r="Z38">
        <f t="shared" si="27"/>
        <v>4743174.4225743739</v>
      </c>
      <c r="AA38">
        <f t="shared" si="27"/>
        <v>4834244.0209267465</v>
      </c>
      <c r="AB38">
        <f t="shared" si="27"/>
        <v>4927062.1680368008</v>
      </c>
      <c r="AC38">
        <f t="shared" si="27"/>
        <v>5021662.4362800978</v>
      </c>
      <c r="AD38">
        <f t="shared" si="27"/>
        <v>5118079.0426264042</v>
      </c>
      <c r="AE38">
        <f t="shared" si="27"/>
        <v>5216346.8610159932</v>
      </c>
      <c r="AF38">
        <f t="shared" si="27"/>
        <v>5316501.434973564</v>
      </c>
      <c r="AG38">
        <f t="shared" si="27"/>
        <v>5418578.9904643586</v>
      </c>
      <c r="AH38">
        <f t="shared" si="27"/>
        <v>5522616.4489971111</v>
      </c>
      <c r="AI38">
        <f t="shared" si="27"/>
        <v>5628651.4409785774</v>
      </c>
      <c r="AJ38">
        <f t="shared" si="27"/>
        <v>5736722.3193244776</v>
      </c>
      <c r="AK38">
        <f t="shared" si="27"/>
        <v>5846868.1733317636</v>
      </c>
    </row>
    <row r="39" spans="1:46" x14ac:dyDescent="0.25">
      <c r="A39" t="s">
        <v>446</v>
      </c>
      <c r="B39">
        <f>SUMIFS('FAO Stats'!$L$2:$L$97,'FAO Stats'!$H$2:$H$97,'Agriculture - Soil Mgmt'!$A39,'FAO Stats'!$I$2:$I$97,'Agriculture - Soil Mgmt'!B$33,'FAO Stats'!$K$2:$K$97,"tonnes")</f>
        <v>13559100</v>
      </c>
      <c r="C39">
        <f>SUMIFS('FAO Stats'!$L$2:$L$97,'FAO Stats'!$H$2:$H$97,'Agriculture - Soil Mgmt'!$A39,'FAO Stats'!$I$2:$I$97,'Agriculture - Soil Mgmt'!C$33,'FAO Stats'!$K$2:$K$97,"tonnes")</f>
        <v>12349400</v>
      </c>
      <c r="D39">
        <f>C39*'FAPRI Projections'!Q36/'FAPRI Projections'!P36</f>
        <v>12454009.108427579</v>
      </c>
      <c r="E39">
        <f>D39*'FAPRI Projections'!R36/'FAPRI Projections'!Q36</f>
        <v>12444213.326735465</v>
      </c>
      <c r="F39">
        <f>E39*'FAPRI Projections'!S36/'FAPRI Projections'!R36</f>
        <v>12534179.153607892</v>
      </c>
      <c r="G39">
        <f>F39*'FAPRI Projections'!T36/'FAPRI Projections'!S36</f>
        <v>12594940.129933916</v>
      </c>
      <c r="H39">
        <f>G39*'FAPRI Projections'!U36/'FAPRI Projections'!T36</f>
        <v>12691988.254463399</v>
      </c>
      <c r="I39">
        <f>H39*'FAPRI Projections'!V36/'FAPRI Projections'!U36</f>
        <v>12662526.246155607</v>
      </c>
      <c r="J39">
        <f t="shared" si="28"/>
        <v>12905648.483844237</v>
      </c>
      <c r="K39">
        <f t="shared" si="27"/>
        <v>13153438.701784967</v>
      </c>
      <c r="L39">
        <f t="shared" si="27"/>
        <v>13405986.525837777</v>
      </c>
      <c r="M39">
        <f t="shared" si="27"/>
        <v>13663383.302691437</v>
      </c>
      <c r="N39">
        <f t="shared" si="27"/>
        <v>13925722.132903643</v>
      </c>
      <c r="O39">
        <f t="shared" si="27"/>
        <v>14193097.904575551</v>
      </c>
      <c r="P39">
        <f t="shared" si="27"/>
        <v>14465607.327672847</v>
      </c>
      <c r="Q39">
        <f t="shared" si="27"/>
        <v>14743348.969005803</v>
      </c>
      <c r="R39">
        <f t="shared" si="27"/>
        <v>15026423.287880942</v>
      </c>
      <c r="S39">
        <f t="shared" si="27"/>
        <v>15314932.672437228</v>
      </c>
      <c r="T39">
        <f t="shared" si="27"/>
        <v>15608981.476679914</v>
      </c>
      <c r="U39">
        <f t="shared" si="27"/>
        <v>15908676.058225438</v>
      </c>
      <c r="V39">
        <f t="shared" si="27"/>
        <v>16214124.81677104</v>
      </c>
      <c r="W39">
        <f t="shared" si="27"/>
        <v>16525438.233302986</v>
      </c>
      <c r="X39">
        <f t="shared" si="27"/>
        <v>16842728.910057608</v>
      </c>
      <c r="Y39">
        <f t="shared" si="27"/>
        <v>17166111.611249592</v>
      </c>
      <c r="Z39">
        <f t="shared" si="27"/>
        <v>17495703.304582261</v>
      </c>
      <c r="AA39">
        <f t="shared" si="27"/>
        <v>17831623.203554854</v>
      </c>
      <c r="AB39">
        <f t="shared" si="27"/>
        <v>18173992.810582124</v>
      </c>
      <c r="AC39">
        <f t="shared" si="27"/>
        <v>18522935.960941818</v>
      </c>
      <c r="AD39">
        <f t="shared" si="27"/>
        <v>18878578.867565971</v>
      </c>
      <c r="AE39">
        <f t="shared" si="27"/>
        <v>19241050.166692197</v>
      </c>
      <c r="AF39">
        <f t="shared" si="27"/>
        <v>19610480.964391485</v>
      </c>
      <c r="AG39">
        <f t="shared" si="27"/>
        <v>19987004.883989334</v>
      </c>
      <c r="AH39">
        <f t="shared" si="27"/>
        <v>20370758.114397395</v>
      </c>
      <c r="AI39">
        <f t="shared" si="27"/>
        <v>20761879.459373068</v>
      </c>
      <c r="AJ39">
        <f t="shared" si="27"/>
        <v>21160510.387724899</v>
      </c>
      <c r="AK39">
        <f t="shared" si="27"/>
        <v>21566795.084481925</v>
      </c>
    </row>
    <row r="40" spans="1:46" x14ac:dyDescent="0.25">
      <c r="A40" t="s">
        <v>88</v>
      </c>
      <c r="B40">
        <f>SUMIFS('FAO Stats'!$L$2:$L$97,'FAO Stats'!$H$2:$H$97,'Agriculture - Soil Mgmt'!$A40,'FAO Stats'!$I$2:$I$97,'Agriculture - Soil Mgmt'!B$33,'FAO Stats'!$K$2:$K$97,"tonnes")</f>
        <v>6371000</v>
      </c>
      <c r="C40">
        <f>SUMIFS('FAO Stats'!$L$2:$L$97,'FAO Stats'!$H$2:$H$97,'Agriculture - Soil Mgmt'!$A40,'FAO Stats'!$I$2:$I$97,'Agriculture - Soil Mgmt'!C$33,'FAO Stats'!$K$2:$K$97,"tonnes")</f>
        <v>5827100</v>
      </c>
      <c r="D40">
        <f>C40*'FAPRI Projections'!Q77/'FAPRI Projections'!P77</f>
        <v>5892352.0922223171</v>
      </c>
      <c r="E40">
        <f>D40*'FAPRI Projections'!R77/'FAPRI Projections'!Q77</f>
        <v>5939862.6538189705</v>
      </c>
      <c r="F40">
        <f>E40*'FAPRI Projections'!S77/'FAPRI Projections'!R77</f>
        <v>5982607.6636565216</v>
      </c>
      <c r="G40">
        <f>F40*'FAPRI Projections'!T77/'FAPRI Projections'!S77</f>
        <v>6068010.8786387369</v>
      </c>
      <c r="H40">
        <f>G40*'FAPRI Projections'!U77/'FAPRI Projections'!T77</f>
        <v>6137534.4645239292</v>
      </c>
      <c r="I40">
        <f>H40*'FAPRI Projections'!V77/'FAPRI Projections'!U77</f>
        <v>6227795.8114947053</v>
      </c>
      <c r="J40">
        <f t="shared" si="28"/>
        <v>6347370.3437898047</v>
      </c>
      <c r="K40">
        <f t="shared" si="27"/>
        <v>6469240.7234772034</v>
      </c>
      <c r="L40">
        <f t="shared" si="27"/>
        <v>6593451.0311411824</v>
      </c>
      <c r="M40">
        <f t="shared" si="27"/>
        <v>6720046.1937192772</v>
      </c>
      <c r="N40">
        <f t="shared" si="27"/>
        <v>6849072.0007523745</v>
      </c>
      <c r="O40">
        <f t="shared" si="27"/>
        <v>6980575.1209468162</v>
      </c>
      <c r="P40">
        <f t="shared" si="27"/>
        <v>7114603.1190544954</v>
      </c>
      <c r="Q40">
        <f t="shared" si="27"/>
        <v>7251204.4730770541</v>
      </c>
      <c r="R40">
        <f t="shared" si="27"/>
        <v>7390428.5918004047</v>
      </c>
      <c r="S40">
        <f t="shared" si="27"/>
        <v>7532325.8326659128</v>
      </c>
      <c r="T40">
        <f t="shared" si="27"/>
        <v>7676947.5199847128</v>
      </c>
      <c r="U40">
        <f t="shared" si="27"/>
        <v>7824345.9635017421</v>
      </c>
      <c r="V40">
        <f t="shared" si="27"/>
        <v>7974574.4773162026</v>
      </c>
      <c r="W40">
        <f t="shared" si="27"/>
        <v>8127687.3991652997</v>
      </c>
      <c r="X40">
        <f t="shared" si="27"/>
        <v>8283740.1100782333</v>
      </c>
      <c r="Y40">
        <f t="shared" si="27"/>
        <v>8442789.0544075482</v>
      </c>
      <c r="Z40">
        <f t="shared" si="27"/>
        <v>8604891.7602450848</v>
      </c>
      <c r="AA40">
        <f t="shared" si="27"/>
        <v>8770106.8602299243</v>
      </c>
      <c r="AB40">
        <f t="shared" si="27"/>
        <v>8938494.1127558462</v>
      </c>
      <c r="AC40">
        <f t="shared" si="27"/>
        <v>9110114.4235859718</v>
      </c>
      <c r="AD40">
        <f t="shared" si="27"/>
        <v>9285029.8678824157</v>
      </c>
      <c r="AE40">
        <f t="shared" si="27"/>
        <v>9463303.7126589045</v>
      </c>
      <c r="AF40">
        <f t="shared" si="27"/>
        <v>9645000.4396644868</v>
      </c>
      <c r="AG40">
        <f t="shared" si="27"/>
        <v>9830185.7687066272</v>
      </c>
      <c r="AH40">
        <f t="shared" si="27"/>
        <v>10018926.681422088</v>
      </c>
      <c r="AI40">
        <f t="shared" si="27"/>
        <v>10211291.445504231</v>
      </c>
      <c r="AJ40">
        <f t="shared" si="27"/>
        <v>10407349.639395477</v>
      </c>
      <c r="AK40">
        <f t="shared" si="27"/>
        <v>10607172.177453868</v>
      </c>
    </row>
    <row r="41" spans="1:46" x14ac:dyDescent="0.25">
      <c r="A41" t="s">
        <v>87</v>
      </c>
      <c r="B41">
        <f>SUMIFS('FAO Stats'!$L$2:$L$97,'FAO Stats'!$H$2:$H$97,'Agriculture - Soil Mgmt'!$A41,'FAO Stats'!$I$2:$I$97,'Agriculture - Soil Mgmt'!B$33,'FAO Stats'!$K$2:$K$97,"tonnes")</f>
        <v>27594100</v>
      </c>
      <c r="C41">
        <f>SUMIFS('FAO Stats'!$L$2:$L$97,'FAO Stats'!$H$2:$H$97,'Agriculture - Soil Mgmt'!$A41,'FAO Stats'!$I$2:$I$97,'Agriculture - Soil Mgmt'!C$33,'FAO Stats'!$K$2:$K$97,"tonnes")</f>
        <v>30486700</v>
      </c>
      <c r="D41">
        <f>'FAPRI Projections'!Q13/'FAPRI Projections'!P13*C41</f>
        <v>30863655.332821015</v>
      </c>
      <c r="E41">
        <f>'FAPRI Projections'!R13/'FAPRI Projections'!Q13*D41</f>
        <v>31091711.761112552</v>
      </c>
      <c r="F41">
        <f>'FAPRI Projections'!S13/'FAPRI Projections'!R13*E41</f>
        <v>31070726.092432726</v>
      </c>
      <c r="G41">
        <f>'FAPRI Projections'!T13/'FAPRI Projections'!S13*F41</f>
        <v>31237745.728057452</v>
      </c>
      <c r="H41">
        <f>'FAPRI Projections'!U13/'FAPRI Projections'!T13*G41</f>
        <v>31487552.127444513</v>
      </c>
      <c r="I41">
        <f>'FAPRI Projections'!V13/'FAPRI Projections'!U13*H41</f>
        <v>31663730.94406211</v>
      </c>
      <c r="J41">
        <f t="shared" si="28"/>
        <v>32271678.913609523</v>
      </c>
      <c r="K41">
        <f t="shared" si="27"/>
        <v>32891299.567412931</v>
      </c>
      <c r="L41">
        <f t="shared" si="27"/>
        <v>33522817.022608284</v>
      </c>
      <c r="M41">
        <f t="shared" si="27"/>
        <v>34166459.699411221</v>
      </c>
      <c r="N41">
        <f t="shared" si="27"/>
        <v>34822460.403736807</v>
      </c>
      <c r="O41">
        <f t="shared" si="27"/>
        <v>35491056.411405548</v>
      </c>
      <c r="P41">
        <f t="shared" si="27"/>
        <v>36172489.553966187</v>
      </c>
      <c r="Q41">
        <f t="shared" si="27"/>
        <v>36867006.306166321</v>
      </c>
      <c r="R41">
        <f t="shared" si="27"/>
        <v>37574857.875102438</v>
      </c>
      <c r="S41">
        <f t="shared" si="27"/>
        <v>38296300.291081689</v>
      </c>
      <c r="T41">
        <f t="shared" si="27"/>
        <v>39031594.500228174</v>
      </c>
      <c r="U41">
        <f t="shared" si="27"/>
        <v>39781006.458867297</v>
      </c>
      <c r="V41">
        <f t="shared" si="27"/>
        <v>40544807.229722328</v>
      </c>
      <c r="W41">
        <f t="shared" si="27"/>
        <v>41323273.07995794</v>
      </c>
      <c r="X41">
        <f t="shared" si="27"/>
        <v>42116685.581106193</v>
      </c>
      <c r="Y41">
        <f t="shared" si="27"/>
        <v>42925331.710911125</v>
      </c>
      <c r="Z41">
        <f t="shared" si="27"/>
        <v>43749503.957128733</v>
      </c>
      <c r="AA41">
        <f t="shared" si="27"/>
        <v>44589500.423319995</v>
      </c>
      <c r="AB41">
        <f t="shared" si="27"/>
        <v>45445624.936675064</v>
      </c>
      <c r="AC41">
        <f t="shared" si="27"/>
        <v>46318187.157907747</v>
      </c>
      <c r="AD41">
        <f t="shared" si="27"/>
        <v>47207502.693259962</v>
      </c>
      <c r="AE41">
        <f t="shared" si="27"/>
        <v>48113893.208656684</v>
      </c>
      <c r="AF41">
        <f t="shared" si="27"/>
        <v>49037686.546052679</v>
      </c>
      <c r="AG41">
        <f t="shared" si="27"/>
        <v>49979216.842013143</v>
      </c>
      <c r="AH41">
        <f t="shared" si="27"/>
        <v>50938824.648571074</v>
      </c>
      <c r="AI41">
        <f t="shared" si="27"/>
        <v>51916857.05640512</v>
      </c>
      <c r="AJ41">
        <f t="shared" si="27"/>
        <v>52913667.820382498</v>
      </c>
      <c r="AK41">
        <f t="shared" si="27"/>
        <v>53929617.487512313</v>
      </c>
    </row>
    <row r="43" spans="1:46" x14ac:dyDescent="0.25">
      <c r="A43" s="18" t="s">
        <v>89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spans="1:46" x14ac:dyDescent="0.25">
      <c r="A44" s="8" t="s">
        <v>85</v>
      </c>
      <c r="B44">
        <v>0.87</v>
      </c>
    </row>
    <row r="45" spans="1:46" x14ac:dyDescent="0.25">
      <c r="A45" s="8" t="s">
        <v>505</v>
      </c>
      <c r="B45">
        <v>0.91</v>
      </c>
    </row>
    <row r="46" spans="1:46" x14ac:dyDescent="0.25">
      <c r="A46" s="8" t="s">
        <v>506</v>
      </c>
      <c r="B46">
        <v>0.9</v>
      </c>
    </row>
    <row r="47" spans="1:46" x14ac:dyDescent="0.25">
      <c r="A47" s="8" t="s">
        <v>86</v>
      </c>
      <c r="B47">
        <v>0.89</v>
      </c>
    </row>
    <row r="48" spans="1:46" x14ac:dyDescent="0.25">
      <c r="A48" s="8" t="s">
        <v>87</v>
      </c>
      <c r="B48">
        <v>0.89</v>
      </c>
    </row>
    <row r="49" spans="1:46" x14ac:dyDescent="0.25">
      <c r="A49" s="8" t="s">
        <v>88</v>
      </c>
      <c r="B49">
        <v>0.91</v>
      </c>
    </row>
    <row r="51" spans="1:46" x14ac:dyDescent="0.25">
      <c r="A51" s="18" t="s">
        <v>92</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row>
    <row r="52" spans="1:46" x14ac:dyDescent="0.25">
      <c r="A52" s="8" t="s">
        <v>85</v>
      </c>
      <c r="B52">
        <v>6.0000000000000001E-3</v>
      </c>
    </row>
    <row r="53" spans="1:46" x14ac:dyDescent="0.25">
      <c r="A53" s="8" t="s">
        <v>505</v>
      </c>
      <c r="B53">
        <v>8.0000000000000002E-3</v>
      </c>
    </row>
    <row r="54" spans="1:46" x14ac:dyDescent="0.25">
      <c r="A54" s="8" t="s">
        <v>506</v>
      </c>
      <c r="B54">
        <v>0.01</v>
      </c>
    </row>
    <row r="55" spans="1:46" x14ac:dyDescent="0.25">
      <c r="A55" s="8" t="s">
        <v>86</v>
      </c>
      <c r="B55">
        <v>7.0000000000000001E-3</v>
      </c>
    </row>
    <row r="56" spans="1:46" x14ac:dyDescent="0.25">
      <c r="A56" s="8" t="s">
        <v>87</v>
      </c>
      <c r="B56">
        <v>6.0000000000000001E-3</v>
      </c>
    </row>
    <row r="57" spans="1:46" x14ac:dyDescent="0.25">
      <c r="A57" s="8" t="s">
        <v>88</v>
      </c>
      <c r="B57">
        <v>8.0000000000000002E-3</v>
      </c>
    </row>
    <row r="59" spans="1:46" x14ac:dyDescent="0.25">
      <c r="A59" s="18" t="s">
        <v>93</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row>
    <row r="60" spans="1:46" x14ac:dyDescent="0.25">
      <c r="A60" s="8" t="s">
        <v>85</v>
      </c>
      <c r="B60">
        <v>0.22</v>
      </c>
    </row>
    <row r="61" spans="1:46" x14ac:dyDescent="0.25">
      <c r="A61" s="8" t="s">
        <v>505</v>
      </c>
      <c r="B61">
        <v>0.19</v>
      </c>
    </row>
    <row r="62" spans="1:46" x14ac:dyDescent="0.25">
      <c r="A62" s="8" t="s">
        <v>506</v>
      </c>
      <c r="B62">
        <f>B61</f>
        <v>0.19</v>
      </c>
    </row>
    <row r="63" spans="1:46" x14ac:dyDescent="0.25">
      <c r="A63" s="8" t="s">
        <v>86</v>
      </c>
      <c r="B63">
        <v>0.22</v>
      </c>
    </row>
    <row r="64" spans="1:46" x14ac:dyDescent="0.25">
      <c r="A64" s="8" t="s">
        <v>87</v>
      </c>
      <c r="B64">
        <v>0.24</v>
      </c>
    </row>
    <row r="65" spans="1:46" x14ac:dyDescent="0.25">
      <c r="A65" s="8" t="s">
        <v>88</v>
      </c>
      <c r="B65">
        <v>0.19</v>
      </c>
    </row>
    <row r="67" spans="1:46" x14ac:dyDescent="0.25">
      <c r="A67" s="18" t="s">
        <v>94</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row>
    <row r="68" spans="1:46" x14ac:dyDescent="0.25">
      <c r="A68" s="8" t="s">
        <v>85</v>
      </c>
      <c r="B68">
        <v>7.0000000000000001E-3</v>
      </c>
    </row>
    <row r="69" spans="1:46" x14ac:dyDescent="0.25">
      <c r="A69" s="8" t="s">
        <v>505</v>
      </c>
      <c r="B69">
        <v>8.0000000000000002E-3</v>
      </c>
    </row>
    <row r="70" spans="1:46" x14ac:dyDescent="0.25">
      <c r="A70" s="8" t="s">
        <v>506</v>
      </c>
      <c r="B70">
        <v>0.01</v>
      </c>
    </row>
    <row r="71" spans="1:46" x14ac:dyDescent="0.25">
      <c r="A71" s="8" t="s">
        <v>86</v>
      </c>
      <c r="B71">
        <v>1.4E-2</v>
      </c>
    </row>
    <row r="72" spans="1:46" x14ac:dyDescent="0.25">
      <c r="A72" s="8" t="s">
        <v>87</v>
      </c>
      <c r="B72">
        <v>8.9999999999999993E-3</v>
      </c>
    </row>
    <row r="73" spans="1:46" x14ac:dyDescent="0.25">
      <c r="A73" s="8" t="s">
        <v>88</v>
      </c>
      <c r="B73">
        <v>8.0000000000000002E-3</v>
      </c>
    </row>
    <row r="75" spans="1:46" x14ac:dyDescent="0.25">
      <c r="A75" s="18" t="s">
        <v>501</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row>
    <row r="76" spans="1:46" x14ac:dyDescent="0.25">
      <c r="A76" s="8" t="s">
        <v>504</v>
      </c>
      <c r="B76" t="s">
        <v>502</v>
      </c>
      <c r="C76" t="s">
        <v>503</v>
      </c>
    </row>
    <row r="77" spans="1:46" x14ac:dyDescent="0.25">
      <c r="A77" s="8" t="s">
        <v>85</v>
      </c>
      <c r="B77">
        <v>1.03</v>
      </c>
      <c r="C77">
        <v>0.61</v>
      </c>
    </row>
    <row r="78" spans="1:46" x14ac:dyDescent="0.25">
      <c r="A78" s="8" t="s">
        <v>505</v>
      </c>
      <c r="B78">
        <v>1.1299999999999999</v>
      </c>
      <c r="C78">
        <v>0.85</v>
      </c>
    </row>
    <row r="79" spans="1:46" x14ac:dyDescent="0.25">
      <c r="A79" s="8" t="s">
        <v>506</v>
      </c>
      <c r="B79">
        <v>0.36</v>
      </c>
      <c r="C79">
        <v>0.68</v>
      </c>
    </row>
    <row r="80" spans="1:46" x14ac:dyDescent="0.25">
      <c r="A80" s="8" t="s">
        <v>86</v>
      </c>
      <c r="B80">
        <v>0.98</v>
      </c>
      <c r="C80">
        <v>0.59</v>
      </c>
    </row>
    <row r="81" spans="1:46" x14ac:dyDescent="0.25">
      <c r="A81" s="8" t="s">
        <v>87</v>
      </c>
      <c r="B81">
        <v>1.51</v>
      </c>
      <c r="C81">
        <v>0.52</v>
      </c>
    </row>
    <row r="82" spans="1:46" x14ac:dyDescent="0.25">
      <c r="A82" s="8" t="s">
        <v>88</v>
      </c>
      <c r="B82">
        <v>0.93</v>
      </c>
      <c r="C82">
        <v>1.35</v>
      </c>
    </row>
    <row r="84" spans="1:46" x14ac:dyDescent="0.25">
      <c r="A84" s="18" t="s">
        <v>95</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row>
    <row r="85" spans="1:46" x14ac:dyDescent="0.25">
      <c r="A85" s="8" t="s">
        <v>97</v>
      </c>
      <c r="B85">
        <v>2015</v>
      </c>
      <c r="C85">
        <v>2016</v>
      </c>
      <c r="D85">
        <v>2017</v>
      </c>
      <c r="E85">
        <v>2018</v>
      </c>
      <c r="F85">
        <v>2019</v>
      </c>
      <c r="G85">
        <v>2020</v>
      </c>
      <c r="H85">
        <v>2021</v>
      </c>
      <c r="I85">
        <v>2022</v>
      </c>
      <c r="J85">
        <v>2023</v>
      </c>
      <c r="K85">
        <v>2024</v>
      </c>
      <c r="L85">
        <v>2025</v>
      </c>
      <c r="M85">
        <v>2026</v>
      </c>
      <c r="N85">
        <v>2027</v>
      </c>
      <c r="O85">
        <v>2028</v>
      </c>
      <c r="P85">
        <v>2029</v>
      </c>
      <c r="Q85">
        <v>2030</v>
      </c>
      <c r="R85">
        <v>2031</v>
      </c>
      <c r="S85">
        <v>2032</v>
      </c>
      <c r="T85">
        <v>2033</v>
      </c>
      <c r="U85">
        <v>2034</v>
      </c>
      <c r="V85">
        <v>2035</v>
      </c>
      <c r="W85">
        <v>2036</v>
      </c>
      <c r="X85">
        <v>2037</v>
      </c>
      <c r="Y85">
        <v>2038</v>
      </c>
      <c r="Z85">
        <v>2039</v>
      </c>
      <c r="AA85">
        <v>2040</v>
      </c>
      <c r="AB85">
        <v>2041</v>
      </c>
      <c r="AC85">
        <v>2042</v>
      </c>
      <c r="AD85">
        <v>2043</v>
      </c>
      <c r="AE85">
        <v>2044</v>
      </c>
      <c r="AF85">
        <v>2045</v>
      </c>
      <c r="AG85">
        <v>2046</v>
      </c>
      <c r="AH85">
        <v>2047</v>
      </c>
      <c r="AI85">
        <v>2048</v>
      </c>
      <c r="AJ85">
        <v>2049</v>
      </c>
      <c r="AK85">
        <v>2050</v>
      </c>
    </row>
    <row r="86" spans="1:46" x14ac:dyDescent="0.25">
      <c r="A86" s="8" t="s">
        <v>85</v>
      </c>
      <c r="B86" s="22">
        <f>0.01*44/28/10^6*((B39*10^3/B28*$B44*$B77+$C77)*B28*($B52+$B60*$B68))</f>
        <v>1.4397329058888286</v>
      </c>
      <c r="C86" s="22">
        <f t="shared" ref="C86:AK86" si="29">0.01*44/28/10^6*((C39*10^3/C28*$B44*$B77+$C77)*C28*($B52+$B60*$B68))</f>
        <v>1.3112933832896858</v>
      </c>
      <c r="D86" s="22">
        <f t="shared" si="29"/>
        <v>1.3223999780242051</v>
      </c>
      <c r="E86" s="22">
        <f t="shared" si="29"/>
        <v>1.3213590875086902</v>
      </c>
      <c r="F86" s="22">
        <f t="shared" si="29"/>
        <v>1.3309112733528914</v>
      </c>
      <c r="G86" s="22">
        <f t="shared" si="29"/>
        <v>1.3373623872409324</v>
      </c>
      <c r="H86" s="22">
        <f t="shared" si="29"/>
        <v>1.3476662135619528</v>
      </c>
      <c r="I86" s="22">
        <f t="shared" si="29"/>
        <v>1.3445375004667097</v>
      </c>
      <c r="J86" s="22">
        <f t="shared" si="29"/>
        <v>1.3703518985445833</v>
      </c>
      <c r="K86" s="22">
        <f t="shared" si="29"/>
        <v>1.396661928015678</v>
      </c>
      <c r="L86" s="22">
        <f t="shared" si="29"/>
        <v>1.4234771049892707</v>
      </c>
      <c r="M86" s="22">
        <f t="shared" si="29"/>
        <v>1.4508071282844683</v>
      </c>
      <c r="N86" s="22">
        <f t="shared" si="29"/>
        <v>1.4786618829382554</v>
      </c>
      <c r="O86" s="22">
        <f t="shared" si="29"/>
        <v>1.5070514437808937</v>
      </c>
      <c r="P86" s="22">
        <f t="shared" si="29"/>
        <v>1.535986079079974</v>
      </c>
      <c r="Q86" s="22">
        <f t="shared" si="29"/>
        <v>1.5654762542544296</v>
      </c>
      <c r="R86" s="22">
        <f t="shared" si="29"/>
        <v>1.5955326356598616</v>
      </c>
      <c r="S86" s="22">
        <f t="shared" si="29"/>
        <v>1.6261660944465461</v>
      </c>
      <c r="T86" s="22">
        <f t="shared" si="29"/>
        <v>1.6573877104915069</v>
      </c>
      <c r="U86" s="22">
        <f t="shared" si="29"/>
        <v>1.6892087764060943</v>
      </c>
      <c r="V86" s="22">
        <f t="shared" si="29"/>
        <v>1.7216408016205047</v>
      </c>
      <c r="W86" s="22">
        <f t="shared" si="29"/>
        <v>1.7546955165467206</v>
      </c>
      <c r="X86" s="22">
        <f t="shared" si="29"/>
        <v>1.7883848768213886</v>
      </c>
      <c r="Y86" s="22">
        <f t="shared" si="29"/>
        <v>1.8227210676301508</v>
      </c>
      <c r="Z86" s="22">
        <f t="shared" si="29"/>
        <v>1.8577165081150129</v>
      </c>
      <c r="AA86" s="22">
        <f t="shared" si="29"/>
        <v>1.8933838558663263</v>
      </c>
      <c r="AB86" s="22">
        <f t="shared" si="29"/>
        <v>1.9297360115010234</v>
      </c>
      <c r="AC86" s="22">
        <f t="shared" si="29"/>
        <v>1.9667861233287522</v>
      </c>
      <c r="AD86" s="22">
        <f t="shared" si="29"/>
        <v>2.0045475921076004</v>
      </c>
      <c r="AE86" s="22">
        <f t="shared" si="29"/>
        <v>2.0430340758911343</v>
      </c>
      <c r="AF86" s="22">
        <f t="shared" si="29"/>
        <v>2.0822594949684952</v>
      </c>
      <c r="AG86" s="22">
        <f t="shared" si="29"/>
        <v>2.1222380368993523</v>
      </c>
      <c r="AH86" s="22">
        <f t="shared" si="29"/>
        <v>2.1629841616455243</v>
      </c>
      <c r="AI86" s="22">
        <f t="shared" si="29"/>
        <v>2.2045126068011256</v>
      </c>
      <c r="AJ86" s="22">
        <f t="shared" si="29"/>
        <v>2.2468383929231424</v>
      </c>
      <c r="AK86" s="22">
        <f t="shared" si="29"/>
        <v>2.2899768289643418</v>
      </c>
    </row>
    <row r="87" spans="1:46" x14ac:dyDescent="0.25">
      <c r="A87" s="8" t="s">
        <v>505</v>
      </c>
      <c r="B87" s="22">
        <f>0.01*44/28/10^6*((SUM(B37:B38)*10^3/SUM(B26:B27)*$B45*$B78+$C78)*SUM(B26:B27)*($B53+$B61*$B69))</f>
        <v>0.40387276006</v>
      </c>
      <c r="C87" s="22">
        <f t="shared" ref="C87:AK87" si="30">0.01*44/28/10^6*((SUM(C37:C38)*10^3/SUM(C26:C27)*$B45*$B78+$C78)*SUM(C26:C27)*($B53+$B61*$B69))</f>
        <v>0.5141963773760001</v>
      </c>
      <c r="D87" s="22">
        <f t="shared" si="30"/>
        <v>0.51986995036405481</v>
      </c>
      <c r="E87" s="22">
        <f t="shared" si="30"/>
        <v>0.52492221265221484</v>
      </c>
      <c r="F87" s="22">
        <f t="shared" si="30"/>
        <v>0.52883055794590117</v>
      </c>
      <c r="G87" s="22">
        <f t="shared" si="30"/>
        <v>0.53504210468425284</v>
      </c>
      <c r="H87" s="22">
        <f t="shared" si="30"/>
        <v>0.54061066456289886</v>
      </c>
      <c r="I87" s="22">
        <f t="shared" si="30"/>
        <v>0.54584019585936916</v>
      </c>
      <c r="J87" s="22">
        <f t="shared" si="30"/>
        <v>0.55631757079384003</v>
      </c>
      <c r="K87" s="22">
        <f t="shared" si="30"/>
        <v>0.5669960859331814</v>
      </c>
      <c r="L87" s="22">
        <f t="shared" si="30"/>
        <v>0.5778796029426736</v>
      </c>
      <c r="M87" s="22">
        <f t="shared" si="30"/>
        <v>0.58897205762969007</v>
      </c>
      <c r="N87" s="22">
        <f t="shared" si="30"/>
        <v>0.60027746136721416</v>
      </c>
      <c r="O87" s="22">
        <f t="shared" si="30"/>
        <v>0.61179990254468519</v>
      </c>
      <c r="P87" s="22">
        <f t="shared" si="30"/>
        <v>0.62354354804670176</v>
      </c>
      <c r="Q87" s="22">
        <f t="shared" si="30"/>
        <v>0.63551264476011671</v>
      </c>
      <c r="R87" s="22">
        <f t="shared" si="30"/>
        <v>0.64771152111006691</v>
      </c>
      <c r="S87" s="22">
        <f t="shared" si="30"/>
        <v>0.66014458862549574</v>
      </c>
      <c r="T87" s="22">
        <f t="shared" si="30"/>
        <v>0.67281634353473363</v>
      </c>
      <c r="U87" s="22">
        <f t="shared" si="30"/>
        <v>0.68573136839171411</v>
      </c>
      <c r="V87" s="22">
        <f t="shared" si="30"/>
        <v>0.69889433373341092</v>
      </c>
      <c r="W87" s="22">
        <f t="shared" si="30"/>
        <v>0.71230999976910114</v>
      </c>
      <c r="X87" s="22">
        <f t="shared" si="30"/>
        <v>0.7259832181020599</v>
      </c>
      <c r="Y87" s="22">
        <f t="shared" si="30"/>
        <v>0.73991893348431281</v>
      </c>
      <c r="Z87" s="22">
        <f t="shared" si="30"/>
        <v>0.75412218560507838</v>
      </c>
      <c r="AA87" s="22">
        <f t="shared" si="30"/>
        <v>0.76859811091355024</v>
      </c>
      <c r="AB87" s="22">
        <f t="shared" si="30"/>
        <v>0.78335194447667467</v>
      </c>
      <c r="AC87" s="22">
        <f t="shared" si="30"/>
        <v>0.79838902187260063</v>
      </c>
      <c r="AD87" s="22">
        <f t="shared" si="30"/>
        <v>0.81371478112048035</v>
      </c>
      <c r="AE87" s="22">
        <f t="shared" si="30"/>
        <v>0.8293347646473237</v>
      </c>
      <c r="AF87" s="22">
        <f t="shared" si="30"/>
        <v>0.84525462129261797</v>
      </c>
      <c r="AG87" s="22">
        <f t="shared" si="30"/>
        <v>0.86148010835143363</v>
      </c>
      <c r="AH87" s="22">
        <f t="shared" si="30"/>
        <v>0.87801709365675795</v>
      </c>
      <c r="AI87" s="22">
        <f t="shared" si="30"/>
        <v>0.89487155770181237</v>
      </c>
      <c r="AJ87" s="22">
        <f t="shared" si="30"/>
        <v>0.91204959580311473</v>
      </c>
      <c r="AK87" s="22">
        <f t="shared" si="30"/>
        <v>0.92955742030507449</v>
      </c>
    </row>
    <row r="88" spans="1:46" x14ac:dyDescent="0.25">
      <c r="A88" s="8" t="s">
        <v>506</v>
      </c>
      <c r="B88" s="22">
        <f>0.01*44/28/10^6*((SUM(B36:B37)*10^3/SUM(B24:B25)*$B46*$B79+$C79)*SUM(B24:B25)*($B54+$B62*$B70))</f>
        <v>5.0723735039999995E-3</v>
      </c>
      <c r="C88" s="22">
        <f t="shared" ref="C88:AK88" si="31">0.01*44/28/10^6*((SUM(C36:C37)*10^3/SUM(C24:C25)*$B46*$B79+$C79)*SUM(C24:C25)*($B54+$B62*$B70))</f>
        <v>6.4909083800000012E-3</v>
      </c>
      <c r="D88" s="22">
        <f t="shared" si="31"/>
        <v>6.5624440153033555E-3</v>
      </c>
      <c r="E88" s="22">
        <f t="shared" si="31"/>
        <v>6.6261592035351674E-3</v>
      </c>
      <c r="F88" s="22">
        <f t="shared" si="31"/>
        <v>6.6754501521176695E-3</v>
      </c>
      <c r="G88" s="22">
        <f t="shared" si="31"/>
        <v>6.7537999374572416E-3</v>
      </c>
      <c r="H88" s="22">
        <f t="shared" si="31"/>
        <v>6.8240175267972065E-3</v>
      </c>
      <c r="I88" s="22">
        <f t="shared" si="31"/>
        <v>6.8899728065925092E-3</v>
      </c>
      <c r="J88" s="22">
        <f t="shared" si="31"/>
        <v>7.0221212333638023E-3</v>
      </c>
      <c r="K88" s="22">
        <f t="shared" si="31"/>
        <v>7.1568056016056225E-3</v>
      </c>
      <c r="L88" s="22">
        <f t="shared" si="31"/>
        <v>7.2940745891739156E-3</v>
      </c>
      <c r="M88" s="22">
        <f t="shared" si="31"/>
        <v>7.4339778084270454E-3</v>
      </c>
      <c r="N88" s="22">
        <f t="shared" si="31"/>
        <v>7.5765658241672522E-3</v>
      </c>
      <c r="O88" s="22">
        <f t="shared" si="31"/>
        <v>7.7218901719265532E-3</v>
      </c>
      <c r="P88" s="22">
        <f t="shared" si="31"/>
        <v>7.8700033766037538E-3</v>
      </c>
      <c r="Q88" s="22">
        <f t="shared" si="31"/>
        <v>8.020958971459255E-3</v>
      </c>
      <c r="R88" s="22">
        <f t="shared" si="31"/>
        <v>8.1748115174745551E-3</v>
      </c>
      <c r="S88" s="22">
        <f t="shared" si="31"/>
        <v>8.3316166230834755E-3</v>
      </c>
      <c r="T88" s="22">
        <f t="shared" si="31"/>
        <v>8.4914309642821727E-3</v>
      </c>
      <c r="U88" s="22">
        <f t="shared" si="31"/>
        <v>8.6543123051252765E-3</v>
      </c>
      <c r="V88" s="22">
        <f t="shared" si="31"/>
        <v>8.8203195186155759E-3</v>
      </c>
      <c r="W88" s="22">
        <f t="shared" si="31"/>
        <v>8.9895126079947013E-3</v>
      </c>
      <c r="X88" s="22">
        <f t="shared" si="31"/>
        <v>9.1619527284426613E-3</v>
      </c>
      <c r="Y88" s="22">
        <f t="shared" si="31"/>
        <v>9.3377022091939484E-3</v>
      </c>
      <c r="Z88" s="22">
        <f t="shared" si="31"/>
        <v>9.5168245760782876E-3</v>
      </c>
      <c r="AA88" s="22">
        <f t="shared" si="31"/>
        <v>9.699384574494152E-3</v>
      </c>
      <c r="AB88" s="22">
        <f t="shared" si="31"/>
        <v>9.8854481928233612E-3</v>
      </c>
      <c r="AC88" s="22">
        <f t="shared" si="31"/>
        <v>1.0075082686295245E-2</v>
      </c>
      <c r="AD88" s="22">
        <f t="shared" si="31"/>
        <v>1.0268356601308948E-2</v>
      </c>
      <c r="AE88" s="22">
        <f t="shared" si="31"/>
        <v>1.0465339800222778E-2</v>
      </c>
      <c r="AF88" s="22">
        <f t="shared" si="31"/>
        <v>1.0666103486619434E-2</v>
      </c>
      <c r="AG88" s="22">
        <f t="shared" si="31"/>
        <v>1.0870720231056374E-2</v>
      </c>
      <c r="AH88" s="22">
        <f t="shared" si="31"/>
        <v>1.107926399731053E-2</v>
      </c>
      <c r="AI88" s="22">
        <f t="shared" si="31"/>
        <v>1.1291810169126969E-2</v>
      </c>
      <c r="AJ88" s="22">
        <f t="shared" si="31"/>
        <v>1.1508435577481048E-2</v>
      </c>
      <c r="AK88" s="22">
        <f t="shared" si="31"/>
        <v>1.1729218528364069E-2</v>
      </c>
    </row>
    <row r="89" spans="1:46" x14ac:dyDescent="0.25">
      <c r="A89" s="8" t="s">
        <v>86</v>
      </c>
      <c r="B89" s="22">
        <f>0.01*44/28/10^6*((B34*10^3/B23*$B47*$B80+$C80)*B23*($B55+$B63*$B71))</f>
        <v>1.1366537062320003</v>
      </c>
      <c r="C89" s="22">
        <f t="shared" ref="C89:AK89" si="32">0.01*44/28/10^6*((C34*10^3/C23*$B47*$B80+$C80)*C23*($B55+$B63*$B71))</f>
        <v>1.2027738368448002</v>
      </c>
      <c r="D89" s="22">
        <f t="shared" si="32"/>
        <v>1.2173488332416544</v>
      </c>
      <c r="E89" s="22">
        <f t="shared" si="32"/>
        <v>1.2468314040034367</v>
      </c>
      <c r="F89" s="22">
        <f t="shared" si="32"/>
        <v>1.2668294974513323</v>
      </c>
      <c r="G89" s="22">
        <f t="shared" si="32"/>
        <v>1.2953275259794645</v>
      </c>
      <c r="H89" s="22">
        <f t="shared" si="32"/>
        <v>1.3140897405164789</v>
      </c>
      <c r="I89" s="22">
        <f t="shared" si="32"/>
        <v>1.3413216275538038</v>
      </c>
      <c r="J89" s="22">
        <f t="shared" si="32"/>
        <v>1.3670729418160106</v>
      </c>
      <c r="K89" s="22">
        <f t="shared" si="32"/>
        <v>1.3933186635704513</v>
      </c>
      <c r="L89" s="22">
        <f t="shared" si="32"/>
        <v>1.420068285307166</v>
      </c>
      <c r="M89" s="22">
        <f t="shared" si="32"/>
        <v>1.4473314817713949</v>
      </c>
      <c r="N89" s="22">
        <f t="shared" si="32"/>
        <v>1.4751181134628837</v>
      </c>
      <c r="O89" s="22">
        <f t="shared" si="32"/>
        <v>1.5034382302023792</v>
      </c>
      <c r="P89" s="22">
        <f t="shared" si="32"/>
        <v>1.5323020747665952</v>
      </c>
      <c r="Q89" s="22">
        <f t="shared" si="32"/>
        <v>1.5617200865929823</v>
      </c>
      <c r="R89" s="22">
        <f t="shared" si="32"/>
        <v>1.5917029055556156</v>
      </c>
      <c r="S89" s="22">
        <f t="shared" si="32"/>
        <v>1.6222613758135893</v>
      </c>
      <c r="T89" s="22">
        <f t="shared" si="32"/>
        <v>1.6534065497332988</v>
      </c>
      <c r="U89" s="22">
        <f t="shared" si="32"/>
        <v>1.6851496918860263</v>
      </c>
      <c r="V89" s="22">
        <f t="shared" si="32"/>
        <v>1.717502283122289</v>
      </c>
      <c r="W89" s="22">
        <f t="shared" si="32"/>
        <v>1.7504760247244069</v>
      </c>
      <c r="X89" s="22">
        <f t="shared" si="32"/>
        <v>1.7840828426388053</v>
      </c>
      <c r="Y89" s="22">
        <f t="shared" si="32"/>
        <v>1.8183348917895747</v>
      </c>
      <c r="Z89" s="22">
        <f t="shared" si="32"/>
        <v>1.8532445604748555</v>
      </c>
      <c r="AA89" s="22">
        <f t="shared" si="32"/>
        <v>1.8888244748476293</v>
      </c>
      <c r="AB89" s="22">
        <f t="shared" si="32"/>
        <v>1.9250875034825445</v>
      </c>
      <c r="AC89" s="22">
        <f t="shared" si="32"/>
        <v>1.9620467620304236</v>
      </c>
      <c r="AD89" s="22">
        <f t="shared" si="32"/>
        <v>1.9997156179621425</v>
      </c>
      <c r="AE89" s="22">
        <f t="shared" si="32"/>
        <v>2.0381076954035824</v>
      </c>
      <c r="AF89" s="22">
        <f t="shared" si="32"/>
        <v>2.0772368800634249</v>
      </c>
      <c r="AG89" s="22">
        <f t="shared" si="32"/>
        <v>2.117117324255553</v>
      </c>
      <c r="AH89" s="22">
        <f t="shared" si="32"/>
        <v>2.1577634520178872</v>
      </c>
      <c r="AI89" s="22">
        <f t="shared" si="32"/>
        <v>2.1991899643295025</v>
      </c>
      <c r="AJ89" s="22">
        <f t="shared" si="32"/>
        <v>2.241411844427911</v>
      </c>
      <c r="AK89" s="22">
        <f t="shared" si="32"/>
        <v>2.2844443632284452</v>
      </c>
    </row>
    <row r="90" spans="1:46" x14ac:dyDescent="0.25">
      <c r="A90" s="8" t="s">
        <v>87</v>
      </c>
      <c r="B90" s="22">
        <f>0.01*44/28/10^6*((B41*10^3/B30*$B48*$B81+$C81)*B30*($B56+$B64*$B72))</f>
        <v>4.7558298936041146</v>
      </c>
      <c r="C90" s="22">
        <f t="shared" ref="C90:AK90" si="33">0.01*44/28/10^6*((C41*10^3/C30*$B48*$B81+$C81)*C30*($B56+$B64*$B72))</f>
        <v>5.254280114944458</v>
      </c>
      <c r="D90" s="22">
        <f t="shared" si="33"/>
        <v>5.319242201932755</v>
      </c>
      <c r="E90" s="22">
        <f t="shared" si="33"/>
        <v>5.358542861333162</v>
      </c>
      <c r="F90" s="22">
        <f t="shared" si="33"/>
        <v>5.3549236908583762</v>
      </c>
      <c r="G90" s="22">
        <f t="shared" si="33"/>
        <v>5.383706136369784</v>
      </c>
      <c r="H90" s="22">
        <f t="shared" si="33"/>
        <v>5.426754220285587</v>
      </c>
      <c r="I90" s="22">
        <f t="shared" si="33"/>
        <v>5.4571142940913182</v>
      </c>
      <c r="J90" s="22">
        <f t="shared" si="33"/>
        <v>5.5618856229936346</v>
      </c>
      <c r="K90" s="22">
        <f t="shared" si="33"/>
        <v>5.6686685187868742</v>
      </c>
      <c r="L90" s="22">
        <f t="shared" si="33"/>
        <v>5.7775016032909994</v>
      </c>
      <c r="M90" s="22">
        <f t="shared" si="33"/>
        <v>5.888424239865083</v>
      </c>
      <c r="N90" s="22">
        <f t="shared" si="33"/>
        <v>6.0014765476449252</v>
      </c>
      <c r="O90" s="22">
        <f t="shared" si="33"/>
        <v>6.1166994160540105</v>
      </c>
      <c r="P90" s="22">
        <f t="shared" si="33"/>
        <v>6.2341345195930913</v>
      </c>
      <c r="Q90" s="22">
        <f t="shared" si="33"/>
        <v>6.3538243329137343</v>
      </c>
      <c r="R90" s="22">
        <f t="shared" si="33"/>
        <v>6.4758121461812674</v>
      </c>
      <c r="S90" s="22">
        <f t="shared" si="33"/>
        <v>6.6001420807327058</v>
      </c>
      <c r="T90" s="22">
        <f t="shared" si="33"/>
        <v>6.7268591050353237</v>
      </c>
      <c r="U90" s="22">
        <f t="shared" si="33"/>
        <v>6.8560090509515952</v>
      </c>
      <c r="V90" s="22">
        <f t="shared" si="33"/>
        <v>6.9876386303164724</v>
      </c>
      <c r="W90" s="22">
        <f t="shared" si="33"/>
        <v>7.1217954518329094</v>
      </c>
      <c r="X90" s="22">
        <f t="shared" si="33"/>
        <v>7.2585280382918036</v>
      </c>
      <c r="Y90" s="22">
        <f t="shared" si="33"/>
        <v>7.3978858441225572</v>
      </c>
      <c r="Z90" s="22">
        <f t="shared" si="33"/>
        <v>7.5399192732805975</v>
      </c>
      <c r="AA90" s="22">
        <f t="shared" si="33"/>
        <v>7.6846796974783746</v>
      </c>
      <c r="AB90" s="22">
        <f t="shared" si="33"/>
        <v>7.8322194747663554</v>
      </c>
      <c r="AC90" s="22">
        <f t="shared" si="33"/>
        <v>7.9825919684707873</v>
      </c>
      <c r="AD90" s="22">
        <f t="shared" si="33"/>
        <v>8.1358515664950986</v>
      </c>
      <c r="AE90" s="22">
        <f t="shared" si="33"/>
        <v>8.2920537009918451</v>
      </c>
      <c r="AF90" s="22">
        <f t="shared" si="33"/>
        <v>8.4512548684123825</v>
      </c>
      <c r="AG90" s="22">
        <f t="shared" si="33"/>
        <v>8.6135126499414927</v>
      </c>
      <c r="AH90" s="22">
        <f t="shared" si="33"/>
        <v>8.7788857323243583</v>
      </c>
      <c r="AI90" s="22">
        <f t="shared" si="33"/>
        <v>8.947433929093398</v>
      </c>
      <c r="AJ90" s="22">
        <f t="shared" si="33"/>
        <v>9.1192182022027151</v>
      </c>
      <c r="AK90" s="22">
        <f t="shared" si="33"/>
        <v>9.2943006840778413</v>
      </c>
    </row>
    <row r="91" spans="1:46" x14ac:dyDescent="0.25">
      <c r="A91" s="8" t="s">
        <v>88</v>
      </c>
      <c r="B91" s="22">
        <f>0.01*44/28/10^6*((B40*10^3/B29*$B49*$B82+$C82)*B29*($B57+$B65*$B73))</f>
        <v>0.80705367098400027</v>
      </c>
      <c r="C91" s="22">
        <f t="shared" ref="C91:AK91" si="34">0.01*44/28/10^6*((C40*10^3/C29*$B49*$B82+$C82)*C29*($B57+$B65*$B73))</f>
        <v>0.73819101298800005</v>
      </c>
      <c r="D91" s="22">
        <f t="shared" si="34"/>
        <v>0.74645654416881302</v>
      </c>
      <c r="E91" s="22">
        <f t="shared" si="34"/>
        <v>0.75247539828447096</v>
      </c>
      <c r="F91" s="22">
        <f t="shared" si="34"/>
        <v>0.75789132023310668</v>
      </c>
      <c r="G91" s="22">
        <f t="shared" si="34"/>
        <v>0.76870918685597911</v>
      </c>
      <c r="H91" s="22">
        <f t="shared" si="34"/>
        <v>0.77751672602042987</v>
      </c>
      <c r="I91" s="22">
        <f t="shared" si="34"/>
        <v>0.7889498682994287</v>
      </c>
      <c r="J91" s="22">
        <f t="shared" si="34"/>
        <v>0.80409323740761152</v>
      </c>
      <c r="K91" s="22">
        <f t="shared" si="34"/>
        <v>0.81952731791584543</v>
      </c>
      <c r="L91" s="22">
        <f t="shared" si="34"/>
        <v>0.83525769111198644</v>
      </c>
      <c r="M91" s="22">
        <f t="shared" si="34"/>
        <v>0.85129004544148978</v>
      </c>
      <c r="N91" s="22">
        <f t="shared" si="34"/>
        <v>0.86763017856481239</v>
      </c>
      <c r="O91" s="22">
        <f t="shared" si="34"/>
        <v>0.88428399945431901</v>
      </c>
      <c r="P91" s="22">
        <f t="shared" si="34"/>
        <v>0.90125753053144908</v>
      </c>
      <c r="Q91" s="22">
        <f t="shared" si="34"/>
        <v>0.918556909844916</v>
      </c>
      <c r="R91" s="22">
        <f t="shared" si="34"/>
        <v>0.93618839329072823</v>
      </c>
      <c r="S91" s="22">
        <f t="shared" si="34"/>
        <v>0.9541583568748353</v>
      </c>
      <c r="T91" s="22">
        <f t="shared" si="34"/>
        <v>0.97247329901921553</v>
      </c>
      <c r="U91" s="22">
        <f t="shared" si="34"/>
        <v>0.991139842912242</v>
      </c>
      <c r="V91" s="22">
        <f t="shared" si="34"/>
        <v>1.0101647389041739</v>
      </c>
      <c r="W91" s="22">
        <f t="shared" si="34"/>
        <v>1.0295548669486414</v>
      </c>
      <c r="X91" s="22">
        <f t="shared" si="34"/>
        <v>1.0493172390910097</v>
      </c>
      <c r="Y91" s="22">
        <f t="shared" si="34"/>
        <v>1.0694590020045149</v>
      </c>
      <c r="Z91" s="22">
        <f t="shared" si="34"/>
        <v>1.0899874395750995</v>
      </c>
      <c r="AA91" s="22">
        <f t="shared" si="34"/>
        <v>1.1109099755358696</v>
      </c>
      <c r="AB91" s="22">
        <f t="shared" si="34"/>
        <v>1.1322341761521395</v>
      </c>
      <c r="AC91" s="22">
        <f t="shared" si="34"/>
        <v>1.1539677529580281</v>
      </c>
      <c r="AD91" s="22">
        <f t="shared" si="34"/>
        <v>1.1761185655455959</v>
      </c>
      <c r="AE91" s="22">
        <f t="shared" si="34"/>
        <v>1.198694624407534</v>
      </c>
      <c r="AF91" s="22">
        <f t="shared" si="34"/>
        <v>1.2217040938344332</v>
      </c>
      <c r="AG91" s="22">
        <f t="shared" si="34"/>
        <v>1.2451552948676823</v>
      </c>
      <c r="AH91" s="22">
        <f t="shared" si="34"/>
        <v>1.2690567083090571</v>
      </c>
      <c r="AI91" s="22">
        <f t="shared" si="34"/>
        <v>1.2934169777881015</v>
      </c>
      <c r="AJ91" s="22">
        <f t="shared" si="34"/>
        <v>1.3182449128883926</v>
      </c>
      <c r="AK91" s="22">
        <f t="shared" si="34"/>
        <v>1.3435494923338376</v>
      </c>
    </row>
    <row r="92" spans="1:46" x14ac:dyDescent="0.25">
      <c r="A92" s="18" t="s">
        <v>96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row>
    <row r="93" spans="1:46" x14ac:dyDescent="0.25">
      <c r="B93">
        <v>2015</v>
      </c>
      <c r="C93">
        <v>2016</v>
      </c>
      <c r="D93">
        <v>2017</v>
      </c>
      <c r="E93">
        <v>2018</v>
      </c>
      <c r="F93">
        <v>2019</v>
      </c>
      <c r="G93">
        <v>2020</v>
      </c>
      <c r="H93">
        <v>2021</v>
      </c>
      <c r="I93">
        <v>2022</v>
      </c>
      <c r="J93">
        <v>2023</v>
      </c>
      <c r="K93">
        <v>2024</v>
      </c>
      <c r="L93">
        <v>2025</v>
      </c>
      <c r="M93">
        <v>2026</v>
      </c>
      <c r="N93">
        <v>2027</v>
      </c>
      <c r="O93">
        <v>2028</v>
      </c>
      <c r="P93">
        <v>2029</v>
      </c>
      <c r="Q93">
        <v>2030</v>
      </c>
      <c r="R93">
        <v>2031</v>
      </c>
      <c r="S93">
        <v>2032</v>
      </c>
      <c r="T93">
        <v>2033</v>
      </c>
      <c r="U93">
        <v>2034</v>
      </c>
      <c r="V93">
        <v>2035</v>
      </c>
      <c r="W93">
        <v>2036</v>
      </c>
      <c r="X93">
        <v>2037</v>
      </c>
      <c r="Y93">
        <v>2038</v>
      </c>
      <c r="Z93">
        <v>2039</v>
      </c>
      <c r="AA93">
        <v>2040</v>
      </c>
      <c r="AB93">
        <v>2041</v>
      </c>
      <c r="AC93">
        <v>2042</v>
      </c>
      <c r="AD93">
        <v>2043</v>
      </c>
      <c r="AE93">
        <v>2044</v>
      </c>
      <c r="AF93">
        <v>2045</v>
      </c>
      <c r="AG93">
        <v>2046</v>
      </c>
      <c r="AH93">
        <v>2047</v>
      </c>
      <c r="AI93">
        <v>2048</v>
      </c>
      <c r="AJ93">
        <v>2049</v>
      </c>
      <c r="AK93">
        <v>2050</v>
      </c>
    </row>
    <row r="94" spans="1:46" x14ac:dyDescent="0.25">
      <c r="A94" s="8" t="s">
        <v>97</v>
      </c>
      <c r="B94" s="12">
        <f>SUM(B86:B91)</f>
        <v>8.5482153102729441</v>
      </c>
      <c r="C94" s="12">
        <f t="shared" ref="C94:AK94" si="35">SUM(C86:C91)</f>
        <v>9.027225633822944</v>
      </c>
      <c r="D94" s="12">
        <f t="shared" si="35"/>
        <v>9.1318799517467859</v>
      </c>
      <c r="E94" s="12">
        <f t="shared" si="35"/>
        <v>9.210757122985509</v>
      </c>
      <c r="F94" s="12">
        <f t="shared" si="35"/>
        <v>9.2460617899937247</v>
      </c>
      <c r="G94" s="12">
        <f t="shared" si="35"/>
        <v>9.3269011410678697</v>
      </c>
      <c r="H94" s="12">
        <f t="shared" si="35"/>
        <v>9.4134615824741452</v>
      </c>
      <c r="I94" s="12">
        <f t="shared" si="35"/>
        <v>9.4846534590772222</v>
      </c>
      <c r="J94" s="12">
        <f t="shared" si="35"/>
        <v>9.6667433927890443</v>
      </c>
      <c r="K94" s="12">
        <f t="shared" si="35"/>
        <v>9.8523293198236352</v>
      </c>
      <c r="L94" s="12">
        <f t="shared" si="35"/>
        <v>10.041478362231269</v>
      </c>
      <c r="M94" s="12">
        <f t="shared" si="35"/>
        <v>10.234258930800552</v>
      </c>
      <c r="N94" s="12">
        <f t="shared" si="35"/>
        <v>10.430740749802258</v>
      </c>
      <c r="O94" s="12">
        <f t="shared" si="35"/>
        <v>10.630994882208213</v>
      </c>
      <c r="P94" s="12">
        <f t="shared" si="35"/>
        <v>10.835093755394416</v>
      </c>
      <c r="Q94" s="12">
        <f t="shared" si="35"/>
        <v>11.043111187337638</v>
      </c>
      <c r="R94" s="12">
        <f t="shared" si="35"/>
        <v>11.255122413315014</v>
      </c>
      <c r="S94" s="12">
        <f t="shared" si="35"/>
        <v>11.471204113116254</v>
      </c>
      <c r="T94" s="12">
        <f t="shared" si="35"/>
        <v>11.69143443877836</v>
      </c>
      <c r="U94" s="12">
        <f t="shared" si="35"/>
        <v>11.915893042852797</v>
      </c>
      <c r="V94" s="12">
        <f t="shared" si="35"/>
        <v>12.144661107215466</v>
      </c>
      <c r="W94" s="12">
        <f t="shared" si="35"/>
        <v>12.377821372429775</v>
      </c>
      <c r="X94" s="12">
        <f t="shared" si="35"/>
        <v>12.615458167673509</v>
      </c>
      <c r="Y94" s="12">
        <f t="shared" si="35"/>
        <v>12.857657441240303</v>
      </c>
      <c r="Z94" s="12">
        <f t="shared" si="35"/>
        <v>13.10450679162672</v>
      </c>
      <c r="AA94" s="12">
        <f t="shared" si="35"/>
        <v>13.356095499216245</v>
      </c>
      <c r="AB94" s="12">
        <f t="shared" si="35"/>
        <v>13.612514558571561</v>
      </c>
      <c r="AC94" s="12">
        <f t="shared" si="35"/>
        <v>13.873856711346887</v>
      </c>
      <c r="AD94" s="12">
        <f t="shared" si="35"/>
        <v>14.140216479832226</v>
      </c>
      <c r="AE94" s="12">
        <f t="shared" si="35"/>
        <v>14.411690201141642</v>
      </c>
      <c r="AF94" s="12">
        <f t="shared" si="35"/>
        <v>14.688376062057973</v>
      </c>
      <c r="AG94" s="12">
        <f t="shared" si="35"/>
        <v>14.970374134546571</v>
      </c>
      <c r="AH94" s="12">
        <f t="shared" si="35"/>
        <v>15.257786411950894</v>
      </c>
      <c r="AI94" s="12">
        <f t="shared" si="35"/>
        <v>15.550716845883066</v>
      </c>
      <c r="AJ94" s="12">
        <f t="shared" si="35"/>
        <v>15.849271383822757</v>
      </c>
      <c r="AK94" s="12">
        <f t="shared" si="35"/>
        <v>16.153558007437905</v>
      </c>
    </row>
    <row r="95" spans="1:46" x14ac:dyDescent="0.25">
      <c r="A95" s="8" t="s">
        <v>670</v>
      </c>
      <c r="B95" s="22">
        <f>Table3.D!E15</f>
        <v>18.439892134408481</v>
      </c>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row>
    <row r="96" spans="1:46" x14ac:dyDescent="0.25">
      <c r="A96" s="8" t="s">
        <v>671</v>
      </c>
      <c r="B96" s="22">
        <f>B95</f>
        <v>18.439892134408481</v>
      </c>
      <c r="C96">
        <f>C94*$B$95/$B$94</f>
        <v>19.473195388587754</v>
      </c>
      <c r="D96">
        <f t="shared" ref="D96:AK96" si="36">D94*$B$95/$B$94</f>
        <v>19.698951790815546</v>
      </c>
      <c r="E96">
        <f t="shared" si="36"/>
        <v>19.86910269094102</v>
      </c>
      <c r="F96">
        <f t="shared" si="36"/>
        <v>19.945260605528215</v>
      </c>
      <c r="G96">
        <f t="shared" si="36"/>
        <v>20.119644247015508</v>
      </c>
      <c r="H96">
        <f t="shared" si="36"/>
        <v>20.306369211783331</v>
      </c>
      <c r="I96">
        <f t="shared" si="36"/>
        <v>20.459941680159183</v>
      </c>
      <c r="J96">
        <f t="shared" si="36"/>
        <v>20.852739312709733</v>
      </c>
      <c r="K96">
        <f t="shared" si="36"/>
        <v>21.253078372030036</v>
      </c>
      <c r="L96">
        <f t="shared" si="36"/>
        <v>21.661103651310469</v>
      </c>
      <c r="M96">
        <f t="shared" si="36"/>
        <v>22.076962723759827</v>
      </c>
      <c r="N96">
        <f t="shared" si="36"/>
        <v>22.500805995981779</v>
      </c>
      <c r="O96">
        <f t="shared" si="36"/>
        <v>22.932786762376097</v>
      </c>
      <c r="P96">
        <f t="shared" si="36"/>
        <v>23.37306126058451</v>
      </c>
      <c r="Q96">
        <f t="shared" si="36"/>
        <v>23.821788728001003</v>
      </c>
      <c r="R96">
        <f t="shared" si="36"/>
        <v>24.279131459367193</v>
      </c>
      <c r="S96">
        <f t="shared" si="36"/>
        <v>24.745254865473502</v>
      </c>
      <c r="T96">
        <f t="shared" si="36"/>
        <v>25.22032753298744</v>
      </c>
      <c r="U96">
        <f t="shared" si="36"/>
        <v>25.70452128543053</v>
      </c>
      <c r="V96">
        <f t="shared" si="36"/>
        <v>26.198011245326072</v>
      </c>
      <c r="W96">
        <f t="shared" si="36"/>
        <v>26.700975897540083</v>
      </c>
      <c r="X96">
        <f t="shared" si="36"/>
        <v>27.213597153838439</v>
      </c>
      <c r="Y96">
        <f t="shared" si="36"/>
        <v>27.736060418683504</v>
      </c>
      <c r="Z96">
        <f t="shared" si="36"/>
        <v>28.268554656294022</v>
      </c>
      <c r="AA96">
        <f t="shared" si="36"/>
        <v>28.811272458992647</v>
      </c>
      <c r="AB96">
        <f t="shared" si="36"/>
        <v>29.364410116865649</v>
      </c>
      <c r="AC96">
        <f t="shared" si="36"/>
        <v>29.928167688760176</v>
      </c>
      <c r="AD96">
        <f t="shared" si="36"/>
        <v>30.502749074644672</v>
      </c>
      <c r="AE96">
        <f t="shared" si="36"/>
        <v>31.088362089358526</v>
      </c>
      <c r="AF96">
        <f t="shared" si="36"/>
        <v>31.685218537777839</v>
      </c>
      <c r="AG96">
        <f t="shared" si="36"/>
        <v>32.293534291424294</v>
      </c>
      <c r="AH96">
        <f t="shared" si="36"/>
        <v>32.913529366544971</v>
      </c>
      <c r="AI96">
        <f t="shared" si="36"/>
        <v>33.545428003691292</v>
      </c>
      <c r="AJ96">
        <f t="shared" si="36"/>
        <v>34.189458748825885</v>
      </c>
      <c r="AK96">
        <f t="shared" si="36"/>
        <v>34.845854535986689</v>
      </c>
    </row>
    <row r="98" spans="1:37" x14ac:dyDescent="0.25">
      <c r="A98" s="19" t="s">
        <v>99</v>
      </c>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row>
    <row r="99" spans="1:37" x14ac:dyDescent="0.25">
      <c r="B99">
        <v>2015</v>
      </c>
      <c r="C99">
        <v>2016</v>
      </c>
      <c r="D99">
        <v>2017</v>
      </c>
      <c r="E99">
        <v>2018</v>
      </c>
      <c r="F99">
        <v>2019</v>
      </c>
      <c r="G99">
        <v>2020</v>
      </c>
      <c r="H99">
        <v>2021</v>
      </c>
      <c r="I99">
        <v>2022</v>
      </c>
      <c r="J99">
        <v>2023</v>
      </c>
      <c r="K99">
        <v>2024</v>
      </c>
      <c r="L99">
        <v>2025</v>
      </c>
      <c r="M99">
        <v>2026</v>
      </c>
      <c r="N99">
        <v>2027</v>
      </c>
      <c r="O99">
        <v>2028</v>
      </c>
      <c r="P99">
        <v>2029</v>
      </c>
      <c r="Q99">
        <v>2030</v>
      </c>
      <c r="R99">
        <v>2031</v>
      </c>
      <c r="S99">
        <v>2032</v>
      </c>
      <c r="T99">
        <v>2033</v>
      </c>
      <c r="U99">
        <v>2034</v>
      </c>
      <c r="V99">
        <v>2035</v>
      </c>
      <c r="W99">
        <v>2036</v>
      </c>
      <c r="X99">
        <v>2037</v>
      </c>
      <c r="Y99">
        <v>2038</v>
      </c>
      <c r="Z99">
        <v>2039</v>
      </c>
      <c r="AA99">
        <v>2040</v>
      </c>
      <c r="AB99">
        <v>2041</v>
      </c>
      <c r="AC99">
        <v>2042</v>
      </c>
      <c r="AD99">
        <v>2043</v>
      </c>
      <c r="AE99">
        <v>2044</v>
      </c>
      <c r="AF99">
        <v>2045</v>
      </c>
      <c r="AG99">
        <v>2046</v>
      </c>
      <c r="AH99">
        <v>2047</v>
      </c>
      <c r="AI99">
        <v>2048</v>
      </c>
      <c r="AJ99">
        <v>2049</v>
      </c>
      <c r="AK99">
        <v>2050</v>
      </c>
    </row>
    <row r="100" spans="1:37" x14ac:dyDescent="0.25">
      <c r="A100" s="8" t="s">
        <v>80</v>
      </c>
      <c r="B100" s="21">
        <f>SUM(B17:B18)</f>
        <v>52.844785714285834</v>
      </c>
      <c r="C100" s="21">
        <f t="shared" ref="C100:AK100" si="37">SUM(C17:C18)</f>
        <v>53.991417857142778</v>
      </c>
      <c r="D100" s="21">
        <f t="shared" si="37"/>
        <v>55.138050000000014</v>
      </c>
      <c r="E100" s="21">
        <f t="shared" si="37"/>
        <v>56.28468214285725</v>
      </c>
      <c r="F100" s="21">
        <f t="shared" si="37"/>
        <v>57.431314285714194</v>
      </c>
      <c r="G100" s="21">
        <f t="shared" si="37"/>
        <v>58.57794642857143</v>
      </c>
      <c r="H100" s="21">
        <f t="shared" si="37"/>
        <v>59.724578571428665</v>
      </c>
      <c r="I100" s="21">
        <f t="shared" si="37"/>
        <v>60.87121071428561</v>
      </c>
      <c r="J100" s="21">
        <f t="shared" si="37"/>
        <v>62.017842857142846</v>
      </c>
      <c r="K100" s="21">
        <f t="shared" si="37"/>
        <v>63.164475000000081</v>
      </c>
      <c r="L100" s="21">
        <f t="shared" si="37"/>
        <v>64.311107142857026</v>
      </c>
      <c r="M100" s="21">
        <f t="shared" si="37"/>
        <v>65.457739285714268</v>
      </c>
      <c r="N100" s="21">
        <f t="shared" si="37"/>
        <v>66.604371428571497</v>
      </c>
      <c r="O100" s="21">
        <f t="shared" si="37"/>
        <v>67.751003571428441</v>
      </c>
      <c r="P100" s="21">
        <f t="shared" si="37"/>
        <v>68.897635714285684</v>
      </c>
      <c r="Q100" s="21">
        <f t="shared" si="37"/>
        <v>70.044267857142913</v>
      </c>
      <c r="R100" s="21">
        <f t="shared" si="37"/>
        <v>71.190899999999857</v>
      </c>
      <c r="S100" s="21">
        <f t="shared" si="37"/>
        <v>72.3375321428571</v>
      </c>
      <c r="T100" s="21">
        <f t="shared" si="37"/>
        <v>73.484164285714343</v>
      </c>
      <c r="U100" s="21">
        <f t="shared" si="37"/>
        <v>74.630796428571273</v>
      </c>
      <c r="V100" s="21">
        <f t="shared" si="37"/>
        <v>75.777428571428516</v>
      </c>
      <c r="W100" s="21">
        <f t="shared" si="37"/>
        <v>76.924060714285758</v>
      </c>
      <c r="X100" s="21">
        <f t="shared" si="37"/>
        <v>78.070692857142987</v>
      </c>
      <c r="Y100" s="21">
        <f t="shared" si="37"/>
        <v>79.217324999999931</v>
      </c>
      <c r="Z100" s="21">
        <f t="shared" si="37"/>
        <v>80.36395714285716</v>
      </c>
      <c r="AA100" s="21">
        <f t="shared" si="37"/>
        <v>81.510589285714403</v>
      </c>
      <c r="AB100" s="21">
        <f t="shared" si="37"/>
        <v>82.657221428571347</v>
      </c>
      <c r="AC100" s="21">
        <f t="shared" si="37"/>
        <v>83.803853571428576</v>
      </c>
      <c r="AD100" s="21">
        <f t="shared" si="37"/>
        <v>84.950485714285819</v>
      </c>
      <c r="AE100" s="21">
        <f t="shared" si="37"/>
        <v>86.097117857142763</v>
      </c>
      <c r="AF100" s="21">
        <f t="shared" si="37"/>
        <v>87.243749999999991</v>
      </c>
      <c r="AG100" s="21">
        <f t="shared" si="37"/>
        <v>88.390382142857234</v>
      </c>
      <c r="AH100" s="21">
        <f t="shared" si="37"/>
        <v>89.537014285714179</v>
      </c>
      <c r="AI100" s="21">
        <f t="shared" si="37"/>
        <v>90.683646428571421</v>
      </c>
      <c r="AJ100" s="21">
        <f t="shared" si="37"/>
        <v>91.830278571428636</v>
      </c>
      <c r="AK100" s="21">
        <f t="shared" si="37"/>
        <v>92.976910714285594</v>
      </c>
    </row>
    <row r="101" spans="1:37" x14ac:dyDescent="0.25">
      <c r="A101" s="8" t="s">
        <v>672</v>
      </c>
      <c r="B101" s="12">
        <f>B96</f>
        <v>18.439892134408481</v>
      </c>
      <c r="C101" s="12">
        <f t="shared" ref="C101:AK101" si="38">C96</f>
        <v>19.473195388587754</v>
      </c>
      <c r="D101" s="12">
        <f t="shared" si="38"/>
        <v>19.698951790815546</v>
      </c>
      <c r="E101" s="12">
        <f t="shared" si="38"/>
        <v>19.86910269094102</v>
      </c>
      <c r="F101" s="12">
        <f t="shared" si="38"/>
        <v>19.945260605528215</v>
      </c>
      <c r="G101" s="12">
        <f t="shared" si="38"/>
        <v>20.119644247015508</v>
      </c>
      <c r="H101" s="12">
        <f t="shared" si="38"/>
        <v>20.306369211783331</v>
      </c>
      <c r="I101" s="12">
        <f t="shared" si="38"/>
        <v>20.459941680159183</v>
      </c>
      <c r="J101" s="12">
        <f t="shared" si="38"/>
        <v>20.852739312709733</v>
      </c>
      <c r="K101" s="12">
        <f t="shared" si="38"/>
        <v>21.253078372030036</v>
      </c>
      <c r="L101" s="12">
        <f t="shared" si="38"/>
        <v>21.661103651310469</v>
      </c>
      <c r="M101" s="12">
        <f t="shared" si="38"/>
        <v>22.076962723759827</v>
      </c>
      <c r="N101" s="12">
        <f t="shared" si="38"/>
        <v>22.500805995981779</v>
      </c>
      <c r="O101" s="12">
        <f t="shared" si="38"/>
        <v>22.932786762376097</v>
      </c>
      <c r="P101" s="12">
        <f t="shared" si="38"/>
        <v>23.37306126058451</v>
      </c>
      <c r="Q101" s="12">
        <f t="shared" si="38"/>
        <v>23.821788728001003</v>
      </c>
      <c r="R101" s="12">
        <f t="shared" si="38"/>
        <v>24.279131459367193</v>
      </c>
      <c r="S101" s="12">
        <f t="shared" si="38"/>
        <v>24.745254865473502</v>
      </c>
      <c r="T101" s="12">
        <f t="shared" si="38"/>
        <v>25.22032753298744</v>
      </c>
      <c r="U101" s="12">
        <f t="shared" si="38"/>
        <v>25.70452128543053</v>
      </c>
      <c r="V101" s="12">
        <f t="shared" si="38"/>
        <v>26.198011245326072</v>
      </c>
      <c r="W101" s="12">
        <f t="shared" si="38"/>
        <v>26.700975897540083</v>
      </c>
      <c r="X101" s="12">
        <f t="shared" si="38"/>
        <v>27.213597153838439</v>
      </c>
      <c r="Y101" s="12">
        <f t="shared" si="38"/>
        <v>27.736060418683504</v>
      </c>
      <c r="Z101" s="12">
        <f t="shared" si="38"/>
        <v>28.268554656294022</v>
      </c>
      <c r="AA101" s="12">
        <f t="shared" si="38"/>
        <v>28.811272458992647</v>
      </c>
      <c r="AB101" s="12">
        <f t="shared" si="38"/>
        <v>29.364410116865649</v>
      </c>
      <c r="AC101" s="12">
        <f t="shared" si="38"/>
        <v>29.928167688760176</v>
      </c>
      <c r="AD101" s="12">
        <f t="shared" si="38"/>
        <v>30.502749074644672</v>
      </c>
      <c r="AE101" s="12">
        <f t="shared" si="38"/>
        <v>31.088362089358526</v>
      </c>
      <c r="AF101" s="12">
        <f t="shared" si="38"/>
        <v>31.685218537777839</v>
      </c>
      <c r="AG101" s="12">
        <f t="shared" si="38"/>
        <v>32.293534291424294</v>
      </c>
      <c r="AH101" s="12">
        <f t="shared" si="38"/>
        <v>32.913529366544971</v>
      </c>
      <c r="AI101" s="12">
        <f t="shared" si="38"/>
        <v>33.545428003691292</v>
      </c>
      <c r="AJ101" s="12">
        <f t="shared" si="38"/>
        <v>34.189458748825885</v>
      </c>
      <c r="AK101" s="12">
        <f t="shared" si="38"/>
        <v>34.845854535986689</v>
      </c>
    </row>
    <row r="102" spans="1:37" x14ac:dyDescent="0.25">
      <c r="A102" s="8" t="s">
        <v>100</v>
      </c>
      <c r="B102" s="12">
        <f>SUM(Table3.D!E14,Table3.D!E16,Table3.D!E17)</f>
        <v>3.43891152091174</v>
      </c>
      <c r="C102" s="12">
        <f>B102*C96/B96</f>
        <v>3.6316153848764343</v>
      </c>
      <c r="D102" s="12">
        <f t="shared" ref="D102:AK102" si="39">C102*D96/C96</f>
        <v>3.6737173823763039</v>
      </c>
      <c r="E102" s="12">
        <f t="shared" si="39"/>
        <v>3.7054493408102225</v>
      </c>
      <c r="F102" s="12">
        <f t="shared" si="39"/>
        <v>3.7196522617369574</v>
      </c>
      <c r="G102" s="12">
        <f t="shared" si="39"/>
        <v>3.7521735969702683</v>
      </c>
      <c r="H102" s="12">
        <f t="shared" si="39"/>
        <v>3.7869965030860637</v>
      </c>
      <c r="I102" s="12">
        <f t="shared" si="39"/>
        <v>3.8156366994029991</v>
      </c>
      <c r="J102" s="12">
        <f t="shared" si="39"/>
        <v>3.8888907235653409</v>
      </c>
      <c r="K102" s="12">
        <f t="shared" si="39"/>
        <v>3.963551171323525</v>
      </c>
      <c r="L102" s="12">
        <f t="shared" si="39"/>
        <v>4.0396450455996353</v>
      </c>
      <c r="M102" s="12">
        <f t="shared" si="39"/>
        <v>4.1171998677698376</v>
      </c>
      <c r="N102" s="12">
        <f t="shared" si="39"/>
        <v>4.1962436876187201</v>
      </c>
      <c r="O102" s="12">
        <f t="shared" si="39"/>
        <v>4.2768050934847395</v>
      </c>
      <c r="P102" s="12">
        <f t="shared" si="39"/>
        <v>4.3589132226004912</v>
      </c>
      <c r="Q102" s="12">
        <f t="shared" si="39"/>
        <v>4.4425977716314842</v>
      </c>
      <c r="R102" s="12">
        <f t="shared" si="39"/>
        <v>4.5278890074172775</v>
      </c>
      <c r="S102" s="12">
        <f t="shared" si="39"/>
        <v>4.6148177779188426</v>
      </c>
      <c r="T102" s="12">
        <f t="shared" si="39"/>
        <v>4.703415523376119</v>
      </c>
      <c r="U102" s="12">
        <f t="shared" si="39"/>
        <v>4.793714287679788</v>
      </c>
      <c r="V102" s="12">
        <f t="shared" si="39"/>
        <v>4.8857467299613973</v>
      </c>
      <c r="W102" s="12">
        <f t="shared" si="39"/>
        <v>4.9795461364060056</v>
      </c>
      <c r="X102" s="12">
        <f t="shared" si="39"/>
        <v>5.0751464322916418</v>
      </c>
      <c r="Y102" s="12">
        <f t="shared" si="39"/>
        <v>5.1725821942599151</v>
      </c>
      <c r="Z102" s="12">
        <f t="shared" si="39"/>
        <v>5.2718886628222199</v>
      </c>
      <c r="AA102" s="12">
        <f t="shared" si="39"/>
        <v>5.3731017551060738</v>
      </c>
      <c r="AB102" s="12">
        <f t="shared" si="39"/>
        <v>5.47625807784617</v>
      </c>
      <c r="AC102" s="12">
        <f t="shared" si="39"/>
        <v>5.5813949406248691</v>
      </c>
      <c r="AD102" s="12">
        <f t="shared" si="39"/>
        <v>5.6885503693669159</v>
      </c>
      <c r="AE102" s="12">
        <f t="shared" si="39"/>
        <v>5.7977631200932329</v>
      </c>
      <c r="AF102" s="12">
        <f t="shared" si="39"/>
        <v>5.9090726929388158</v>
      </c>
      <c r="AG102" s="12">
        <f t="shared" si="39"/>
        <v>6.0225193464397533</v>
      </c>
      <c r="AH102" s="12">
        <f t="shared" si="39"/>
        <v>6.138144112094567</v>
      </c>
      <c r="AI102" s="12">
        <f t="shared" si="39"/>
        <v>6.2559888092051352</v>
      </c>
      <c r="AJ102" s="12">
        <f t="shared" si="39"/>
        <v>6.3760960600025527</v>
      </c>
      <c r="AK102" s="12">
        <f t="shared" si="39"/>
        <v>6.4985093050634157</v>
      </c>
    </row>
    <row r="103" spans="1:37" x14ac:dyDescent="0.25">
      <c r="A103" s="8" t="s">
        <v>101</v>
      </c>
      <c r="B103" s="12">
        <f>Table3.D!E19</f>
        <v>13.36222279374781</v>
      </c>
      <c r="C103">
        <f>B103*C96/B96</f>
        <v>14.11099226567352</v>
      </c>
      <c r="D103">
        <f t="shared" ref="D103:AK103" si="40">C103*D96/C96</f>
        <v>14.274583642547885</v>
      </c>
      <c r="E103">
        <f t="shared" si="40"/>
        <v>14.397881231246402</v>
      </c>
      <c r="F103">
        <f t="shared" si="40"/>
        <v>14.453068052015404</v>
      </c>
      <c r="G103">
        <f t="shared" si="40"/>
        <v>14.579432840494302</v>
      </c>
      <c r="H103">
        <f t="shared" si="40"/>
        <v>14.714740604888792</v>
      </c>
      <c r="I103">
        <f t="shared" si="40"/>
        <v>14.826024853325082</v>
      </c>
      <c r="J103">
        <f t="shared" si="40"/>
        <v>15.110660437998773</v>
      </c>
      <c r="K103">
        <f t="shared" si="40"/>
        <v>15.400760817365711</v>
      </c>
      <c r="L103">
        <f t="shared" si="40"/>
        <v>15.696430913887195</v>
      </c>
      <c r="M103">
        <f t="shared" si="40"/>
        <v>15.997777664527931</v>
      </c>
      <c r="N103">
        <f t="shared" si="40"/>
        <v>16.304910059434562</v>
      </c>
      <c r="O103">
        <f t="shared" si="40"/>
        <v>16.617939181356807</v>
      </c>
      <c r="P103">
        <f t="shared" si="40"/>
        <v>16.936978245825557</v>
      </c>
      <c r="Q103">
        <f t="shared" si="40"/>
        <v>17.262142642102312</v>
      </c>
      <c r="R103">
        <f t="shared" si="40"/>
        <v>17.5935499749149</v>
      </c>
      <c r="S103">
        <f t="shared" si="40"/>
        <v>17.931320106994519</v>
      </c>
      <c r="T103">
        <f t="shared" si="40"/>
        <v>18.27557520242949</v>
      </c>
      <c r="U103">
        <f t="shared" si="40"/>
        <v>18.626439770851377</v>
      </c>
      <c r="V103">
        <f t="shared" si="40"/>
        <v>18.984040712469543</v>
      </c>
      <c r="W103">
        <f t="shared" si="40"/>
        <v>19.348507363970327</v>
      </c>
      <c r="X103">
        <f t="shared" si="40"/>
        <v>19.719971545297504</v>
      </c>
      <c r="Y103">
        <f t="shared" si="40"/>
        <v>20.098567607330956</v>
      </c>
      <c r="Z103">
        <f t="shared" si="40"/>
        <v>20.484432480480706</v>
      </c>
      <c r="AA103">
        <f t="shared" si="40"/>
        <v>20.877705724214074</v>
      </c>
      <c r="AB103">
        <f t="shared" si="40"/>
        <v>21.27852957753365</v>
      </c>
      <c r="AC103">
        <f t="shared" si="40"/>
        <v>21.687049010424499</v>
      </c>
      <c r="AD103">
        <f t="shared" si="40"/>
        <v>22.103411776289196</v>
      </c>
      <c r="AE103">
        <f t="shared" si="40"/>
        <v>22.527768465389528</v>
      </c>
      <c r="AF103">
        <f t="shared" si="40"/>
        <v>22.960272559314355</v>
      </c>
      <c r="AG103">
        <f t="shared" si="40"/>
        <v>23.401080486493225</v>
      </c>
      <c r="AH103">
        <f t="shared" si="40"/>
        <v>23.850351678775858</v>
      </c>
      <c r="AI103">
        <f t="shared" si="40"/>
        <v>24.308248629097992</v>
      </c>
      <c r="AJ103">
        <f t="shared" si="40"/>
        <v>24.774936950254371</v>
      </c>
      <c r="AK103">
        <f t="shared" si="40"/>
        <v>25.250585434800211</v>
      </c>
    </row>
    <row r="105" spans="1:37" x14ac:dyDescent="0.25">
      <c r="A105" s="8" t="s">
        <v>102</v>
      </c>
      <c r="B105" s="21">
        <f t="shared" ref="B105:AK105" si="41">SUM(B100:B103)</f>
        <v>88.085812163353864</v>
      </c>
      <c r="C105" s="21">
        <f t="shared" si="41"/>
        <v>91.207220896280489</v>
      </c>
      <c r="D105" s="21">
        <f t="shared" si="41"/>
        <v>92.785302815739755</v>
      </c>
      <c r="E105" s="21">
        <f t="shared" si="41"/>
        <v>94.25711540585489</v>
      </c>
      <c r="F105" s="21">
        <f t="shared" si="41"/>
        <v>95.549295204994763</v>
      </c>
      <c r="G105" s="21">
        <f t="shared" si="41"/>
        <v>97.029197113051509</v>
      </c>
      <c r="H105" s="21">
        <f t="shared" si="41"/>
        <v>98.532684891186847</v>
      </c>
      <c r="I105" s="21">
        <f t="shared" si="41"/>
        <v>99.972813947172867</v>
      </c>
      <c r="J105" s="21">
        <f t="shared" si="41"/>
        <v>101.8701333314167</v>
      </c>
      <c r="K105" s="21">
        <f t="shared" si="41"/>
        <v>103.78186536071935</v>
      </c>
      <c r="L105" s="21">
        <f t="shared" si="41"/>
        <v>105.70828675365433</v>
      </c>
      <c r="M105" s="21">
        <f t="shared" si="41"/>
        <v>107.64967954177187</v>
      </c>
      <c r="N105" s="21">
        <f t="shared" si="41"/>
        <v>109.60633117160656</v>
      </c>
      <c r="O105" s="21">
        <f t="shared" si="41"/>
        <v>111.57853460864608</v>
      </c>
      <c r="P105" s="21">
        <f t="shared" si="41"/>
        <v>113.56658844329624</v>
      </c>
      <c r="Q105" s="21">
        <f t="shared" si="41"/>
        <v>115.57079699887771</v>
      </c>
      <c r="R105" s="21">
        <f t="shared" si="41"/>
        <v>117.59147044169922</v>
      </c>
      <c r="S105" s="21">
        <f t="shared" si="41"/>
        <v>119.62892489324396</v>
      </c>
      <c r="T105" s="21">
        <f t="shared" si="41"/>
        <v>121.6834825445074</v>
      </c>
      <c r="U105" s="21">
        <f t="shared" si="41"/>
        <v>123.75547177253297</v>
      </c>
      <c r="V105" s="21">
        <f t="shared" si="41"/>
        <v>125.84522725918552</v>
      </c>
      <c r="W105" s="21">
        <f t="shared" si="41"/>
        <v>127.95309011220216</v>
      </c>
      <c r="X105" s="21">
        <f t="shared" si="41"/>
        <v>130.07940798857058</v>
      </c>
      <c r="Y105" s="21">
        <f t="shared" si="41"/>
        <v>132.2245352202743</v>
      </c>
      <c r="Z105" s="21">
        <f t="shared" si="41"/>
        <v>134.38883294245412</v>
      </c>
      <c r="AA105" s="21">
        <f t="shared" si="41"/>
        <v>136.57266922402721</v>
      </c>
      <c r="AB105" s="21">
        <f t="shared" si="41"/>
        <v>138.77641920081683</v>
      </c>
      <c r="AC105" s="21">
        <f t="shared" si="41"/>
        <v>141.00046521123812</v>
      </c>
      <c r="AD105" s="21">
        <f t="shared" si="41"/>
        <v>143.2451969345866</v>
      </c>
      <c r="AE105" s="21">
        <f t="shared" si="41"/>
        <v>145.51101153198405</v>
      </c>
      <c r="AF105" s="21">
        <f t="shared" si="41"/>
        <v>147.79831379003102</v>
      </c>
      <c r="AG105" s="21">
        <f t="shared" si="41"/>
        <v>150.10751626721449</v>
      </c>
      <c r="AH105" s="21">
        <f t="shared" si="41"/>
        <v>152.43903944312959</v>
      </c>
      <c r="AI105" s="21">
        <f t="shared" si="41"/>
        <v>154.79331187056584</v>
      </c>
      <c r="AJ105" s="21">
        <f t="shared" si="41"/>
        <v>157.17077033051146</v>
      </c>
      <c r="AK105" s="21">
        <f t="shared" si="41"/>
        <v>159.57185999013589</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K5"/>
  <sheetViews>
    <sheetView workbookViewId="0">
      <selection activeCell="C3" sqref="C3"/>
    </sheetView>
  </sheetViews>
  <sheetFormatPr defaultColWidth="8.85546875" defaultRowHeight="15" x14ac:dyDescent="0.25"/>
  <cols>
    <col min="1" max="1" width="39.140625" customWidth="1"/>
    <col min="2" max="2" width="12" bestFit="1" customWidth="1"/>
  </cols>
  <sheetData>
    <row r="1" spans="1:37" x14ac:dyDescent="0.25">
      <c r="A1" s="6" t="s">
        <v>67</v>
      </c>
      <c r="B1" s="6"/>
      <c r="C1" s="6"/>
      <c r="D1" s="6"/>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x14ac:dyDescent="0.25">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x14ac:dyDescent="0.25">
      <c r="A3" t="s">
        <v>57</v>
      </c>
      <c r="B3" s="12">
        <f>SUM('15'!G78:G79)</f>
        <v>907.75124681</v>
      </c>
      <c r="C3" s="12">
        <f>$B$3*'Macro Indicators'!M10/'Macro Indicators'!$L$10</f>
        <v>916.45257061195423</v>
      </c>
      <c r="D3" s="12">
        <f>$B$3*'Macro Indicators'!N10/'Macro Indicators'!$L$10</f>
        <v>925.28799448994948</v>
      </c>
      <c r="E3" s="12">
        <f>$B$3*'Macro Indicators'!O10/'Macro Indicators'!$L$10</f>
        <v>934.05004285463917</v>
      </c>
      <c r="F3" s="12">
        <f>$B$3*'Macro Indicators'!P10/'Macro Indicators'!$L$10</f>
        <v>942.77666855773327</v>
      </c>
      <c r="G3" s="12">
        <f>$B$3*'Macro Indicators'!Q10/'Macro Indicators'!$L$10</f>
        <v>951.5184754015113</v>
      </c>
      <c r="H3" s="12">
        <f>$B$3*'Macro Indicators'!R10/'Macro Indicators'!$L$10</f>
        <v>960.24004072437765</v>
      </c>
      <c r="I3" s="12">
        <f>$B$3*'Macro Indicators'!S10/'Macro Indicators'!$L$10</f>
        <v>968.92365319553426</v>
      </c>
      <c r="J3" s="12">
        <f>$B$3*'Macro Indicators'!T10/'Macro Indicators'!$L$10</f>
        <v>977.53389015338576</v>
      </c>
      <c r="K3" s="12">
        <f>$B$3*'Macro Indicators'!U10/'Macro Indicators'!$L$10</f>
        <v>986.04544969679193</v>
      </c>
      <c r="L3" s="12">
        <f>$B$3*'Macro Indicators'!V10/'Macro Indicators'!$L$10</f>
        <v>994.45580163563966</v>
      </c>
      <c r="M3" s="12">
        <f>$B$3*'Macro Indicators'!W10/'Macro Indicators'!$L$10</f>
        <v>1002.7877176809538</v>
      </c>
      <c r="N3" s="12">
        <f>$B$3*'Macro Indicators'!X10/'Macro Indicators'!$L$10</f>
        <v>1011.0816808745586</v>
      </c>
      <c r="O3" s="12">
        <f>$B$3*'Macro Indicators'!Y10/'Macro Indicators'!$L$10</f>
        <v>1019.3047987449719</v>
      </c>
      <c r="P3" s="12">
        <f>$B$3*'Macro Indicators'!Z10/'Macro Indicators'!$L$10</f>
        <v>1027.3583938777492</v>
      </c>
      <c r="Q3" s="12">
        <f>$B$3*'Macro Indicators'!AA10/'Macro Indicators'!$L$10</f>
        <v>1035.2323455124344</v>
      </c>
      <c r="R3" s="12">
        <f>$B$3*'Macro Indicators'!AB10/'Macro Indicators'!$L$10</f>
        <v>1042.9190630786857</v>
      </c>
      <c r="S3" s="12">
        <f>$B$3*'Macro Indicators'!AC10/'Macro Indicators'!$L$10</f>
        <v>1050.4033654358188</v>
      </c>
      <c r="T3" s="12">
        <f>$B$3*'Macro Indicators'!AD10/'Macro Indicators'!$L$10</f>
        <v>1057.6624808728084</v>
      </c>
      <c r="U3" s="12">
        <f>$B$3*'Macro Indicators'!AE10/'Macro Indicators'!$L$10</f>
        <v>1064.6660471082866</v>
      </c>
      <c r="V3" s="12">
        <f>$B$3*'Macro Indicators'!AF10/'Macro Indicators'!$L$10</f>
        <v>1071.4064735719119</v>
      </c>
      <c r="W3" s="12">
        <f>$B$3*'Macro Indicators'!AG10/'Macro Indicators'!$L$10</f>
        <v>1077.8458074119742</v>
      </c>
      <c r="X3" s="12">
        <f>$B$3*'Macro Indicators'!AH10/'Macro Indicators'!$L$10</f>
        <v>1083.9941693889293</v>
      </c>
      <c r="Y3" s="12">
        <f>$B$3*'Macro Indicators'!AI10/'Macro Indicators'!$L$10</f>
        <v>1089.8515595027777</v>
      </c>
      <c r="Z3" s="12">
        <f>$B$3*'Macro Indicators'!AJ10/'Macro Indicators'!$L$10</f>
        <v>1095.4458098447728</v>
      </c>
      <c r="AA3" s="12">
        <f>$B$3*'Macro Indicators'!AK10/'Macro Indicators'!$L$10</f>
        <v>1100.8072826962825</v>
      </c>
      <c r="AB3" s="12">
        <f>AA3*((($Z$3/$R$3)-1)/10+1)</f>
        <v>1106.351512102327</v>
      </c>
      <c r="AC3" s="12">
        <f t="shared" ref="AC3:AK3" si="0">AB3*((($Z$3/$R$3)-1)/10+1)</f>
        <v>1111.9236650879027</v>
      </c>
      <c r="AD3" s="12">
        <f t="shared" si="0"/>
        <v>1117.523882290461</v>
      </c>
      <c r="AE3" s="12">
        <f t="shared" si="0"/>
        <v>1123.1523050557755</v>
      </c>
      <c r="AF3" s="12">
        <f t="shared" si="0"/>
        <v>1128.8090754415098</v>
      </c>
      <c r="AG3" s="12">
        <f t="shared" si="0"/>
        <v>1134.4943362208023</v>
      </c>
      <c r="AH3" s="12">
        <f t="shared" si="0"/>
        <v>1140.2082308858703</v>
      </c>
      <c r="AI3" s="12">
        <f t="shared" si="0"/>
        <v>1145.9509036516313</v>
      </c>
      <c r="AJ3" s="12">
        <f t="shared" si="0"/>
        <v>1151.7224994593432</v>
      </c>
      <c r="AK3" s="12">
        <f t="shared" si="0"/>
        <v>1157.5231639802621</v>
      </c>
    </row>
    <row r="4" spans="1:37" x14ac:dyDescent="0.25">
      <c r="A4" t="s">
        <v>98</v>
      </c>
      <c r="B4" s="23">
        <f>SUM('15'!I78:I79)</f>
        <v>1.3133419099999999</v>
      </c>
      <c r="C4" s="12">
        <f>$B$4*'Macro Indicators'!M10/'Macro Indicators'!$L$10</f>
        <v>1.3259310562685911</v>
      </c>
      <c r="D4" s="12">
        <f>$B$4*'Macro Indicators'!N10/'Macro Indicators'!$L$10</f>
        <v>1.3387142196212871</v>
      </c>
      <c r="E4" s="12">
        <f>$B$4*'Macro Indicators'!O10/'Macro Indicators'!$L$10</f>
        <v>1.3513912226826803</v>
      </c>
      <c r="F4" s="12">
        <f>$B$4*'Macro Indicators'!P10/'Macro Indicators'!$L$10</f>
        <v>1.3640169759482728</v>
      </c>
      <c r="G4" s="12">
        <f>$B$4*'Macro Indicators'!Q10/'Macro Indicators'!$L$10</f>
        <v>1.3766646934120654</v>
      </c>
      <c r="H4" s="12">
        <f>$B$4*'Macro Indicators'!R10/'Macro Indicators'!$L$10</f>
        <v>1.3892831252782576</v>
      </c>
      <c r="I4" s="12">
        <f>$B$4*'Macro Indicators'!S10/'Macro Indicators'!$L$10</f>
        <v>1.4018466466489485</v>
      </c>
      <c r="J4" s="12">
        <f>$B$4*'Macro Indicators'!T10/'Macro Indicators'!$L$10</f>
        <v>1.4143040077283369</v>
      </c>
      <c r="K4" s="12">
        <f>$B$4*'Macro Indicators'!U10/'Macro Indicators'!$L$10</f>
        <v>1.4266186015194218</v>
      </c>
      <c r="L4" s="12">
        <f>$B$4*'Macro Indicators'!V10/'Macro Indicators'!$L$10</f>
        <v>1.4387867673225034</v>
      </c>
      <c r="M4" s="12">
        <f>$B$4*'Macro Indicators'!W10/'Macro Indicators'!$L$10</f>
        <v>1.4508414514348824</v>
      </c>
      <c r="N4" s="12">
        <f>$B$4*'Macro Indicators'!X10/'Macro Indicators'!$L$10</f>
        <v>1.4628412250517602</v>
      </c>
      <c r="O4" s="12">
        <f>$B$4*'Macro Indicators'!Y10/'Macro Indicators'!$L$10</f>
        <v>1.4747384990770356</v>
      </c>
      <c r="P4" s="12">
        <f>$B$4*'Macro Indicators'!Z10/'Macro Indicators'!$L$10</f>
        <v>1.4863905062224054</v>
      </c>
      <c r="Q4" s="12">
        <f>$B$4*'Macro Indicators'!AA10/'Macro Indicators'!$L$10</f>
        <v>1.4977826036890689</v>
      </c>
      <c r="R4" s="12">
        <f>$B$4*'Macro Indicators'!AB10/'Macro Indicators'!$L$10</f>
        <v>1.5089038093779263</v>
      </c>
      <c r="S4" s="12">
        <f>$B$4*'Macro Indicators'!AC10/'Macro Indicators'!$L$10</f>
        <v>1.5197321590907771</v>
      </c>
      <c r="T4" s="12">
        <f>$B$4*'Macro Indicators'!AD10/'Macro Indicators'!$L$10</f>
        <v>1.5302347065303201</v>
      </c>
      <c r="U4" s="12">
        <f>$B$4*'Macro Indicators'!AE10/'Macro Indicators'!$L$10</f>
        <v>1.5403675233001546</v>
      </c>
      <c r="V4" s="12">
        <f>$B$4*'Macro Indicators'!AF10/'Macro Indicators'!$L$10</f>
        <v>1.5501196273011806</v>
      </c>
      <c r="W4" s="12">
        <f>$B$4*'Macro Indicators'!AG10/'Macro Indicators'!$L$10</f>
        <v>1.5594361080378962</v>
      </c>
      <c r="X4" s="12">
        <f>$B$4*'Macro Indicators'!AH10/'Macro Indicators'!$L$10</f>
        <v>1.5683316083091019</v>
      </c>
      <c r="Y4" s="12">
        <f>$B$4*'Macro Indicators'!AI10/'Macro Indicators'!$L$10</f>
        <v>1.5768061281147983</v>
      </c>
      <c r="Z4" s="12">
        <f>$B$4*'Macro Indicators'!AJ10/'Macro Indicators'!$L$10</f>
        <v>1.5848999351516855</v>
      </c>
      <c r="AA4" s="12">
        <f>$B$4*'Macro Indicators'!AK10/'Macro Indicators'!$L$10</f>
        <v>1.5926569578161651</v>
      </c>
      <c r="AB4" s="12">
        <f>AA4*((($Z$4/$R$4)-1)/10+1)</f>
        <v>1.6006783941548108</v>
      </c>
      <c r="AC4" s="12">
        <f t="shared" ref="AC4:AK4" si="1">AB4*((($Z$4/$R$4)-1)/10+1)</f>
        <v>1.6087402305561436</v>
      </c>
      <c r="AD4" s="12">
        <f t="shared" si="1"/>
        <v>1.6168426704955756</v>
      </c>
      <c r="AE4" s="12">
        <f t="shared" si="1"/>
        <v>1.6249859184733257</v>
      </c>
      <c r="AF4" s="12">
        <f t="shared" si="1"/>
        <v>1.6331701800195801</v>
      </c>
      <c r="AG4" s="12">
        <f t="shared" si="1"/>
        <v>1.6413956616996808</v>
      </c>
      <c r="AH4" s="12">
        <f t="shared" si="1"/>
        <v>1.649662571119338</v>
      </c>
      <c r="AI4" s="12">
        <f t="shared" si="1"/>
        <v>1.6579711169298714</v>
      </c>
      <c r="AJ4" s="12">
        <f t="shared" si="1"/>
        <v>1.6663215088334751</v>
      </c>
      <c r="AK4" s="12">
        <f t="shared" si="1"/>
        <v>1.674713957588511</v>
      </c>
    </row>
    <row r="5" spans="1:37" x14ac:dyDescent="0.25">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K14"/>
  <sheetViews>
    <sheetView workbookViewId="0">
      <selection activeCell="G14" sqref="G14"/>
    </sheetView>
  </sheetViews>
  <sheetFormatPr defaultColWidth="8.85546875" defaultRowHeight="15" x14ac:dyDescent="0.25"/>
  <cols>
    <col min="1" max="1" width="45.42578125" customWidth="1"/>
    <col min="2" max="2" width="12" bestFit="1" customWidth="1"/>
    <col min="8" max="8" width="12" bestFit="1" customWidth="1"/>
  </cols>
  <sheetData>
    <row r="1" spans="1:37" x14ac:dyDescent="0.25">
      <c r="A1" s="6" t="s">
        <v>112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x14ac:dyDescent="0.25">
      <c r="B2">
        <v>2011</v>
      </c>
      <c r="C2">
        <v>2012</v>
      </c>
      <c r="D2">
        <v>2013</v>
      </c>
      <c r="E2">
        <v>2014</v>
      </c>
      <c r="F2">
        <v>2015</v>
      </c>
    </row>
    <row r="3" spans="1:37" x14ac:dyDescent="0.25">
      <c r="A3" t="s">
        <v>706</v>
      </c>
      <c r="B3" s="23">
        <f>'Table 5'!C127</f>
        <v>14.648976851940001</v>
      </c>
      <c r="C3" s="23">
        <f>'Table 5'!C100</f>
        <v>14.80183988562</v>
      </c>
      <c r="D3" s="23">
        <f>'Table 5'!C73</f>
        <v>14.948452681199999</v>
      </c>
      <c r="E3" s="23">
        <f>'Table 5'!C46</f>
        <v>15.092020912500001</v>
      </c>
      <c r="F3" s="23">
        <f>'Table 5'!C19</f>
        <v>15.20293061988</v>
      </c>
    </row>
    <row r="4" spans="1:37" x14ac:dyDescent="0.25">
      <c r="A4" t="s">
        <v>707</v>
      </c>
      <c r="B4" s="23">
        <f>'Table 5'!C128</f>
        <v>0.68200000000000005</v>
      </c>
      <c r="C4" s="23">
        <f>'Table 5'!C101</f>
        <v>0.69099999999999995</v>
      </c>
      <c r="D4" s="23">
        <f>'Table 5'!C74</f>
        <v>0.72299999999999998</v>
      </c>
      <c r="E4" s="23">
        <f>'Table 5'!C47</f>
        <v>0.54400000000000004</v>
      </c>
      <c r="F4" s="23">
        <f>'Table 5'!C20</f>
        <v>0.55700000000000005</v>
      </c>
    </row>
    <row r="5" spans="1:37" x14ac:dyDescent="0.25">
      <c r="A5" t="s">
        <v>708</v>
      </c>
      <c r="B5" s="23">
        <f>'Table 5'!D127</f>
        <v>2.1881669255756</v>
      </c>
      <c r="C5" s="23">
        <f>'Table 5'!D100</f>
        <v>2.2032694914565698</v>
      </c>
      <c r="D5" s="23">
        <f>'Table 5'!D73</f>
        <v>2.2179904591713901</v>
      </c>
      <c r="E5" s="23">
        <f>'Table 5'!C47</f>
        <v>0.54400000000000004</v>
      </c>
      <c r="F5" s="23">
        <f>'Table 5'!D19</f>
        <v>2.2395528686640098</v>
      </c>
    </row>
    <row r="7" spans="1:37" x14ac:dyDescent="0.25">
      <c r="A7" s="6" t="s">
        <v>709</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37" x14ac:dyDescent="0.25">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37" x14ac:dyDescent="0.25">
      <c r="A9" t="s">
        <v>57</v>
      </c>
      <c r="B9" s="23">
        <f>F3</f>
        <v>15.20293061988</v>
      </c>
      <c r="C9">
        <f>B9*'Macro Indicators'!M$10/'Macro Indicators'!L$10</f>
        <v>15.34865955446103</v>
      </c>
      <c r="D9">
        <f>C9*'Macro Indicators'!N$10/'Macro Indicators'!M$10</f>
        <v>15.496634384224613</v>
      </c>
      <c r="E9">
        <f>D9*'Macro Indicators'!O$10/'Macro Indicators'!N$10</f>
        <v>15.643380327944909</v>
      </c>
      <c r="F9">
        <f>E9*'Macro Indicators'!P$10/'Macro Indicators'!O$10</f>
        <v>15.789533016333968</v>
      </c>
      <c r="G9">
        <f>F9*'Macro Indicators'!Q$10/'Macro Indicators'!P$10</f>
        <v>15.935939957007843</v>
      </c>
      <c r="H9">
        <f>G9*'Macro Indicators'!R$10/'Macro Indicators'!Q$10</f>
        <v>16.082007894635296</v>
      </c>
      <c r="I9">
        <f>H9*'Macro Indicators'!S$10/'Macro Indicators'!R$10</f>
        <v>16.227440201550706</v>
      </c>
      <c r="J9">
        <f>I9*'Macro Indicators'!T$10/'Macro Indicators'!S$10</f>
        <v>16.371643622422837</v>
      </c>
      <c r="K9">
        <f>J9*'Macro Indicators'!U$10/'Macro Indicators'!T$10</f>
        <v>16.51419440344365</v>
      </c>
      <c r="L9">
        <f>K9*'Macro Indicators'!V$10/'Macro Indicators'!U$10</f>
        <v>16.65505016923235</v>
      </c>
      <c r="M9">
        <f>L9*'Macro Indicators'!W$10/'Macro Indicators'!V$10</f>
        <v>16.794592298216163</v>
      </c>
      <c r="N9">
        <f>M9*'Macro Indicators'!X$10/'Macro Indicators'!W$10</f>
        <v>16.933498796487932</v>
      </c>
      <c r="O9">
        <f>N9*'Macro Indicators'!Y$10/'Macro Indicators'!X$10</f>
        <v>17.071218784097223</v>
      </c>
      <c r="P9">
        <f>O9*'Macro Indicators'!Z$10/'Macro Indicators'!Y$10</f>
        <v>17.206099621192724</v>
      </c>
      <c r="Q9">
        <f>P9*'Macro Indicators'!AA$10/'Macro Indicators'!Z$10</f>
        <v>17.337971806251218</v>
      </c>
      <c r="R9">
        <f>Q9*'Macro Indicators'!AB$10/'Macro Indicators'!AA$10</f>
        <v>17.466708213130303</v>
      </c>
      <c r="S9">
        <f>R9*'Macro Indicators'!AC$10/'Macro Indicators'!AB$10</f>
        <v>17.59205458954516</v>
      </c>
      <c r="T9">
        <f>S9*'Macro Indicators'!AD$10/'Macro Indicators'!AC$10</f>
        <v>17.713629557068561</v>
      </c>
      <c r="U9">
        <f>T9*'Macro Indicators'!AE$10/'Macro Indicators'!AD$10</f>
        <v>17.830924611130875</v>
      </c>
      <c r="V9">
        <f>U9*'Macro Indicators'!AF$10/'Macro Indicators'!AE$10</f>
        <v>17.94381262558969</v>
      </c>
      <c r="W9">
        <f>V9*'Macro Indicators'!AG$10/'Macro Indicators'!AF$10</f>
        <v>18.051657969732965</v>
      </c>
      <c r="X9">
        <f>W9*'Macro Indicators'!AH$10/'Macro Indicators'!AG$10</f>
        <v>18.15463014508391</v>
      </c>
      <c r="Y9">
        <f>X9*'Macro Indicators'!AI$10/'Macro Indicators'!AH$10</f>
        <v>18.252729151642527</v>
      </c>
      <c r="Z9">
        <f>Y9*'Macro Indicators'!AJ$10/'Macro Indicators'!AI$10</f>
        <v>18.346421118597647</v>
      </c>
      <c r="AA9">
        <f>Z9*'Macro Indicators'!AK$10/'Macro Indicators'!AJ$10</f>
        <v>18.436214550518905</v>
      </c>
      <c r="AB9" s="22">
        <f>AA9*((($AA$9/$R$9)-1)/10+1)</f>
        <v>18.538546521867389</v>
      </c>
      <c r="AC9" s="22">
        <f t="shared" ref="AC9:AK9" si="0">AB9*((($AA$9/$R$9)-1)/10+1)</f>
        <v>18.641446496605688</v>
      </c>
      <c r="AD9" s="22">
        <f t="shared" si="0"/>
        <v>18.744917627490921</v>
      </c>
      <c r="AE9" s="22">
        <f t="shared" si="0"/>
        <v>18.848963084779879</v>
      </c>
      <c r="AF9" s="22">
        <f t="shared" si="0"/>
        <v>18.953586056326174</v>
      </c>
      <c r="AG9" s="22">
        <f t="shared" si="0"/>
        <v>19.058789747677899</v>
      </c>
      <c r="AH9" s="22">
        <f t="shared" si="0"/>
        <v>19.164577382175853</v>
      </c>
      <c r="AI9" s="22">
        <f t="shared" si="0"/>
        <v>19.270952201052292</v>
      </c>
      <c r="AJ9" s="22">
        <f t="shared" si="0"/>
        <v>19.377917463530245</v>
      </c>
      <c r="AK9" s="22">
        <f t="shared" si="0"/>
        <v>19.485476446923364</v>
      </c>
    </row>
    <row r="10" spans="1:37" x14ac:dyDescent="0.25">
      <c r="A10" t="s">
        <v>98</v>
      </c>
      <c r="B10" s="23">
        <f>F5</f>
        <v>2.2395528686640098</v>
      </c>
      <c r="C10">
        <f>B10*'Macro Indicators'!M$10/'Macro Indicators'!L$10</f>
        <v>2.2610202858119588</v>
      </c>
      <c r="D10">
        <f>C10*'Macro Indicators'!N$10/'Macro Indicators'!M$10</f>
        <v>2.2828185471322961</v>
      </c>
      <c r="E10">
        <f>D10*'Macro Indicators'!O$10/'Macro Indicators'!N$10</f>
        <v>2.3044357805092508</v>
      </c>
      <c r="F10">
        <f>E10*'Macro Indicators'!P$10/'Macro Indicators'!O$10</f>
        <v>2.325965621085953</v>
      </c>
      <c r="G10">
        <f>F10*'Macro Indicators'!Q$10/'Macro Indicators'!P$10</f>
        <v>2.3475329157199063</v>
      </c>
      <c r="H10">
        <f>G10*'Macro Indicators'!R$10/'Macro Indicators'!Q$10</f>
        <v>2.3690502716108579</v>
      </c>
      <c r="I10">
        <f>H10*'Macro Indicators'!S$10/'Macro Indicators'!R$10</f>
        <v>2.3904739923586806</v>
      </c>
      <c r="J10">
        <f>I10*'Macro Indicators'!T$10/'Macro Indicators'!S$10</f>
        <v>2.4117166851631215</v>
      </c>
      <c r="K10">
        <f>J10*'Macro Indicators'!U$10/'Macro Indicators'!T$10</f>
        <v>2.4327159265954275</v>
      </c>
      <c r="L10">
        <f>K10*'Macro Indicators'!V$10/'Macro Indicators'!U$10</f>
        <v>2.4534654743127242</v>
      </c>
      <c r="M10">
        <f>L10*'Macro Indicators'!W$10/'Macro Indicators'!V$10</f>
        <v>2.4740215094008886</v>
      </c>
      <c r="N10">
        <f>M10*'Macro Indicators'!X$10/'Macro Indicators'!W$10</f>
        <v>2.4944839093459246</v>
      </c>
      <c r="O10">
        <f>N10*'Macro Indicators'!Y$10/'Macro Indicators'!X$10</f>
        <v>2.5147715236904538</v>
      </c>
      <c r="P10">
        <f>O10*'Macro Indicators'!Z$10/'Macro Indicators'!Y$10</f>
        <v>2.5346409010623421</v>
      </c>
      <c r="Q10">
        <f>P10*'Macro Indicators'!AA$10/'Macro Indicators'!Z$10</f>
        <v>2.554067072090088</v>
      </c>
      <c r="R10">
        <f>Q10*'Macro Indicators'!AB$10/'Macro Indicators'!AA$10</f>
        <v>2.5730313097450663</v>
      </c>
      <c r="S10">
        <f>R10*'Macro Indicators'!AC$10/'Macro Indicators'!AB$10</f>
        <v>2.5914961599700255</v>
      </c>
      <c r="T10">
        <f>S10*'Macro Indicators'!AD$10/'Macro Indicators'!AC$10</f>
        <v>2.6094054416790882</v>
      </c>
      <c r="U10">
        <f>T10*'Macro Indicators'!AE$10/'Macro Indicators'!AD$10</f>
        <v>2.626684246757752</v>
      </c>
      <c r="V10">
        <f>U10*'Macro Indicators'!AF$10/'Macro Indicators'!AE$10</f>
        <v>2.643313848177391</v>
      </c>
      <c r="W10">
        <f>V10*'Macro Indicators'!AG$10/'Macro Indicators'!AF$10</f>
        <v>2.6592006107948762</v>
      </c>
      <c r="X10">
        <f>W10*'Macro Indicators'!AH$10/'Macro Indicators'!AG$10</f>
        <v>2.6743695039817088</v>
      </c>
      <c r="Y10">
        <f>X10*'Macro Indicators'!AI$10/'Macro Indicators'!AH$10</f>
        <v>2.6888205277378887</v>
      </c>
      <c r="Z10">
        <f>Y10*'Macro Indicators'!AJ$10/'Macro Indicators'!AI$10</f>
        <v>2.7026223478350437</v>
      </c>
      <c r="AA10">
        <f>Z10*'Macro Indicators'!AK$10/'Macro Indicators'!AJ$10</f>
        <v>2.7158498723876772</v>
      </c>
      <c r="AB10" s="22">
        <f>AA10*((($AA$10/$R$10)-1)/10+1)</f>
        <v>2.7309244567372142</v>
      </c>
      <c r="AC10" s="22">
        <f t="shared" ref="AC10:AK10" si="1">AB10*((($AA$10/$R$10)-1)/10+1)</f>
        <v>2.7460827140083004</v>
      </c>
      <c r="AD10" s="22">
        <f t="shared" si="1"/>
        <v>2.7613251086354857</v>
      </c>
      <c r="AE10" s="22">
        <f t="shared" si="1"/>
        <v>2.7766521076312087</v>
      </c>
      <c r="AF10" s="22">
        <f t="shared" si="1"/>
        <v>2.792064180600105</v>
      </c>
      <c r="AG10" s="22">
        <f t="shared" si="1"/>
        <v>2.8075617997533957</v>
      </c>
      <c r="AH10" s="22">
        <f t="shared" si="1"/>
        <v>2.8231454399233553</v>
      </c>
      <c r="AI10" s="22">
        <f t="shared" si="1"/>
        <v>2.8388155785778606</v>
      </c>
      <c r="AJ10" s="22">
        <f t="shared" si="1"/>
        <v>2.854572695835019</v>
      </c>
      <c r="AK10" s="22">
        <f t="shared" si="1"/>
        <v>2.8704172744778802</v>
      </c>
    </row>
    <row r="12" spans="1:37" s="7" customFormat="1" x14ac:dyDescent="0.25">
      <c r="A12" s="6" t="s">
        <v>250</v>
      </c>
    </row>
    <row r="13" spans="1:37" x14ac:dyDescent="0.25">
      <c r="B13">
        <v>2015</v>
      </c>
      <c r="C13">
        <v>2016</v>
      </c>
      <c r="D13">
        <v>2017</v>
      </c>
      <c r="E13">
        <v>2018</v>
      </c>
      <c r="F13">
        <v>2019</v>
      </c>
      <c r="G13">
        <v>2020</v>
      </c>
      <c r="H13">
        <v>2021</v>
      </c>
      <c r="I13">
        <v>2022</v>
      </c>
      <c r="J13">
        <v>2023</v>
      </c>
      <c r="K13">
        <v>2024</v>
      </c>
      <c r="L13">
        <v>2025</v>
      </c>
      <c r="M13">
        <v>2026</v>
      </c>
      <c r="N13">
        <v>2027</v>
      </c>
      <c r="O13">
        <v>2028</v>
      </c>
      <c r="P13">
        <v>2029</v>
      </c>
      <c r="Q13">
        <v>2030</v>
      </c>
      <c r="R13">
        <v>2031</v>
      </c>
      <c r="S13">
        <v>2032</v>
      </c>
      <c r="T13">
        <v>2033</v>
      </c>
      <c r="U13">
        <v>2034</v>
      </c>
      <c r="V13">
        <v>2035</v>
      </c>
      <c r="W13">
        <v>2036</v>
      </c>
      <c r="X13">
        <v>2037</v>
      </c>
      <c r="Y13">
        <v>2038</v>
      </c>
      <c r="Z13">
        <v>2039</v>
      </c>
      <c r="AA13">
        <v>2040</v>
      </c>
      <c r="AB13">
        <v>2041</v>
      </c>
      <c r="AC13">
        <v>2042</v>
      </c>
      <c r="AD13">
        <v>2043</v>
      </c>
      <c r="AE13">
        <v>2044</v>
      </c>
      <c r="AF13">
        <v>2045</v>
      </c>
      <c r="AG13">
        <v>2046</v>
      </c>
      <c r="AH13">
        <v>2047</v>
      </c>
      <c r="AI13">
        <v>2048</v>
      </c>
      <c r="AJ13">
        <v>2049</v>
      </c>
      <c r="AK13">
        <v>2050</v>
      </c>
    </row>
    <row r="14" spans="1:37" x14ac:dyDescent="0.25">
      <c r="A14" t="s">
        <v>57</v>
      </c>
      <c r="B14" s="23">
        <f>F4</f>
        <v>0.55700000000000005</v>
      </c>
      <c r="C14">
        <f t="shared" ref="C14:AK14" si="2">(($F$4/$B$4-1)/4+1)*B14</f>
        <v>0.53147763929618774</v>
      </c>
      <c r="D14">
        <f t="shared" si="2"/>
        <v>0.5071247416011645</v>
      </c>
      <c r="E14">
        <f t="shared" si="2"/>
        <v>0.48388772081665365</v>
      </c>
      <c r="F14">
        <f t="shared" si="2"/>
        <v>0.46171544621911637</v>
      </c>
      <c r="G14">
        <f t="shared" si="2"/>
        <v>0.44055912995174484</v>
      </c>
      <c r="H14">
        <f t="shared" si="2"/>
        <v>0.42037221967169791</v>
      </c>
      <c r="I14">
        <f t="shared" si="2"/>
        <v>0.40111029611635984</v>
      </c>
      <c r="J14">
        <f t="shared" si="2"/>
        <v>0.38273097536322753</v>
      </c>
      <c r="K14">
        <f t="shared" si="2"/>
        <v>0.36519381556835823</v>
      </c>
      <c r="L14">
        <f t="shared" si="2"/>
        <v>0.34846022797816589</v>
      </c>
      <c r="M14">
        <f t="shared" si="2"/>
        <v>0.33249339201875583</v>
      </c>
      <c r="N14">
        <f t="shared" si="2"/>
        <v>0.31725817427596092</v>
      </c>
      <c r="O14">
        <f t="shared" si="2"/>
        <v>0.3027210511878029</v>
      </c>
      <c r="P14">
        <f t="shared" si="2"/>
        <v>0.28885003527927089</v>
      </c>
      <c r="Q14">
        <f t="shared" si="2"/>
        <v>0.27561460477710492</v>
      </c>
      <c r="R14">
        <f t="shared" si="2"/>
        <v>0.26298563644970824</v>
      </c>
      <c r="S14">
        <f t="shared" si="2"/>
        <v>0.25093534152441005</v>
      </c>
      <c r="T14">
        <f t="shared" si="2"/>
        <v>0.23943720454107015</v>
      </c>
      <c r="U14">
        <f t="shared" si="2"/>
        <v>0.22846592500748006</v>
      </c>
      <c r="V14">
        <f t="shared" si="2"/>
        <v>0.21799736172817838</v>
      </c>
      <c r="W14">
        <f t="shared" si="2"/>
        <v>0.20800847968418196</v>
      </c>
      <c r="X14">
        <f t="shared" si="2"/>
        <v>0.19847729934674693</v>
      </c>
      <c r="Y14">
        <f t="shared" si="2"/>
        <v>0.18938284831362986</v>
      </c>
      <c r="Z14">
        <f t="shared" si="2"/>
        <v>0.18070511516142909</v>
      </c>
      <c r="AA14">
        <f t="shared" si="2"/>
        <v>0.17242500541246333</v>
      </c>
      <c r="AB14">
        <f t="shared" si="2"/>
        <v>0.16452429951929695</v>
      </c>
      <c r="AC14">
        <f t="shared" si="2"/>
        <v>0.15698561277446113</v>
      </c>
      <c r="AD14">
        <f t="shared" si="2"/>
        <v>0.14979235705715629</v>
      </c>
      <c r="AE14">
        <f t="shared" si="2"/>
        <v>0.14292870433276314</v>
      </c>
      <c r="AF14">
        <f t="shared" si="2"/>
        <v>0.13637955182484696</v>
      </c>
      <c r="AG14">
        <f t="shared" si="2"/>
        <v>0.1301304887830193</v>
      </c>
      <c r="AH14">
        <f t="shared" si="2"/>
        <v>0.12416776477353346</v>
      </c>
      <c r="AI14">
        <f t="shared" si="2"/>
        <v>0.11847825942284003</v>
      </c>
      <c r="AJ14">
        <f t="shared" si="2"/>
        <v>0.11304945354752662</v>
      </c>
      <c r="AK14">
        <f t="shared" si="2"/>
        <v>0.10786940160711576</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outlinePr summaryBelow="0"/>
  </sheetPr>
  <dimension ref="A1:AK76"/>
  <sheetViews>
    <sheetView topLeftCell="T1" workbookViewId="0">
      <selection activeCell="A11" sqref="A1:XFD1048576"/>
    </sheetView>
  </sheetViews>
  <sheetFormatPr defaultColWidth="12.42578125" defaultRowHeight="15" x14ac:dyDescent="0.25"/>
  <cols>
    <col min="1" max="1" width="61.28515625" style="26" customWidth="1"/>
    <col min="2" max="10" width="12.42578125" style="26"/>
    <col min="11" max="11" width="10.28515625" style="26" customWidth="1"/>
    <col min="12" max="12" width="10.42578125" style="28" customWidth="1"/>
    <col min="13" max="16384" width="12.42578125" style="26"/>
  </cols>
  <sheetData>
    <row r="1" spans="1:37" x14ac:dyDescent="0.25">
      <c r="A1" s="27" t="s">
        <v>118</v>
      </c>
    </row>
    <row r="2" spans="1:37" x14ac:dyDescent="0.25">
      <c r="A2" s="29"/>
      <c r="B2" s="30">
        <v>2015</v>
      </c>
      <c r="C2" s="30">
        <v>2016</v>
      </c>
      <c r="D2" s="30">
        <v>2017</v>
      </c>
      <c r="E2" s="30">
        <v>2018</v>
      </c>
      <c r="F2" s="30">
        <v>2019</v>
      </c>
      <c r="G2" s="30">
        <v>2020</v>
      </c>
      <c r="H2" s="30">
        <v>2021</v>
      </c>
      <c r="I2" s="30">
        <v>2022</v>
      </c>
      <c r="J2" s="30">
        <v>2023</v>
      </c>
      <c r="K2" s="30">
        <v>2024</v>
      </c>
      <c r="L2" s="30">
        <v>2025</v>
      </c>
      <c r="M2" s="30">
        <v>2026</v>
      </c>
      <c r="N2" s="30">
        <v>2027</v>
      </c>
      <c r="O2" s="30">
        <v>2028</v>
      </c>
      <c r="P2" s="30">
        <v>2029</v>
      </c>
      <c r="Q2" s="30">
        <v>2030</v>
      </c>
      <c r="R2" s="30">
        <v>2031</v>
      </c>
      <c r="S2" s="30">
        <v>2032</v>
      </c>
      <c r="T2" s="30">
        <v>2033</v>
      </c>
      <c r="U2" s="30">
        <v>2034</v>
      </c>
      <c r="V2" s="30">
        <v>2035</v>
      </c>
      <c r="W2" s="30">
        <v>2036</v>
      </c>
      <c r="X2" s="30">
        <v>2037</v>
      </c>
      <c r="Y2" s="30">
        <v>2038</v>
      </c>
      <c r="Z2" s="30">
        <v>2039</v>
      </c>
      <c r="AA2" s="30">
        <v>2040</v>
      </c>
      <c r="AB2" s="30">
        <v>2041</v>
      </c>
      <c r="AC2" s="30">
        <v>2042</v>
      </c>
      <c r="AD2" s="30">
        <v>2043</v>
      </c>
      <c r="AE2" s="30">
        <v>2044</v>
      </c>
      <c r="AF2" s="30">
        <v>2045</v>
      </c>
      <c r="AG2" s="30">
        <v>2046</v>
      </c>
      <c r="AH2" s="30">
        <v>2047</v>
      </c>
      <c r="AI2" s="30">
        <v>2048</v>
      </c>
      <c r="AJ2" s="30">
        <v>2049</v>
      </c>
      <c r="AK2" s="30">
        <v>2050</v>
      </c>
    </row>
    <row r="3" spans="1:37" x14ac:dyDescent="0.25">
      <c r="A3" s="31" t="s">
        <v>119</v>
      </c>
      <c r="B3" s="32"/>
      <c r="C3" s="32"/>
      <c r="D3" s="32"/>
      <c r="E3" s="32"/>
      <c r="F3" s="32"/>
      <c r="G3" s="32"/>
      <c r="H3" s="32"/>
      <c r="I3" s="32"/>
      <c r="J3" s="32"/>
    </row>
    <row r="4" spans="1:37" x14ac:dyDescent="0.25">
      <c r="A4" s="33" t="s">
        <v>120</v>
      </c>
      <c r="B4" s="35">
        <f>SUM(B5:B6)</f>
        <v>8.0363613790410007</v>
      </c>
      <c r="C4" s="35">
        <f t="shared" ref="C4:AK4" si="0">SUM(C5:C6)</f>
        <v>8.0836340930353607</v>
      </c>
      <c r="D4" s="35">
        <f t="shared" si="0"/>
        <v>8.1311848818179211</v>
      </c>
      <c r="E4" s="35">
        <f t="shared" si="0"/>
        <v>8.1790153811227313</v>
      </c>
      <c r="F4" s="35">
        <f t="shared" si="0"/>
        <v>8.2271272363058063</v>
      </c>
      <c r="G4" s="35">
        <f t="shared" si="0"/>
        <v>8.2755221024017231</v>
      </c>
      <c r="H4" s="35">
        <f t="shared" si="0"/>
        <v>8.3242016441805564</v>
      </c>
      <c r="I4" s="35">
        <f t="shared" si="0"/>
        <v>8.3731675362051483</v>
      </c>
      <c r="J4" s="35">
        <f t="shared" si="0"/>
        <v>8.4224214628887069</v>
      </c>
      <c r="K4" s="35">
        <f t="shared" si="0"/>
        <v>8.4719651185527578</v>
      </c>
      <c r="L4" s="35">
        <f t="shared" si="0"/>
        <v>8.5218002074854216</v>
      </c>
      <c r="M4" s="35">
        <f t="shared" si="0"/>
        <v>8.5719284440000418</v>
      </c>
      <c r="N4" s="35">
        <f t="shared" si="0"/>
        <v>8.622351552494159</v>
      </c>
      <c r="O4" s="35">
        <f t="shared" si="0"/>
        <v>8.6730712675088313</v>
      </c>
      <c r="P4" s="35">
        <f t="shared" si="0"/>
        <v>8.7240893337882941</v>
      </c>
      <c r="Q4" s="35">
        <f t="shared" si="0"/>
        <v>8.7754075063399881</v>
      </c>
      <c r="R4" s="35">
        <f t="shared" si="0"/>
        <v>8.8270275504949289</v>
      </c>
      <c r="S4" s="35">
        <f t="shared" si="0"/>
        <v>8.8789512419684282</v>
      </c>
      <c r="T4" s="35">
        <f t="shared" si="0"/>
        <v>8.9311803669211844</v>
      </c>
      <c r="U4" s="35">
        <f t="shared" si="0"/>
        <v>8.9837167220207199</v>
      </c>
      <c r="V4" s="35">
        <f t="shared" si="0"/>
        <v>9.0365621145031945</v>
      </c>
      <c r="W4" s="35">
        <f t="shared" si="0"/>
        <v>9.0897183622355655</v>
      </c>
      <c r="X4" s="35">
        <f t="shared" si="0"/>
        <v>9.1431872937781282</v>
      </c>
      <c r="Y4" s="35">
        <f t="shared" si="0"/>
        <v>9.196970748447411</v>
      </c>
      <c r="Z4" s="35">
        <f t="shared" si="0"/>
        <v>9.2510705763794547</v>
      </c>
      <c r="AA4" s="35">
        <f t="shared" si="0"/>
        <v>9.3054886385934523</v>
      </c>
      <c r="AB4" s="35">
        <f t="shared" si="0"/>
        <v>9.3602268070557653</v>
      </c>
      <c r="AC4" s="35">
        <f t="shared" si="0"/>
        <v>9.4152869647443289</v>
      </c>
      <c r="AD4" s="35">
        <f t="shared" si="0"/>
        <v>9.4706710057134131</v>
      </c>
      <c r="AE4" s="35">
        <f t="shared" si="0"/>
        <v>9.5263808351587862</v>
      </c>
      <c r="AF4" s="35">
        <f t="shared" si="0"/>
        <v>9.5824183694832499</v>
      </c>
      <c r="AG4" s="35">
        <f t="shared" si="0"/>
        <v>9.6387855363625619</v>
      </c>
      <c r="AH4" s="35">
        <f t="shared" si="0"/>
        <v>9.6954842748117542</v>
      </c>
      <c r="AI4" s="35">
        <f t="shared" si="0"/>
        <v>9.7525165352518215</v>
      </c>
      <c r="AJ4" s="35">
        <f t="shared" si="0"/>
        <v>9.8098842795768331</v>
      </c>
      <c r="AK4" s="35">
        <f t="shared" si="0"/>
        <v>9.8675894812214011</v>
      </c>
    </row>
    <row r="5" spans="1:37" x14ac:dyDescent="0.25">
      <c r="A5" s="56" t="s">
        <v>242</v>
      </c>
      <c r="B5" s="68">
        <f>'Cement CO2 Emissions'!B10</f>
        <v>8.0363613790410007</v>
      </c>
      <c r="C5" s="68">
        <f>'Cement CO2 Emissions'!C10</f>
        <v>8.0836340930353607</v>
      </c>
      <c r="D5" s="68">
        <f>'Cement CO2 Emissions'!D10</f>
        <v>8.1311848818179211</v>
      </c>
      <c r="E5" s="68">
        <f>'Cement CO2 Emissions'!E10</f>
        <v>8.1790153811227313</v>
      </c>
      <c r="F5" s="68">
        <f>'Cement CO2 Emissions'!F10</f>
        <v>8.2271272363058063</v>
      </c>
      <c r="G5" s="68">
        <f>'Cement CO2 Emissions'!G10</f>
        <v>8.2755221024017231</v>
      </c>
      <c r="H5" s="68">
        <f>'Cement CO2 Emissions'!H10</f>
        <v>8.3242016441805564</v>
      </c>
      <c r="I5" s="68">
        <f>'Cement CO2 Emissions'!I10</f>
        <v>8.3731675362051483</v>
      </c>
      <c r="J5" s="68">
        <f>'Cement CO2 Emissions'!J10</f>
        <v>8.4224214628887069</v>
      </c>
      <c r="K5" s="68">
        <f>'Cement CO2 Emissions'!K10</f>
        <v>8.4719651185527578</v>
      </c>
      <c r="L5" s="68">
        <f>'Cement CO2 Emissions'!L10</f>
        <v>8.5218002074854216</v>
      </c>
      <c r="M5" s="68">
        <f>'Cement CO2 Emissions'!M10</f>
        <v>8.5719284440000418</v>
      </c>
      <c r="N5" s="68">
        <f>'Cement CO2 Emissions'!N10</f>
        <v>8.622351552494159</v>
      </c>
      <c r="O5" s="68">
        <f>'Cement CO2 Emissions'!O10</f>
        <v>8.6730712675088313</v>
      </c>
      <c r="P5" s="68">
        <f>'Cement CO2 Emissions'!P10</f>
        <v>8.7240893337882941</v>
      </c>
      <c r="Q5" s="68">
        <f>'Cement CO2 Emissions'!Q10</f>
        <v>8.7754075063399881</v>
      </c>
      <c r="R5" s="68">
        <f>'Cement CO2 Emissions'!R10</f>
        <v>8.8270275504949289</v>
      </c>
      <c r="S5" s="68">
        <f>'Cement CO2 Emissions'!S10</f>
        <v>8.8789512419684282</v>
      </c>
      <c r="T5" s="68">
        <f>'Cement CO2 Emissions'!T10</f>
        <v>8.9311803669211844</v>
      </c>
      <c r="U5" s="68">
        <f>'Cement CO2 Emissions'!U10</f>
        <v>8.9837167220207199</v>
      </c>
      <c r="V5" s="68">
        <f>'Cement CO2 Emissions'!V10</f>
        <v>9.0365621145031945</v>
      </c>
      <c r="W5" s="68">
        <f>'Cement CO2 Emissions'!W10</f>
        <v>9.0897183622355655</v>
      </c>
      <c r="X5" s="68">
        <f>'Cement CO2 Emissions'!X10</f>
        <v>9.1431872937781282</v>
      </c>
      <c r="Y5" s="68">
        <f>'Cement CO2 Emissions'!Y10</f>
        <v>9.196970748447411</v>
      </c>
      <c r="Z5" s="68">
        <f>'Cement CO2 Emissions'!Z10</f>
        <v>9.2510705763794547</v>
      </c>
      <c r="AA5" s="68">
        <f>'Cement CO2 Emissions'!AA10</f>
        <v>9.3054886385934523</v>
      </c>
      <c r="AB5" s="68">
        <f>'Cement CO2 Emissions'!AB10</f>
        <v>9.3602268070557653</v>
      </c>
      <c r="AC5" s="68">
        <f>'Cement CO2 Emissions'!AC10</f>
        <v>9.4152869647443289</v>
      </c>
      <c r="AD5" s="68">
        <f>'Cement CO2 Emissions'!AD10</f>
        <v>9.4706710057134131</v>
      </c>
      <c r="AE5" s="68">
        <f>'Cement CO2 Emissions'!AE10</f>
        <v>9.5263808351587862</v>
      </c>
      <c r="AF5" s="68">
        <f>'Cement CO2 Emissions'!AF10</f>
        <v>9.5824183694832499</v>
      </c>
      <c r="AG5" s="68">
        <f>'Cement CO2 Emissions'!AG10</f>
        <v>9.6387855363625619</v>
      </c>
      <c r="AH5" s="68">
        <f>'Cement CO2 Emissions'!AH10</f>
        <v>9.6954842748117542</v>
      </c>
      <c r="AI5" s="68">
        <f>'Cement CO2 Emissions'!AI10</f>
        <v>9.7525165352518215</v>
      </c>
      <c r="AJ5" s="68">
        <f>'Cement CO2 Emissions'!AJ10</f>
        <v>9.8098842795768331</v>
      </c>
      <c r="AK5" s="68">
        <f>'Cement CO2 Emissions'!AK10</f>
        <v>9.8675894812214011</v>
      </c>
    </row>
    <row r="6" spans="1:37" x14ac:dyDescent="0.25">
      <c r="A6" s="56" t="s">
        <v>241</v>
      </c>
      <c r="B6" s="68">
        <v>0</v>
      </c>
      <c r="C6" s="68">
        <v>0</v>
      </c>
      <c r="D6" s="68">
        <v>0</v>
      </c>
      <c r="E6" s="68">
        <v>0</v>
      </c>
      <c r="F6" s="68">
        <v>0</v>
      </c>
      <c r="G6" s="68">
        <v>0</v>
      </c>
      <c r="H6" s="68">
        <v>0</v>
      </c>
      <c r="I6" s="68">
        <v>0</v>
      </c>
      <c r="J6" s="68">
        <v>0</v>
      </c>
      <c r="K6" s="68">
        <v>0</v>
      </c>
      <c r="L6" s="68">
        <v>0</v>
      </c>
      <c r="M6" s="68">
        <v>0</v>
      </c>
      <c r="N6" s="68">
        <v>0</v>
      </c>
      <c r="O6" s="68">
        <v>0</v>
      </c>
      <c r="P6" s="68">
        <v>0</v>
      </c>
      <c r="Q6" s="68">
        <v>0</v>
      </c>
      <c r="R6" s="68">
        <v>0</v>
      </c>
      <c r="S6" s="68">
        <v>0</v>
      </c>
      <c r="T6" s="68">
        <v>0</v>
      </c>
      <c r="U6" s="68">
        <v>0</v>
      </c>
      <c r="V6" s="68">
        <v>0</v>
      </c>
      <c r="W6" s="68">
        <v>0</v>
      </c>
      <c r="X6" s="68">
        <v>0</v>
      </c>
      <c r="Y6" s="68">
        <v>0</v>
      </c>
      <c r="Z6" s="68">
        <v>0</v>
      </c>
      <c r="AA6" s="68">
        <v>0</v>
      </c>
      <c r="AB6" s="68">
        <v>0</v>
      </c>
      <c r="AC6" s="68">
        <v>0</v>
      </c>
      <c r="AD6" s="68">
        <v>0</v>
      </c>
      <c r="AE6" s="68">
        <v>0</v>
      </c>
      <c r="AF6" s="68">
        <v>0</v>
      </c>
      <c r="AG6" s="68">
        <v>0</v>
      </c>
      <c r="AH6" s="68">
        <v>0</v>
      </c>
      <c r="AI6" s="68">
        <v>0</v>
      </c>
      <c r="AJ6" s="68">
        <v>0</v>
      </c>
      <c r="AK6" s="68">
        <v>0</v>
      </c>
    </row>
    <row r="7" spans="1:37" x14ac:dyDescent="0.25">
      <c r="A7" s="31"/>
      <c r="B7" s="37"/>
      <c r="C7" s="36"/>
      <c r="D7" s="36"/>
      <c r="E7" s="36"/>
      <c r="F7" s="36"/>
      <c r="G7" s="36"/>
      <c r="H7" s="36"/>
      <c r="I7" s="36"/>
      <c r="J7" s="36"/>
    </row>
    <row r="8" spans="1:37" x14ac:dyDescent="0.25">
      <c r="A8" s="31" t="s">
        <v>121</v>
      </c>
      <c r="B8" s="37"/>
      <c r="C8" s="36"/>
      <c r="D8" s="36"/>
      <c r="E8" s="36"/>
      <c r="F8" s="36"/>
      <c r="G8" s="36"/>
      <c r="H8" s="36"/>
      <c r="I8" s="36"/>
      <c r="J8" s="36"/>
    </row>
    <row r="9" spans="1:37" x14ac:dyDescent="0.25">
      <c r="A9" s="33" t="s">
        <v>122</v>
      </c>
      <c r="B9" s="37">
        <f>SUM(B11,B13,B15)</f>
        <v>113.34868297995715</v>
      </c>
      <c r="C9" s="37">
        <f t="shared" ref="C9:AK9" si="1">SUM(C11,C13,C15)</f>
        <v>115.35001820986349</v>
      </c>
      <c r="D9" s="37">
        <f t="shared" si="1"/>
        <v>117.05450187815377</v>
      </c>
      <c r="E9" s="37">
        <f t="shared" si="1"/>
        <v>118.2879513618972</v>
      </c>
      <c r="F9" s="37">
        <f t="shared" si="1"/>
        <v>120.10536338192979</v>
      </c>
      <c r="G9" s="37">
        <f t="shared" si="1"/>
        <v>122.32521017122193</v>
      </c>
      <c r="H9" s="37">
        <f t="shared" si="1"/>
        <v>125.22593089101873</v>
      </c>
      <c r="I9" s="37">
        <f t="shared" si="1"/>
        <v>127.99985035064432</v>
      </c>
      <c r="J9" s="37">
        <f t="shared" si="1"/>
        <v>130.33716119018462</v>
      </c>
      <c r="K9" s="37">
        <f t="shared" si="1"/>
        <v>131.89636145547945</v>
      </c>
      <c r="L9" s="37">
        <f t="shared" si="1"/>
        <v>132.92718731217454</v>
      </c>
      <c r="M9" s="37">
        <f t="shared" si="1"/>
        <v>133.3679465395831</v>
      </c>
      <c r="N9" s="37">
        <f t="shared" si="1"/>
        <v>133.52073934241992</v>
      </c>
      <c r="O9" s="37">
        <f t="shared" si="1"/>
        <v>133.20479861266961</v>
      </c>
      <c r="P9" s="37">
        <f t="shared" si="1"/>
        <v>133.18327235447134</v>
      </c>
      <c r="Q9" s="37">
        <f t="shared" si="1"/>
        <v>133.32204146630113</v>
      </c>
      <c r="R9" s="37">
        <f t="shared" si="1"/>
        <v>133.60268574373842</v>
      </c>
      <c r="S9" s="37">
        <f t="shared" si="1"/>
        <v>133.90963957169677</v>
      </c>
      <c r="T9" s="37">
        <f t="shared" si="1"/>
        <v>134.29748724288214</v>
      </c>
      <c r="U9" s="37">
        <f t="shared" si="1"/>
        <v>134.53291903405469</v>
      </c>
      <c r="V9" s="37">
        <f t="shared" si="1"/>
        <v>134.73831478299502</v>
      </c>
      <c r="W9" s="37">
        <f t="shared" si="1"/>
        <v>134.95205853289656</v>
      </c>
      <c r="X9" s="37">
        <f t="shared" si="1"/>
        <v>135.23124111885684</v>
      </c>
      <c r="Y9" s="37">
        <f t="shared" si="1"/>
        <v>135.43066807548112</v>
      </c>
      <c r="Z9" s="37">
        <f t="shared" si="1"/>
        <v>135.61802086208212</v>
      </c>
      <c r="AA9" s="37">
        <f t="shared" si="1"/>
        <v>135.8092167153593</v>
      </c>
      <c r="AB9" s="37">
        <f t="shared" si="1"/>
        <v>136.03498727953888</v>
      </c>
      <c r="AC9" s="37">
        <f t="shared" si="1"/>
        <v>136.26128490779777</v>
      </c>
      <c r="AD9" s="37">
        <f t="shared" si="1"/>
        <v>136.48811118356036</v>
      </c>
      <c r="AE9" s="37">
        <f t="shared" si="1"/>
        <v>136.71546769560226</v>
      </c>
      <c r="AF9" s="37">
        <f t="shared" si="1"/>
        <v>136.94335603806894</v>
      </c>
      <c r="AG9" s="37">
        <f t="shared" si="1"/>
        <v>137.17177781049489</v>
      </c>
      <c r="AH9" s="37">
        <f t="shared" si="1"/>
        <v>137.40073461782245</v>
      </c>
      <c r="AI9" s="37">
        <f t="shared" si="1"/>
        <v>137.63022807042108</v>
      </c>
      <c r="AJ9" s="37">
        <f t="shared" si="1"/>
        <v>137.86025978410646</v>
      </c>
      <c r="AK9" s="37">
        <f t="shared" si="1"/>
        <v>138.09083138015967</v>
      </c>
    </row>
    <row r="10" spans="1:37" x14ac:dyDescent="0.25">
      <c r="A10" s="33" t="s">
        <v>123</v>
      </c>
      <c r="B10" s="37">
        <f>B12+B14+B16</f>
        <v>11.449002785239335</v>
      </c>
      <c r="C10" s="37">
        <f t="shared" ref="C10:AK10" si="2">C12+C14+C16</f>
        <v>11.978929640026204</v>
      </c>
      <c r="D10" s="37">
        <f t="shared" si="2"/>
        <v>12.112077050332655</v>
      </c>
      <c r="E10" s="37">
        <f t="shared" si="2"/>
        <v>12.157801749354288</v>
      </c>
      <c r="F10" s="37">
        <f t="shared" si="2"/>
        <v>12.285328412200791</v>
      </c>
      <c r="G10" s="37">
        <f t="shared" si="2"/>
        <v>12.358195003023553</v>
      </c>
      <c r="H10" s="37">
        <f t="shared" si="2"/>
        <v>12.50573936692143</v>
      </c>
      <c r="I10" s="37">
        <f t="shared" si="2"/>
        <v>12.617008437761079</v>
      </c>
      <c r="J10" s="37">
        <f t="shared" si="2"/>
        <v>12.715430558993521</v>
      </c>
      <c r="K10" s="37">
        <f t="shared" si="2"/>
        <v>12.756340969235904</v>
      </c>
      <c r="L10" s="37">
        <f t="shared" si="2"/>
        <v>12.809073862154868</v>
      </c>
      <c r="M10" s="37">
        <f t="shared" si="2"/>
        <v>12.812585085392776</v>
      </c>
      <c r="N10" s="37">
        <f t="shared" si="2"/>
        <v>12.826174169017216</v>
      </c>
      <c r="O10" s="37">
        <f t="shared" si="2"/>
        <v>12.781169799991805</v>
      </c>
      <c r="P10" s="37">
        <f t="shared" si="2"/>
        <v>12.808917165114151</v>
      </c>
      <c r="Q10" s="37">
        <f t="shared" si="2"/>
        <v>12.824642577800789</v>
      </c>
      <c r="R10" s="37">
        <f t="shared" si="2"/>
        <v>12.849010392388792</v>
      </c>
      <c r="S10" s="37">
        <f t="shared" si="2"/>
        <v>12.84769896869113</v>
      </c>
      <c r="T10" s="37">
        <f t="shared" si="2"/>
        <v>12.898157872436091</v>
      </c>
      <c r="U10" s="37">
        <f t="shared" si="2"/>
        <v>12.917896158154718</v>
      </c>
      <c r="V10" s="37">
        <f t="shared" si="2"/>
        <v>12.936781570268213</v>
      </c>
      <c r="W10" s="37">
        <f t="shared" si="2"/>
        <v>12.964804212798967</v>
      </c>
      <c r="X10" s="37">
        <f t="shared" si="2"/>
        <v>13.03746620275159</v>
      </c>
      <c r="Y10" s="37">
        <f t="shared" si="2"/>
        <v>13.086816484221222</v>
      </c>
      <c r="Z10" s="37">
        <f t="shared" si="2"/>
        <v>13.135771238536353</v>
      </c>
      <c r="AA10" s="37">
        <f t="shared" si="2"/>
        <v>13.170077843173502</v>
      </c>
      <c r="AB10" s="37">
        <f t="shared" si="2"/>
        <v>13.20315126432445</v>
      </c>
      <c r="AC10" s="37">
        <f t="shared" si="2"/>
        <v>13.236324505356198</v>
      </c>
      <c r="AD10" s="37">
        <f t="shared" si="2"/>
        <v>13.269597892075172</v>
      </c>
      <c r="AE10" s="37">
        <f t="shared" si="2"/>
        <v>13.302971751381577</v>
      </c>
      <c r="AF10" s="37">
        <f t="shared" si="2"/>
        <v>13.336446411273094</v>
      </c>
      <c r="AG10" s="37">
        <f t="shared" si="2"/>
        <v>13.3700222008486</v>
      </c>
      <c r="AH10" s="37">
        <f t="shared" si="2"/>
        <v>13.403699450311912</v>
      </c>
      <c r="AI10" s="37">
        <f t="shared" si="2"/>
        <v>13.43747849097552</v>
      </c>
      <c r="AJ10" s="37">
        <f t="shared" si="2"/>
        <v>13.471359655264365</v>
      </c>
      <c r="AK10" s="37">
        <f t="shared" si="2"/>
        <v>13.505343276719595</v>
      </c>
    </row>
    <row r="11" spans="1:37" x14ac:dyDescent="0.25">
      <c r="A11" s="40" t="s">
        <v>156</v>
      </c>
      <c r="B11" s="39">
        <f>'Petroleum Systems'!B51*'Cross-Page Data'!$C$12/1000</f>
        <v>26.03309097995713</v>
      </c>
      <c r="C11" s="39">
        <f>'Petroleum Systems'!C51*'Cross-Page Data'!$C$12/1000</f>
        <v>28.063042209863482</v>
      </c>
      <c r="D11" s="39">
        <f>'Petroleum Systems'!D51*'Cross-Page Data'!$C$12/1000</f>
        <v>28.725085878153763</v>
      </c>
      <c r="E11" s="39">
        <f>'Petroleum Systems'!E51*'Cross-Page Data'!$C$12/1000</f>
        <v>29.061219361897212</v>
      </c>
      <c r="F11" s="39">
        <f>'Petroleum Systems'!F51*'Cross-Page Data'!$C$12/1000</f>
        <v>29.361983381929786</v>
      </c>
      <c r="G11" s="39">
        <f>'Petroleum Systems'!G51*'Cross-Page Data'!$C$12/1000</f>
        <v>29.304814171221935</v>
      </c>
      <c r="H11" s="39">
        <f>'Petroleum Systems'!H51*'Cross-Page Data'!$C$12/1000</f>
        <v>29.431826891018716</v>
      </c>
      <c r="I11" s="39">
        <f>'Petroleum Systems'!I51*'Cross-Page Data'!$C$12/1000</f>
        <v>29.595558350644318</v>
      </c>
      <c r="J11" s="39">
        <f>'Petroleum Systems'!J51*'Cross-Page Data'!$C$12/1000</f>
        <v>29.835725190184615</v>
      </c>
      <c r="K11" s="39">
        <f>'Petroleum Systems'!K51*'Cross-Page Data'!$C$12/1000</f>
        <v>30.023401455479455</v>
      </c>
      <c r="L11" s="39">
        <f>'Petroleum Systems'!L51*'Cross-Page Data'!$C$12/1000</f>
        <v>30.428763312174535</v>
      </c>
      <c r="M11" s="39">
        <f>'Petroleum Systems'!M51*'Cross-Page Data'!$C$12/1000</f>
        <v>30.515910539583082</v>
      </c>
      <c r="N11" s="39">
        <f>'Petroleum Systems'!N51*'Cross-Page Data'!$C$12/1000</f>
        <v>30.674835342419897</v>
      </c>
      <c r="O11" s="39">
        <f>'Petroleum Systems'!O51*'Cross-Page Data'!$C$12/1000</f>
        <v>30.741122612669592</v>
      </c>
      <c r="P11" s="39">
        <f>'Petroleum Systems'!P51*'Cross-Page Data'!$C$12/1000</f>
        <v>30.956700354471323</v>
      </c>
      <c r="Q11" s="39">
        <f>'Petroleum Systems'!Q51*'Cross-Page Data'!$C$12/1000</f>
        <v>31.101601466301133</v>
      </c>
      <c r="R11" s="39">
        <f>'Petroleum Systems'!R51*'Cross-Page Data'!$C$12/1000</f>
        <v>31.237121743738435</v>
      </c>
      <c r="S11" s="39">
        <f>'Petroleum Systems'!S51*'Cross-Page Data'!$C$12/1000</f>
        <v>31.278355571696771</v>
      </c>
      <c r="T11" s="39">
        <f>'Petroleum Systems'!T51*'Cross-Page Data'!$C$12/1000</f>
        <v>31.439319242882139</v>
      </c>
      <c r="U11" s="39">
        <f>'Petroleum Systems'!U51*'Cross-Page Data'!$C$12/1000</f>
        <v>31.541891034054697</v>
      </c>
      <c r="V11" s="39">
        <f>'Petroleum Systems'!V51*'Cross-Page Data'!$C$12/1000</f>
        <v>31.626690782995041</v>
      </c>
      <c r="W11" s="39">
        <f>'Petroleum Systems'!W51*'Cross-Page Data'!$C$12/1000</f>
        <v>31.748454532896545</v>
      </c>
      <c r="X11" s="39">
        <f>'Petroleum Systems'!X51*'Cross-Page Data'!$C$12/1000</f>
        <v>31.962229118856847</v>
      </c>
      <c r="Y11" s="39">
        <f>'Petroleum Systems'!Y51*'Cross-Page Data'!$C$12/1000</f>
        <v>32.10442407548112</v>
      </c>
      <c r="Z11" s="39">
        <f>'Petroleum Systems'!Z51*'Cross-Page Data'!$C$12/1000</f>
        <v>32.240676862082118</v>
      </c>
      <c r="AA11" s="39">
        <f>'Petroleum Systems'!AA51*'Cross-Page Data'!$C$12/1000</f>
        <v>32.343980715359287</v>
      </c>
      <c r="AB11" s="39">
        <f>'Petroleum Systems'!AB51*'Cross-Page Data'!$C$12/1000</f>
        <v>32.458602746226852</v>
      </c>
      <c r="AC11" s="39">
        <f>'Petroleum Systems'!AC51*'Cross-Page Data'!$C$12/1000</f>
        <v>32.573632438783719</v>
      </c>
      <c r="AD11" s="39">
        <f>'Petroleum Systems'!AD51*'Cross-Page Data'!$C$12/1000</f>
        <v>32.689071248185151</v>
      </c>
      <c r="AE11" s="39">
        <f>'Petroleum Systems'!AE51*'Cross-Page Data'!$C$12/1000</f>
        <v>32.804920634799778</v>
      </c>
      <c r="AF11" s="39">
        <f>'Petroleum Systems'!AF51*'Cross-Page Data'!$C$12/1000</f>
        <v>32.921182064228169</v>
      </c>
      <c r="AG11" s="39">
        <f>'Petroleum Systems'!AG51*'Cross-Page Data'!$C$12/1000</f>
        <v>33.037857007321762</v>
      </c>
      <c r="AH11" s="39">
        <f>'Petroleum Systems'!AH51*'Cross-Page Data'!$C$12/1000</f>
        <v>33.154946940201711</v>
      </c>
      <c r="AI11" s="39">
        <f>'Petroleum Systems'!AI51*'Cross-Page Data'!$C$12/1000</f>
        <v>33.272453344277835</v>
      </c>
      <c r="AJ11" s="39">
        <f>'Petroleum Systems'!AJ51*'Cross-Page Data'!$C$12/1000</f>
        <v>33.390377706267621</v>
      </c>
      <c r="AK11" s="39">
        <f>'Petroleum Systems'!AK51*'Cross-Page Data'!$C$12/1000</f>
        <v>33.508721518215317</v>
      </c>
    </row>
    <row r="12" spans="1:37" x14ac:dyDescent="0.25">
      <c r="A12" s="54" t="s">
        <v>158</v>
      </c>
      <c r="B12" s="39">
        <f>'Petroleum Systems'!B52</f>
        <v>7.2206616417310583</v>
      </c>
      <c r="C12" s="39">
        <f>'Petroleum Systems'!C52</f>
        <v>7.7519742537165106</v>
      </c>
      <c r="D12" s="39">
        <f>'Petroleum Systems'!D52</f>
        <v>7.8346405089316846</v>
      </c>
      <c r="E12" s="39">
        <f>'Petroleum Systems'!E52</f>
        <v>7.8369118215120031</v>
      </c>
      <c r="F12" s="39">
        <f>'Petroleum Systems'!F52</f>
        <v>7.8909933528335454</v>
      </c>
      <c r="G12" s="39">
        <f>'Petroleum Systems'!G52</f>
        <v>7.8535932637118311</v>
      </c>
      <c r="H12" s="39">
        <f>'Petroleum Systems'!H52</f>
        <v>7.8668181620040913</v>
      </c>
      <c r="I12" s="39">
        <f>'Petroleum Systems'!I52</f>
        <v>7.8516863798014613</v>
      </c>
      <c r="J12" s="39">
        <f>'Petroleum Systems'!J52</f>
        <v>7.8485522949090969</v>
      </c>
      <c r="K12" s="39">
        <f>'Petroleum Systems'!K52</f>
        <v>7.8230453422764832</v>
      </c>
      <c r="L12" s="39">
        <f>'Petroleum Systems'!L52</f>
        <v>7.8454895421406823</v>
      </c>
      <c r="M12" s="39">
        <f>'Petroleum Systems'!M52</f>
        <v>7.8318767657103709</v>
      </c>
      <c r="N12" s="39">
        <f>'Petroleum Systems'!N52</f>
        <v>7.8457627973059365</v>
      </c>
      <c r="O12" s="39">
        <f>'Petroleum Systems'!O52</f>
        <v>7.819268185147326</v>
      </c>
      <c r="P12" s="39">
        <f>'Petroleum Systems'!P52</f>
        <v>7.858497538486513</v>
      </c>
      <c r="Q12" s="39">
        <f>'Petroleum Systems'!Q52</f>
        <v>7.8745198991442766</v>
      </c>
      <c r="R12" s="39">
        <f>'Petroleum Systems'!R52</f>
        <v>7.8918599450823166</v>
      </c>
      <c r="S12" s="39">
        <f>'Petroleum Systems'!S52</f>
        <v>7.8776807759692318</v>
      </c>
      <c r="T12" s="39">
        <f>'Petroleum Systems'!T52</f>
        <v>7.9171526047825607</v>
      </c>
      <c r="U12" s="39">
        <f>'Petroleum Systems'!U52</f>
        <v>7.9304570177934757</v>
      </c>
      <c r="V12" s="39">
        <f>'Petroleum Systems'!V52</f>
        <v>7.9435024531415088</v>
      </c>
      <c r="W12" s="39">
        <f>'Petroleum Systems'!W52</f>
        <v>7.9670708761053861</v>
      </c>
      <c r="X12" s="39">
        <f>'Petroleum Systems'!X52</f>
        <v>8.0365654210326731</v>
      </c>
      <c r="Y12" s="39">
        <f>'Petroleum Systems'!Y52</f>
        <v>8.0831441881051376</v>
      </c>
      <c r="Z12" s="39">
        <f>'Petroleum Systems'!Z52</f>
        <v>8.1296243759942257</v>
      </c>
      <c r="AA12" s="39">
        <f>'Petroleum Systems'!AA52</f>
        <v>8.1596747263785812</v>
      </c>
      <c r="AB12" s="39">
        <f>'Petroleum Systems'!AB52</f>
        <v>8.1873656733839724</v>
      </c>
      <c r="AC12" s="39">
        <f>'Petroleum Systems'!AC52</f>
        <v>8.2151506580951068</v>
      </c>
      <c r="AD12" s="39">
        <f>'Petroleum Systems'!AD52</f>
        <v>8.2430300001068559</v>
      </c>
      <c r="AE12" s="39">
        <f>'Petroleum Systems'!AE52</f>
        <v>8.2710040201011878</v>
      </c>
      <c r="AF12" s="39">
        <f>'Petroleum Systems'!AF52</f>
        <v>8.2990730398508763</v>
      </c>
      <c r="AG12" s="39">
        <f>'Petroleum Systems'!AG52</f>
        <v>8.3272373822232009</v>
      </c>
      <c r="AH12" s="39">
        <f>'Petroleum Systems'!AH52</f>
        <v>8.3554973711836844</v>
      </c>
      <c r="AI12" s="39">
        <f>'Petroleum Systems'!AI52</f>
        <v>8.3838533317998287</v>
      </c>
      <c r="AJ12" s="39">
        <f>'Petroleum Systems'!AJ52</f>
        <v>8.4123055902448662</v>
      </c>
      <c r="AK12" s="39">
        <f>'Petroleum Systems'!AK52</f>
        <v>8.4408544738015312</v>
      </c>
    </row>
    <row r="13" spans="1:37" x14ac:dyDescent="0.25">
      <c r="A13" s="38" t="s">
        <v>157</v>
      </c>
      <c r="B13" s="39">
        <f>'Natural Gas Systems'!B33*CH4_to_CO2e/1000</f>
        <v>87.315592000000009</v>
      </c>
      <c r="C13" s="39">
        <f>'Natural Gas Systems'!C33*CH4_to_CO2e/1000</f>
        <v>87.28697600000001</v>
      </c>
      <c r="D13" s="39">
        <f>'Natural Gas Systems'!D33*CH4_to_CO2e/1000</f>
        <v>88.329416000000009</v>
      </c>
      <c r="E13" s="39">
        <f>'Natural Gas Systems'!E33*CH4_to_CO2e/1000</f>
        <v>89.226731999999984</v>
      </c>
      <c r="F13" s="39">
        <f>'Natural Gas Systems'!F33*CH4_to_CO2e/1000</f>
        <v>90.743380000000002</v>
      </c>
      <c r="G13" s="39">
        <f>'Natural Gas Systems'!G33*CH4_to_CO2e/1000</f>
        <v>93.020395999999991</v>
      </c>
      <c r="H13" s="39">
        <f>'Natural Gas Systems'!H33*CH4_to_CO2e/1000</f>
        <v>95.794104000000019</v>
      </c>
      <c r="I13" s="39">
        <f>'Natural Gas Systems'!I33*CH4_to_CO2e/1000</f>
        <v>98.404292000000012</v>
      </c>
      <c r="J13" s="39">
        <f>'Natural Gas Systems'!J33*CH4_to_CO2e/1000</f>
        <v>100.501436</v>
      </c>
      <c r="K13" s="39">
        <f>'Natural Gas Systems'!K33*CH4_to_CO2e/1000</f>
        <v>101.87296000000001</v>
      </c>
      <c r="L13" s="39">
        <f>'Natural Gas Systems'!L33*CH4_to_CO2e/1000</f>
        <v>102.498424</v>
      </c>
      <c r="M13" s="39">
        <f>'Natural Gas Systems'!M33*CH4_to_CO2e/1000</f>
        <v>102.85203600000001</v>
      </c>
      <c r="N13" s="39">
        <f>'Natural Gas Systems'!N33*CH4_to_CO2e/1000</f>
        <v>102.84590400000002</v>
      </c>
      <c r="O13" s="39">
        <f>'Natural Gas Systems'!O33*CH4_to_CO2e/1000</f>
        <v>102.46367600000001</v>
      </c>
      <c r="P13" s="39">
        <f>'Natural Gas Systems'!P33*CH4_to_CO2e/1000</f>
        <v>102.22657200000002</v>
      </c>
      <c r="Q13" s="39">
        <f>'Natural Gas Systems'!Q33*CH4_to_CO2e/1000</f>
        <v>102.22044</v>
      </c>
      <c r="R13" s="39">
        <f>'Natural Gas Systems'!R33*CH4_to_CO2e/1000</f>
        <v>102.36556399999999</v>
      </c>
      <c r="S13" s="39">
        <f>'Natural Gas Systems'!S33*CH4_to_CO2e/1000</f>
        <v>102.63128399999999</v>
      </c>
      <c r="T13" s="39">
        <f>'Natural Gas Systems'!T33*CH4_to_CO2e/1000</f>
        <v>102.85816800000001</v>
      </c>
      <c r="U13" s="39">
        <f>'Natural Gas Systems'!U33*CH4_to_CO2e/1000</f>
        <v>102.99102799999999</v>
      </c>
      <c r="V13" s="39">
        <f>'Natural Gas Systems'!V33*CH4_to_CO2e/1000</f>
        <v>103.11162399999999</v>
      </c>
      <c r="W13" s="39">
        <f>'Natural Gas Systems'!W33*CH4_to_CO2e/1000</f>
        <v>103.20360400000003</v>
      </c>
      <c r="X13" s="39">
        <f>'Natural Gas Systems'!X33*CH4_to_CO2e/1000</f>
        <v>103.269012</v>
      </c>
      <c r="Y13" s="39">
        <f>'Natural Gas Systems'!Y33*CH4_to_CO2e/1000</f>
        <v>103.326244</v>
      </c>
      <c r="Z13" s="39">
        <f>'Natural Gas Systems'!Z33*CH4_to_CO2e/1000</f>
        <v>103.37734399999999</v>
      </c>
      <c r="AA13" s="39">
        <f>'Natural Gas Systems'!AA33*CH4_to_CO2e/1000</f>
        <v>103.465236</v>
      </c>
      <c r="AB13" s="39">
        <f>'Natural Gas Systems'!AB33*CH4_to_CO2e/1000</f>
        <v>103.57638453331204</v>
      </c>
      <c r="AC13" s="39">
        <f>'Natural Gas Systems'!AC33*CH4_to_CO2e/1000</f>
        <v>103.68765246901405</v>
      </c>
      <c r="AD13" s="39">
        <f>'Natural Gas Systems'!AD33*CH4_to_CO2e/1000</f>
        <v>103.79903993537521</v>
      </c>
      <c r="AE13" s="39">
        <f>'Natural Gas Systems'!AE33*CH4_to_CO2e/1000</f>
        <v>103.91054706080247</v>
      </c>
      <c r="AF13" s="39">
        <f>'Natural Gas Systems'!AF33*CH4_to_CO2e/1000</f>
        <v>104.02217397384078</v>
      </c>
      <c r="AG13" s="39">
        <f>'Natural Gas Systems'!AG33*CH4_to_CO2e/1000</f>
        <v>104.13392080317313</v>
      </c>
      <c r="AH13" s="39">
        <f>'Natural Gas Systems'!AH33*CH4_to_CO2e/1000</f>
        <v>104.24578767762074</v>
      </c>
      <c r="AI13" s="39">
        <f>'Natural Gas Systems'!AI33*CH4_to_CO2e/1000</f>
        <v>104.35777472614326</v>
      </c>
      <c r="AJ13" s="39">
        <f>'Natural Gas Systems'!AJ33*CH4_to_CO2e/1000</f>
        <v>104.46988207783885</v>
      </c>
      <c r="AK13" s="39">
        <f>'Natural Gas Systems'!AK33*CH4_to_CO2e/1000</f>
        <v>104.58210986194435</v>
      </c>
    </row>
    <row r="14" spans="1:37" x14ac:dyDescent="0.25">
      <c r="A14" s="40" t="s">
        <v>243</v>
      </c>
      <c r="B14" s="39">
        <v>0</v>
      </c>
      <c r="C14" s="39">
        <v>0</v>
      </c>
      <c r="D14" s="39">
        <v>0</v>
      </c>
      <c r="E14" s="39">
        <v>0</v>
      </c>
      <c r="F14" s="39">
        <v>0</v>
      </c>
      <c r="G14" s="39">
        <v>0</v>
      </c>
      <c r="H14" s="39">
        <v>0</v>
      </c>
      <c r="I14" s="39">
        <v>0</v>
      </c>
      <c r="J14" s="39">
        <v>0</v>
      </c>
      <c r="K14" s="39">
        <v>0</v>
      </c>
      <c r="L14" s="39">
        <v>0</v>
      </c>
      <c r="M14" s="39">
        <v>0</v>
      </c>
      <c r="N14" s="39">
        <v>0</v>
      </c>
      <c r="O14" s="39">
        <v>0</v>
      </c>
      <c r="P14" s="39">
        <v>0</v>
      </c>
      <c r="Q14" s="39">
        <v>0</v>
      </c>
      <c r="R14" s="39">
        <v>0</v>
      </c>
      <c r="S14" s="39">
        <v>0</v>
      </c>
      <c r="T14" s="39">
        <v>0</v>
      </c>
      <c r="U14" s="39">
        <v>0</v>
      </c>
      <c r="V14" s="39">
        <v>0</v>
      </c>
      <c r="W14" s="39">
        <v>0</v>
      </c>
      <c r="X14" s="39">
        <v>0</v>
      </c>
      <c r="Y14" s="39">
        <v>0</v>
      </c>
      <c r="Z14" s="39">
        <v>0</v>
      </c>
      <c r="AA14" s="39">
        <v>0</v>
      </c>
      <c r="AB14" s="39">
        <v>0</v>
      </c>
      <c r="AC14" s="39">
        <v>0</v>
      </c>
      <c r="AD14" s="39">
        <v>0</v>
      </c>
      <c r="AE14" s="39">
        <v>0</v>
      </c>
      <c r="AF14" s="39">
        <v>0</v>
      </c>
      <c r="AG14" s="39">
        <v>0</v>
      </c>
      <c r="AH14" s="39">
        <v>0</v>
      </c>
      <c r="AI14" s="39">
        <v>0</v>
      </c>
      <c r="AJ14" s="39">
        <v>0</v>
      </c>
      <c r="AK14" s="39">
        <v>0</v>
      </c>
    </row>
    <row r="15" spans="1:37" x14ac:dyDescent="0.25">
      <c r="A15" s="40" t="s">
        <v>244</v>
      </c>
      <c r="B15" s="39">
        <v>0</v>
      </c>
      <c r="C15" s="39">
        <v>0</v>
      </c>
      <c r="D15" s="39">
        <v>0</v>
      </c>
      <c r="E15" s="39">
        <v>0</v>
      </c>
      <c r="F15" s="39">
        <v>0</v>
      </c>
      <c r="G15" s="39">
        <v>0</v>
      </c>
      <c r="H15" s="39">
        <v>0</v>
      </c>
      <c r="I15" s="39">
        <v>0</v>
      </c>
      <c r="J15" s="39">
        <v>0</v>
      </c>
      <c r="K15" s="39">
        <v>0</v>
      </c>
      <c r="L15" s="39">
        <v>0</v>
      </c>
      <c r="M15" s="39">
        <v>0</v>
      </c>
      <c r="N15" s="39">
        <v>0</v>
      </c>
      <c r="O15" s="39">
        <v>0</v>
      </c>
      <c r="P15" s="39">
        <v>0</v>
      </c>
      <c r="Q15" s="39">
        <v>0</v>
      </c>
      <c r="R15" s="39">
        <v>0</v>
      </c>
      <c r="S15" s="39">
        <v>0</v>
      </c>
      <c r="T15" s="39">
        <v>0</v>
      </c>
      <c r="U15" s="39">
        <v>0</v>
      </c>
      <c r="V15" s="39">
        <v>0</v>
      </c>
      <c r="W15" s="39">
        <v>0</v>
      </c>
      <c r="X15" s="39">
        <v>0</v>
      </c>
      <c r="Y15" s="39">
        <v>0</v>
      </c>
      <c r="Z15" s="39">
        <v>0</v>
      </c>
      <c r="AA15" s="39">
        <v>0</v>
      </c>
      <c r="AB15" s="39">
        <v>0</v>
      </c>
      <c r="AC15" s="39">
        <v>0</v>
      </c>
      <c r="AD15" s="39">
        <v>0</v>
      </c>
      <c r="AE15" s="39">
        <v>0</v>
      </c>
      <c r="AF15" s="39">
        <v>0</v>
      </c>
      <c r="AG15" s="39">
        <v>0</v>
      </c>
      <c r="AH15" s="39">
        <v>0</v>
      </c>
      <c r="AI15" s="39">
        <v>0</v>
      </c>
      <c r="AJ15" s="39">
        <v>0</v>
      </c>
      <c r="AK15" s="39">
        <v>0</v>
      </c>
    </row>
    <row r="16" spans="1:37" x14ac:dyDescent="0.25">
      <c r="A16" s="40" t="s">
        <v>263</v>
      </c>
      <c r="B16" s="39">
        <f>'Natural Gas Systems'!B34</f>
        <v>4.2283411435082767</v>
      </c>
      <c r="C16" s="39">
        <f>'Natural Gas Systems'!C34</f>
        <v>4.2269553863096929</v>
      </c>
      <c r="D16" s="39">
        <f>'Natural Gas Systems'!D34</f>
        <v>4.277436541400971</v>
      </c>
      <c r="E16" s="39">
        <f>'Natural Gas Systems'!E34</f>
        <v>4.3208899278422859</v>
      </c>
      <c r="F16" s="39">
        <f>'Natural Gas Systems'!F34</f>
        <v>4.3943350593672443</v>
      </c>
      <c r="G16" s="39">
        <f>'Natural Gas Systems'!G34</f>
        <v>4.5046017393117221</v>
      </c>
      <c r="H16" s="39">
        <f>'Natural Gas Systems'!H34</f>
        <v>4.6389212049173389</v>
      </c>
      <c r="I16" s="39">
        <f>'Natural Gas Systems'!I34</f>
        <v>4.7653220579596178</v>
      </c>
      <c r="J16" s="39">
        <f>'Natural Gas Systems'!J34</f>
        <v>4.8668782640844244</v>
      </c>
      <c r="K16" s="39">
        <f>'Natural Gas Systems'!K34</f>
        <v>4.9332956269594197</v>
      </c>
      <c r="L16" s="39">
        <f>'Natural Gas Systems'!L34</f>
        <v>4.9635843200141867</v>
      </c>
      <c r="M16" s="39">
        <f>'Natural Gas Systems'!M34</f>
        <v>4.9807083196824049</v>
      </c>
      <c r="N16" s="39">
        <f>'Natural Gas Systems'!N34</f>
        <v>4.9804113717112797</v>
      </c>
      <c r="O16" s="39">
        <f>'Natural Gas Systems'!O34</f>
        <v>4.9619016148444777</v>
      </c>
      <c r="P16" s="39">
        <f>'Natural Gas Systems'!P34</f>
        <v>4.9504196266276379</v>
      </c>
      <c r="Q16" s="39">
        <f>'Natural Gas Systems'!Q34</f>
        <v>4.9501226786565127</v>
      </c>
      <c r="R16" s="39">
        <f>'Natural Gas Systems'!R34</f>
        <v>4.9571504473064749</v>
      </c>
      <c r="S16" s="39">
        <f>'Natural Gas Systems'!S34</f>
        <v>4.9700181927218994</v>
      </c>
      <c r="T16" s="39">
        <f>'Natural Gas Systems'!T34</f>
        <v>4.981005267653531</v>
      </c>
      <c r="U16" s="39">
        <f>'Natural Gas Systems'!U34</f>
        <v>4.9874391403612419</v>
      </c>
      <c r="V16" s="39">
        <f>'Natural Gas Systems'!V34</f>
        <v>4.9932791171267032</v>
      </c>
      <c r="W16" s="39">
        <f>'Natural Gas Systems'!W34</f>
        <v>4.9977333366935817</v>
      </c>
      <c r="X16" s="39">
        <f>'Natural Gas Systems'!X34</f>
        <v>5.0009007817189168</v>
      </c>
      <c r="Y16" s="39">
        <f>'Natural Gas Systems'!Y34</f>
        <v>5.0036722961160844</v>
      </c>
      <c r="Z16" s="39">
        <f>'Natural Gas Systems'!Z34</f>
        <v>5.0061468625421277</v>
      </c>
      <c r="AA16" s="39">
        <f>'Natural Gas Systems'!AA34</f>
        <v>5.0104031167949215</v>
      </c>
      <c r="AB16" s="39">
        <f>'Natural Gas Systems'!AB34</f>
        <v>5.0157855909404772</v>
      </c>
      <c r="AC16" s="39">
        <f>'Natural Gas Systems'!AC34</f>
        <v>5.0211738472610898</v>
      </c>
      <c r="AD16" s="39">
        <f>'Natural Gas Systems'!AD34</f>
        <v>5.026567891968317</v>
      </c>
      <c r="AE16" s="39">
        <f>'Natural Gas Systems'!AE34</f>
        <v>5.0319677312803899</v>
      </c>
      <c r="AF16" s="39">
        <f>'Natural Gas Systems'!AF34</f>
        <v>5.037373371422218</v>
      </c>
      <c r="AG16" s="39">
        <f>'Natural Gas Systems'!AG34</f>
        <v>5.0427848186253996</v>
      </c>
      <c r="AH16" s="39">
        <f>'Natural Gas Systems'!AH34</f>
        <v>5.0482020791282265</v>
      </c>
      <c r="AI16" s="39">
        <f>'Natural Gas Systems'!AI34</f>
        <v>5.0536251591756916</v>
      </c>
      <c r="AJ16" s="39">
        <f>'Natural Gas Systems'!AJ34</f>
        <v>5.0590540650194979</v>
      </c>
      <c r="AK16" s="39">
        <f>'Natural Gas Systems'!AK34</f>
        <v>5.0644888029180635</v>
      </c>
    </row>
    <row r="17" spans="1:37" x14ac:dyDescent="0.25">
      <c r="A17" s="41"/>
      <c r="B17" s="37"/>
      <c r="C17" s="37"/>
      <c r="D17" s="37"/>
      <c r="E17" s="37"/>
      <c r="F17" s="37"/>
      <c r="G17" s="37"/>
      <c r="H17" s="37"/>
      <c r="I17" s="37"/>
      <c r="J17" s="37"/>
    </row>
    <row r="18" spans="1:37" x14ac:dyDescent="0.25">
      <c r="A18" s="31" t="s">
        <v>124</v>
      </c>
      <c r="B18" s="37"/>
      <c r="C18" s="62"/>
      <c r="D18" s="34"/>
      <c r="E18" s="34"/>
      <c r="F18" s="34"/>
      <c r="G18" s="34"/>
      <c r="H18" s="34"/>
      <c r="I18" s="34"/>
      <c r="J18" s="34"/>
    </row>
    <row r="19" spans="1:37" x14ac:dyDescent="0.25">
      <c r="A19" s="33" t="s">
        <v>125</v>
      </c>
      <c r="B19" s="35">
        <f>SUM(B21:B22)</f>
        <v>18.790297602805012</v>
      </c>
      <c r="C19" s="35">
        <f t="shared" ref="C19:AK19" si="3">SUM(C21:C22)</f>
        <v>19.0596627314386</v>
      </c>
      <c r="D19" s="35">
        <f t="shared" si="3"/>
        <v>19.210470573229173</v>
      </c>
      <c r="E19" s="35">
        <f t="shared" si="3"/>
        <v>19.3196231520749</v>
      </c>
      <c r="F19" s="35">
        <f t="shared" si="3"/>
        <v>19.409662261694187</v>
      </c>
      <c r="G19" s="35">
        <f t="shared" si="3"/>
        <v>19.570844706359132</v>
      </c>
      <c r="H19" s="35">
        <f t="shared" si="3"/>
        <v>19.674171374303484</v>
      </c>
      <c r="I19" s="35">
        <f t="shared" si="3"/>
        <v>19.786662648242697</v>
      </c>
      <c r="J19" s="35">
        <f t="shared" si="3"/>
        <v>19.908901119266901</v>
      </c>
      <c r="K19" s="35">
        <f t="shared" si="3"/>
        <v>20.087180371692426</v>
      </c>
      <c r="L19" s="35">
        <f t="shared" si="3"/>
        <v>20.254076690510644</v>
      </c>
      <c r="M19" s="35">
        <f t="shared" si="3"/>
        <v>20.436030748273964</v>
      </c>
      <c r="N19" s="35">
        <f t="shared" si="3"/>
        <v>20.608394460399623</v>
      </c>
      <c r="O19" s="35">
        <f t="shared" si="3"/>
        <v>20.778203734668537</v>
      </c>
      <c r="P19" s="35">
        <f t="shared" si="3"/>
        <v>20.951038001136233</v>
      </c>
      <c r="Q19" s="35">
        <f t="shared" si="3"/>
        <v>21.133686686737793</v>
      </c>
      <c r="R19" s="35">
        <f t="shared" si="3"/>
        <v>21.313601675685629</v>
      </c>
      <c r="S19" s="35">
        <f t="shared" si="3"/>
        <v>21.48186484283071</v>
      </c>
      <c r="T19" s="35">
        <f t="shared" si="3"/>
        <v>21.647797645615242</v>
      </c>
      <c r="U19" s="35">
        <f t="shared" si="3"/>
        <v>21.803154179378808</v>
      </c>
      <c r="V19" s="35">
        <f t="shared" si="3"/>
        <v>21.952774431639487</v>
      </c>
      <c r="W19" s="35">
        <f t="shared" si="3"/>
        <v>22.101655241362678</v>
      </c>
      <c r="X19" s="35">
        <f t="shared" si="3"/>
        <v>22.250558458435492</v>
      </c>
      <c r="Y19" s="35">
        <f t="shared" si="3"/>
        <v>22.405175549661582</v>
      </c>
      <c r="Z19" s="35">
        <f t="shared" si="3"/>
        <v>22.565528922390563</v>
      </c>
      <c r="AA19" s="35">
        <f t="shared" si="3"/>
        <v>22.73242524120878</v>
      </c>
      <c r="AB19" s="35">
        <f t="shared" si="3"/>
        <v>22.88732656121152</v>
      </c>
      <c r="AC19" s="35">
        <f t="shared" si="3"/>
        <v>23.042551855649037</v>
      </c>
      <c r="AD19" s="35">
        <f t="shared" si="3"/>
        <v>23.198103021949656</v>
      </c>
      <c r="AE19" s="35">
        <f t="shared" si="3"/>
        <v>23.353981968654416</v>
      </c>
      <c r="AF19" s="35">
        <f t="shared" si="3"/>
        <v>23.510190615482149</v>
      </c>
      <c r="AG19" s="35">
        <f t="shared" si="3"/>
        <v>23.666730893394941</v>
      </c>
      <c r="AH19" s="35">
        <f t="shared" si="3"/>
        <v>23.823604744663989</v>
      </c>
      <c r="AI19" s="35">
        <f t="shared" si="3"/>
        <v>23.980814122935843</v>
      </c>
      <c r="AJ19" s="35">
        <f t="shared" si="3"/>
        <v>24.138360993299006</v>
      </c>
      <c r="AK19" s="35">
        <f t="shared" si="3"/>
        <v>24.296247332350966</v>
      </c>
    </row>
    <row r="20" spans="1:37" x14ac:dyDescent="0.25">
      <c r="A20" s="33" t="s">
        <v>172</v>
      </c>
      <c r="B20" s="57">
        <f>B23</f>
        <v>1.9643400000000002E-3</v>
      </c>
      <c r="C20" s="57">
        <f t="shared" ref="C20:AK20" si="4">C23</f>
        <v>2.0060675622529363E-3</v>
      </c>
      <c r="D20" s="57">
        <f t="shared" si="4"/>
        <v>2.0186568729709271E-3</v>
      </c>
      <c r="E20" s="57">
        <f t="shared" si="4"/>
        <v>2.0210084196360984E-3</v>
      </c>
      <c r="F20" s="57">
        <f t="shared" si="4"/>
        <v>2.0186623801059741E-3</v>
      </c>
      <c r="G20" s="57">
        <f t="shared" si="4"/>
        <v>2.0338014943508368E-3</v>
      </c>
      <c r="H20" s="57">
        <f t="shared" si="4"/>
        <v>2.0347211859037253E-3</v>
      </c>
      <c r="I20" s="57">
        <f t="shared" si="4"/>
        <v>2.0378932956909355E-3</v>
      </c>
      <c r="J20" s="57">
        <f t="shared" si="4"/>
        <v>2.0434610092236955E-3</v>
      </c>
      <c r="K20" s="57">
        <f t="shared" si="4"/>
        <v>2.0628020675096019E-3</v>
      </c>
      <c r="L20" s="57">
        <f t="shared" si="4"/>
        <v>2.0793455011915104E-3</v>
      </c>
      <c r="M20" s="57">
        <f t="shared" si="4"/>
        <v>2.0995897296251643E-3</v>
      </c>
      <c r="N20" s="57">
        <f t="shared" si="4"/>
        <v>2.1174769042585995E-3</v>
      </c>
      <c r="O20" s="57">
        <f t="shared" si="4"/>
        <v>2.1347362654966493E-3</v>
      </c>
      <c r="P20" s="57">
        <f t="shared" si="4"/>
        <v>2.1527390899660766E-3</v>
      </c>
      <c r="Q20" s="57">
        <f t="shared" si="4"/>
        <v>2.1731540395861955E-3</v>
      </c>
      <c r="R20" s="57">
        <f t="shared" si="4"/>
        <v>2.1928971187305502E-3</v>
      </c>
      <c r="S20" s="57">
        <f t="shared" si="4"/>
        <v>2.2097764876503403E-3</v>
      </c>
      <c r="T20" s="57">
        <f t="shared" si="4"/>
        <v>2.2260831145252177E-3</v>
      </c>
      <c r="U20" s="57">
        <f t="shared" si="4"/>
        <v>2.239790373657798E-3</v>
      </c>
      <c r="V20" s="57">
        <f t="shared" si="4"/>
        <v>2.2520878062182842E-3</v>
      </c>
      <c r="W20" s="57">
        <f t="shared" si="4"/>
        <v>2.2642035033222123E-3</v>
      </c>
      <c r="X20" s="57">
        <f t="shared" si="4"/>
        <v>2.2763247075611873E-3</v>
      </c>
      <c r="Y20" s="57">
        <f t="shared" si="4"/>
        <v>2.2898502312372086E-3</v>
      </c>
      <c r="Z20" s="57">
        <f t="shared" si="4"/>
        <v>2.3047855814853236E-3</v>
      </c>
      <c r="AA20" s="57">
        <f t="shared" si="4"/>
        <v>2.3213290151672321E-3</v>
      </c>
      <c r="AB20" s="57">
        <f t="shared" si="4"/>
        <v>2.3349243947737319E-3</v>
      </c>
      <c r="AC20" s="57">
        <f t="shared" si="4"/>
        <v>2.3485993987443087E-3</v>
      </c>
      <c r="AD20" s="57">
        <f t="shared" si="4"/>
        <v>2.3623544934167576E-3</v>
      </c>
      <c r="AE20" s="57">
        <f t="shared" si="4"/>
        <v>2.3761901478600842E-3</v>
      </c>
      <c r="AF20" s="57">
        <f t="shared" si="4"/>
        <v>2.3901068338905034E-3</v>
      </c>
      <c r="AG20" s="57">
        <f t="shared" si="4"/>
        <v>2.4041050260875246E-3</v>
      </c>
      <c r="AH20" s="57">
        <f t="shared" si="4"/>
        <v>2.4181852018101378E-3</v>
      </c>
      <c r="AI20" s="57">
        <f t="shared" si="4"/>
        <v>2.4323478412130932E-3</v>
      </c>
      <c r="AJ20" s="57">
        <f t="shared" si="4"/>
        <v>2.4465934272632725E-3</v>
      </c>
      <c r="AK20" s="57">
        <f t="shared" si="4"/>
        <v>2.460922445756162E-3</v>
      </c>
    </row>
    <row r="21" spans="1:37" x14ac:dyDescent="0.25">
      <c r="A21" s="56" t="s">
        <v>182</v>
      </c>
      <c r="B21" s="58">
        <f>'Other Industrial Processes'!C131/10^3</f>
        <v>10.7978200666047</v>
      </c>
      <c r="C21" s="58">
        <f>'Other Industrial Processes'!D131/10^3</f>
        <v>10.897404707162398</v>
      </c>
      <c r="D21" s="58">
        <f>'Other Industrial Processes'!E131/10^3</f>
        <v>10.996989347720096</v>
      </c>
      <c r="E21" s="58">
        <f>'Other Industrial Processes'!F131/10^3</f>
        <v>11.096573988277793</v>
      </c>
      <c r="F21" s="58">
        <f>'Other Industrial Processes'!G131/10^3</f>
        <v>11.196158628835491</v>
      </c>
      <c r="G21" s="58">
        <f>'Other Industrial Processes'!H131/10^3</f>
        <v>11.295743269393189</v>
      </c>
      <c r="H21" s="58">
        <f>'Other Industrial Processes'!I131/10^3</f>
        <v>11.395327909950886</v>
      </c>
      <c r="I21" s="58">
        <f>'Other Industrial Processes'!J131/10^3</f>
        <v>11.494912550508584</v>
      </c>
      <c r="J21" s="58">
        <f>'Other Industrial Processes'!K131/10^3</f>
        <v>11.594497191066282</v>
      </c>
      <c r="K21" s="58">
        <f>'Other Industrial Processes'!L131/10^3</f>
        <v>11.694081831623979</v>
      </c>
      <c r="L21" s="58">
        <f>'Other Industrial Processes'!M131/10^3</f>
        <v>11.793666472181677</v>
      </c>
      <c r="M21" s="58">
        <f>'Other Industrial Processes'!N131/10^3</f>
        <v>11.893251112739375</v>
      </c>
      <c r="N21" s="58">
        <f>'Other Industrial Processes'!O131/10^3</f>
        <v>11.99283575329707</v>
      </c>
      <c r="O21" s="58">
        <f>'Other Industrial Processes'!P131/10^3</f>
        <v>12.092420393854768</v>
      </c>
      <c r="P21" s="58">
        <f>'Other Industrial Processes'!Q131/10^3</f>
        <v>12.192005034412466</v>
      </c>
      <c r="Q21" s="58">
        <f>'Other Industrial Processes'!R131/10^3</f>
        <v>12.291589674970163</v>
      </c>
      <c r="R21" s="58">
        <f>'Other Industrial Processes'!S131/10^3</f>
        <v>12.391174315527861</v>
      </c>
      <c r="S21" s="58">
        <f>'Other Industrial Processes'!T131/10^3</f>
        <v>12.490758956085559</v>
      </c>
      <c r="T21" s="58">
        <f>'Other Industrial Processes'!U131/10^3</f>
        <v>12.590343596643256</v>
      </c>
      <c r="U21" s="58">
        <f>'Other Industrial Processes'!V131/10^3</f>
        <v>12.689928237200954</v>
      </c>
      <c r="V21" s="58">
        <f>'Other Industrial Processes'!W131/10^3</f>
        <v>12.789512877758652</v>
      </c>
      <c r="W21" s="58">
        <f>'Other Industrial Processes'!X131/10^3</f>
        <v>12.889097518316349</v>
      </c>
      <c r="X21" s="58">
        <f>'Other Industrial Processes'!Y131/10^3</f>
        <v>12.988682158874047</v>
      </c>
      <c r="Y21" s="58">
        <f>'Other Industrial Processes'!Z131/10^3</f>
        <v>13.088266799431745</v>
      </c>
      <c r="Z21" s="58">
        <f>'Other Industrial Processes'!AA131/10^3</f>
        <v>13.187851439989442</v>
      </c>
      <c r="AA21" s="58">
        <f>'Other Industrial Processes'!AB131/10^3</f>
        <v>13.28743608054714</v>
      </c>
      <c r="AB21" s="58">
        <f>'Other Industrial Processes'!AC131/10^3</f>
        <v>13.387020721104838</v>
      </c>
      <c r="AC21" s="58">
        <f>'Other Industrial Processes'!AD131/10^3</f>
        <v>13.486605361662535</v>
      </c>
      <c r="AD21" s="58">
        <f>'Other Industrial Processes'!AE131/10^3</f>
        <v>13.586190002220233</v>
      </c>
      <c r="AE21" s="58">
        <f>'Other Industrial Processes'!AF131/10^3</f>
        <v>13.685774642777931</v>
      </c>
      <c r="AF21" s="58">
        <f>'Other Industrial Processes'!AG131/10^3</f>
        <v>13.785359283335628</v>
      </c>
      <c r="AG21" s="58">
        <f>'Other Industrial Processes'!AH131/10^3</f>
        <v>13.884943923893326</v>
      </c>
      <c r="AH21" s="58">
        <f>'Other Industrial Processes'!AI131/10^3</f>
        <v>13.984528564451024</v>
      </c>
      <c r="AI21" s="58">
        <f>'Other Industrial Processes'!AJ131/10^3</f>
        <v>14.084113205008721</v>
      </c>
      <c r="AJ21" s="58">
        <f>'Other Industrial Processes'!AK131/10^3</f>
        <v>14.183697845566419</v>
      </c>
      <c r="AK21" s="58">
        <f>'Other Industrial Processes'!AL131/10^3</f>
        <v>14.283282486124117</v>
      </c>
    </row>
    <row r="22" spans="1:37" x14ac:dyDescent="0.25">
      <c r="A22" s="54" t="s">
        <v>185</v>
      </c>
      <c r="B22" s="58">
        <f>'Iron and Steel'!B7</f>
        <v>7.99247753620031</v>
      </c>
      <c r="C22" s="58">
        <f>'Iron and Steel'!C7</f>
        <v>8.162258024276202</v>
      </c>
      <c r="D22" s="58">
        <f>'Iron and Steel'!D7</f>
        <v>8.2134812255090761</v>
      </c>
      <c r="E22" s="58">
        <f>'Iron and Steel'!E7</f>
        <v>8.223049163797107</v>
      </c>
      <c r="F22" s="58">
        <f>'Iron and Steel'!F7</f>
        <v>8.2135036328586963</v>
      </c>
      <c r="G22" s="58">
        <f>'Iron and Steel'!G7</f>
        <v>8.2751014369659455</v>
      </c>
      <c r="H22" s="58">
        <f>'Iron and Steel'!H7</f>
        <v>8.2788434643525974</v>
      </c>
      <c r="I22" s="58">
        <f>'Iron and Steel'!I7</f>
        <v>8.291750097734111</v>
      </c>
      <c r="J22" s="58">
        <f>'Iron and Steel'!J7</f>
        <v>8.3144039282006172</v>
      </c>
      <c r="K22" s="58">
        <f>'Iron and Steel'!K7</f>
        <v>8.3930985400684452</v>
      </c>
      <c r="L22" s="58">
        <f>'Iron and Steel'!L7</f>
        <v>8.4604102183289669</v>
      </c>
      <c r="M22" s="58">
        <f>'Iron and Steel'!M7</f>
        <v>8.542779635534588</v>
      </c>
      <c r="N22" s="58">
        <f>'Iron and Steel'!N7</f>
        <v>8.6155587071025543</v>
      </c>
      <c r="O22" s="58">
        <f>'Iron and Steel'!O7</f>
        <v>8.6857833408137672</v>
      </c>
      <c r="P22" s="58">
        <f>'Iron and Steel'!P7</f>
        <v>8.759032966723769</v>
      </c>
      <c r="Q22" s="58">
        <f>'Iron and Steel'!Q7</f>
        <v>8.8420970117676294</v>
      </c>
      <c r="R22" s="58">
        <f>'Iron and Steel'!R7</f>
        <v>8.9224273601577675</v>
      </c>
      <c r="S22" s="58">
        <f>'Iron and Steel'!S7</f>
        <v>8.9911058867451494</v>
      </c>
      <c r="T22" s="58">
        <f>'Iron and Steel'!T7</f>
        <v>9.0574540489719837</v>
      </c>
      <c r="U22" s="58">
        <f>'Iron and Steel'!U7</f>
        <v>9.1132259421778556</v>
      </c>
      <c r="V22" s="58">
        <f>'Iron and Steel'!V7</f>
        <v>9.1632615538808349</v>
      </c>
      <c r="W22" s="58">
        <f>'Iron and Steel'!W7</f>
        <v>9.2125577230463289</v>
      </c>
      <c r="X22" s="58">
        <f>'Iron and Steel'!X7</f>
        <v>9.2618762995614468</v>
      </c>
      <c r="Y22" s="58">
        <f>'Iron and Steel'!Y7</f>
        <v>9.3169087502298371</v>
      </c>
      <c r="Z22" s="58">
        <f>'Iron and Steel'!Z7</f>
        <v>9.3776774824011202</v>
      </c>
      <c r="AA22" s="58">
        <f>'Iron and Steel'!AA7</f>
        <v>9.4449891606616418</v>
      </c>
      <c r="AB22" s="58">
        <f>'Iron and Steel'!AB7</f>
        <v>9.500305840106682</v>
      </c>
      <c r="AC22" s="58">
        <f>'Iron and Steel'!AC7</f>
        <v>9.555946493986502</v>
      </c>
      <c r="AD22" s="58">
        <f>'Iron and Steel'!AD7</f>
        <v>9.6119130197294247</v>
      </c>
      <c r="AE22" s="58">
        <f>'Iron and Steel'!AE7</f>
        <v>9.6682073258764873</v>
      </c>
      <c r="AF22" s="58">
        <f>'Iron and Steel'!AF7</f>
        <v>9.7248313321465201</v>
      </c>
      <c r="AG22" s="58">
        <f>'Iron and Steel'!AG7</f>
        <v>9.7817869695016135</v>
      </c>
      <c r="AH22" s="58">
        <f>'Iron and Steel'!AH7</f>
        <v>9.8390761802129667</v>
      </c>
      <c r="AI22" s="58">
        <f>'Iron and Steel'!AI7</f>
        <v>9.8967009179271219</v>
      </c>
      <c r="AJ22" s="58">
        <f>'Iron and Steel'!AJ7</f>
        <v>9.9546631477325871</v>
      </c>
      <c r="AK22" s="58">
        <f>'Iron and Steel'!AK7</f>
        <v>10.012964846226851</v>
      </c>
    </row>
    <row r="23" spans="1:37" x14ac:dyDescent="0.25">
      <c r="A23" s="54" t="s">
        <v>268</v>
      </c>
      <c r="B23" s="58">
        <f>'Iron and Steel'!B8*CH4_to_CO2e/1000</f>
        <v>1.9643400000000002E-3</v>
      </c>
      <c r="C23" s="58">
        <f>'Iron and Steel'!C8*CH4_to_CO2e/1000</f>
        <v>2.0060675622529363E-3</v>
      </c>
      <c r="D23" s="58">
        <f>'Iron and Steel'!D8*CH4_to_CO2e/1000</f>
        <v>2.0186568729709271E-3</v>
      </c>
      <c r="E23" s="58">
        <f>'Iron and Steel'!E8*CH4_to_CO2e/1000</f>
        <v>2.0210084196360984E-3</v>
      </c>
      <c r="F23" s="58">
        <f>'Iron and Steel'!F8*CH4_to_CO2e/1000</f>
        <v>2.0186623801059741E-3</v>
      </c>
      <c r="G23" s="58">
        <f>'Iron and Steel'!G8*CH4_to_CO2e/1000</f>
        <v>2.0338014943508368E-3</v>
      </c>
      <c r="H23" s="58">
        <f>'Iron and Steel'!H8*CH4_to_CO2e/1000</f>
        <v>2.0347211859037253E-3</v>
      </c>
      <c r="I23" s="58">
        <f>'Iron and Steel'!I8*CH4_to_CO2e/1000</f>
        <v>2.0378932956909355E-3</v>
      </c>
      <c r="J23" s="58">
        <f>'Iron and Steel'!J8*CH4_to_CO2e/1000</f>
        <v>2.0434610092236955E-3</v>
      </c>
      <c r="K23" s="58">
        <f>'Iron and Steel'!K8*CH4_to_CO2e/1000</f>
        <v>2.0628020675096019E-3</v>
      </c>
      <c r="L23" s="58">
        <f>'Iron and Steel'!L8*CH4_to_CO2e/1000</f>
        <v>2.0793455011915104E-3</v>
      </c>
      <c r="M23" s="58">
        <f>'Iron and Steel'!M8*CH4_to_CO2e/1000</f>
        <v>2.0995897296251643E-3</v>
      </c>
      <c r="N23" s="58">
        <f>'Iron and Steel'!N8*CH4_to_CO2e/1000</f>
        <v>2.1174769042585995E-3</v>
      </c>
      <c r="O23" s="58">
        <f>'Iron and Steel'!O8*CH4_to_CO2e/1000</f>
        <v>2.1347362654966493E-3</v>
      </c>
      <c r="P23" s="58">
        <f>'Iron and Steel'!P8*CH4_to_CO2e/1000</f>
        <v>2.1527390899660766E-3</v>
      </c>
      <c r="Q23" s="58">
        <f>'Iron and Steel'!Q8*CH4_to_CO2e/1000</f>
        <v>2.1731540395861955E-3</v>
      </c>
      <c r="R23" s="58">
        <f>'Iron and Steel'!R8*CH4_to_CO2e/1000</f>
        <v>2.1928971187305502E-3</v>
      </c>
      <c r="S23" s="58">
        <f>'Iron and Steel'!S8*CH4_to_CO2e/1000</f>
        <v>2.2097764876503403E-3</v>
      </c>
      <c r="T23" s="58">
        <f>'Iron and Steel'!T8*CH4_to_CO2e/1000</f>
        <v>2.2260831145252177E-3</v>
      </c>
      <c r="U23" s="58">
        <f>'Iron and Steel'!U8*CH4_to_CO2e/1000</f>
        <v>2.239790373657798E-3</v>
      </c>
      <c r="V23" s="58">
        <f>'Iron and Steel'!V8*CH4_to_CO2e/1000</f>
        <v>2.2520878062182842E-3</v>
      </c>
      <c r="W23" s="58">
        <f>'Iron and Steel'!W8*CH4_to_CO2e/1000</f>
        <v>2.2642035033222123E-3</v>
      </c>
      <c r="X23" s="58">
        <f>'Iron and Steel'!X8*CH4_to_CO2e/1000</f>
        <v>2.2763247075611873E-3</v>
      </c>
      <c r="Y23" s="58">
        <f>'Iron and Steel'!Y8*CH4_to_CO2e/1000</f>
        <v>2.2898502312372086E-3</v>
      </c>
      <c r="Z23" s="58">
        <f>'Iron and Steel'!Z8*CH4_to_CO2e/1000</f>
        <v>2.3047855814853236E-3</v>
      </c>
      <c r="AA23" s="58">
        <f>'Iron and Steel'!AA8*CH4_to_CO2e/1000</f>
        <v>2.3213290151672321E-3</v>
      </c>
      <c r="AB23" s="58">
        <f>'Iron and Steel'!AB8*CH4_to_CO2e/1000</f>
        <v>2.3349243947737319E-3</v>
      </c>
      <c r="AC23" s="58">
        <f>'Iron and Steel'!AC8*CH4_to_CO2e/1000</f>
        <v>2.3485993987443087E-3</v>
      </c>
      <c r="AD23" s="58">
        <f>'Iron and Steel'!AD8*CH4_to_CO2e/1000</f>
        <v>2.3623544934167576E-3</v>
      </c>
      <c r="AE23" s="58">
        <f>'Iron and Steel'!AE8*CH4_to_CO2e/1000</f>
        <v>2.3761901478600842E-3</v>
      </c>
      <c r="AF23" s="58">
        <f>'Iron and Steel'!AF8*CH4_to_CO2e/1000</f>
        <v>2.3901068338905034E-3</v>
      </c>
      <c r="AG23" s="58">
        <f>'Iron and Steel'!AG8*CH4_to_CO2e/1000</f>
        <v>2.4041050260875246E-3</v>
      </c>
      <c r="AH23" s="58">
        <f>'Iron and Steel'!AH8*CH4_to_CO2e/1000</f>
        <v>2.4181852018101378E-3</v>
      </c>
      <c r="AI23" s="58">
        <f>'Iron and Steel'!AI8*CH4_to_CO2e/1000</f>
        <v>2.4323478412130932E-3</v>
      </c>
      <c r="AJ23" s="58">
        <f>'Iron and Steel'!AJ8*CH4_to_CO2e/1000</f>
        <v>2.4465934272632725E-3</v>
      </c>
      <c r="AK23" s="58">
        <f>'Iron and Steel'!AK8*CH4_to_CO2e/1000</f>
        <v>2.460922445756162E-3</v>
      </c>
    </row>
    <row r="24" spans="1:37" x14ac:dyDescent="0.25">
      <c r="B24" s="57"/>
      <c r="C24" s="28"/>
      <c r="D24" s="28"/>
      <c r="E24" s="28"/>
      <c r="F24" s="28"/>
      <c r="G24" s="28"/>
      <c r="H24" s="28"/>
      <c r="I24" s="28"/>
      <c r="J24" s="28"/>
    </row>
    <row r="25" spans="1:37" x14ac:dyDescent="0.25">
      <c r="A25" s="31" t="s">
        <v>4</v>
      </c>
      <c r="B25" s="37"/>
      <c r="C25" s="36"/>
      <c r="D25" s="36"/>
      <c r="E25" s="36"/>
      <c r="F25" s="36"/>
      <c r="G25" s="36"/>
      <c r="H25" s="36"/>
      <c r="I25" s="36"/>
      <c r="J25" s="36"/>
    </row>
    <row r="26" spans="1:37" x14ac:dyDescent="0.25">
      <c r="A26" s="33" t="s">
        <v>126</v>
      </c>
      <c r="B26" s="37">
        <f>B32</f>
        <v>0.99846751694236158</v>
      </c>
      <c r="C26" s="37">
        <f t="shared" ref="C26:AK26" si="5">C32</f>
        <v>0</v>
      </c>
      <c r="D26" s="37">
        <f t="shared" si="5"/>
        <v>0</v>
      </c>
      <c r="E26" s="37">
        <f t="shared" si="5"/>
        <v>0</v>
      </c>
      <c r="F26" s="37">
        <f t="shared" si="5"/>
        <v>0</v>
      </c>
      <c r="G26" s="37">
        <f t="shared" si="5"/>
        <v>0</v>
      </c>
      <c r="H26" s="37">
        <f t="shared" si="5"/>
        <v>0</v>
      </c>
      <c r="I26" s="37">
        <f t="shared" si="5"/>
        <v>0</v>
      </c>
      <c r="J26" s="37">
        <f t="shared" si="5"/>
        <v>0</v>
      </c>
      <c r="K26" s="37">
        <f t="shared" si="5"/>
        <v>0</v>
      </c>
      <c r="L26" s="37">
        <f t="shared" si="5"/>
        <v>0</v>
      </c>
      <c r="M26" s="37">
        <f t="shared" si="5"/>
        <v>0</v>
      </c>
      <c r="N26" s="37">
        <f t="shared" si="5"/>
        <v>0</v>
      </c>
      <c r="O26" s="37">
        <f t="shared" si="5"/>
        <v>0</v>
      </c>
      <c r="P26" s="37">
        <f t="shared" si="5"/>
        <v>0</v>
      </c>
      <c r="Q26" s="37">
        <f t="shared" si="5"/>
        <v>0</v>
      </c>
      <c r="R26" s="37">
        <f t="shared" si="5"/>
        <v>0</v>
      </c>
      <c r="S26" s="37">
        <f t="shared" si="5"/>
        <v>0</v>
      </c>
      <c r="T26" s="37">
        <f t="shared" si="5"/>
        <v>0</v>
      </c>
      <c r="U26" s="37">
        <f t="shared" si="5"/>
        <v>0</v>
      </c>
      <c r="V26" s="37">
        <f t="shared" si="5"/>
        <v>0</v>
      </c>
      <c r="W26" s="37">
        <f t="shared" si="5"/>
        <v>0</v>
      </c>
      <c r="X26" s="37">
        <f t="shared" si="5"/>
        <v>0</v>
      </c>
      <c r="Y26" s="37">
        <f t="shared" si="5"/>
        <v>0</v>
      </c>
      <c r="Z26" s="37">
        <f t="shared" si="5"/>
        <v>0</v>
      </c>
      <c r="AA26" s="37">
        <f t="shared" si="5"/>
        <v>0</v>
      </c>
      <c r="AB26" s="37">
        <f t="shared" si="5"/>
        <v>0</v>
      </c>
      <c r="AC26" s="37">
        <f t="shared" si="5"/>
        <v>0</v>
      </c>
      <c r="AD26" s="37">
        <f t="shared" si="5"/>
        <v>0</v>
      </c>
      <c r="AE26" s="37">
        <f t="shared" si="5"/>
        <v>0</v>
      </c>
      <c r="AF26" s="37">
        <f t="shared" si="5"/>
        <v>0</v>
      </c>
      <c r="AG26" s="37">
        <f t="shared" si="5"/>
        <v>0</v>
      </c>
      <c r="AH26" s="37">
        <f t="shared" si="5"/>
        <v>7.3727576407153106E-2</v>
      </c>
      <c r="AI26" s="37">
        <f t="shared" si="5"/>
        <v>7.1417417187118928E-2</v>
      </c>
      <c r="AJ26" s="37">
        <f t="shared" si="5"/>
        <v>6.9179643848758604E-2</v>
      </c>
      <c r="AK26" s="37">
        <f t="shared" si="5"/>
        <v>6.7011988273138937E-2</v>
      </c>
    </row>
    <row r="27" spans="1:37" x14ac:dyDescent="0.25">
      <c r="A27" s="33" t="s">
        <v>127</v>
      </c>
      <c r="B27" s="37">
        <f>SUM(B29:B30)</f>
        <v>11.0109823328047</v>
      </c>
      <c r="C27" s="37">
        <f t="shared" ref="C27:AK27" si="6">SUM(C29:C30)</f>
        <v>12.340654888536466</v>
      </c>
      <c r="D27" s="37">
        <f t="shared" si="6"/>
        <v>13.670327444268231</v>
      </c>
      <c r="E27" s="37">
        <f t="shared" si="6"/>
        <v>15</v>
      </c>
      <c r="F27" s="37">
        <f t="shared" si="6"/>
        <v>14.8</v>
      </c>
      <c r="G27" s="37">
        <f t="shared" si="6"/>
        <v>15.1</v>
      </c>
      <c r="H27" s="37">
        <f t="shared" si="6"/>
        <v>15.1</v>
      </c>
      <c r="I27" s="37">
        <f t="shared" si="6"/>
        <v>15.7</v>
      </c>
      <c r="J27" s="37">
        <f t="shared" si="6"/>
        <v>16</v>
      </c>
      <c r="K27" s="37">
        <f t="shared" si="6"/>
        <v>16.2</v>
      </c>
      <c r="L27" s="37">
        <f t="shared" si="6"/>
        <v>16.5</v>
      </c>
      <c r="M27" s="37">
        <f t="shared" si="6"/>
        <v>16.399999999999999</v>
      </c>
      <c r="N27" s="37">
        <f t="shared" si="6"/>
        <v>17.3</v>
      </c>
      <c r="O27" s="37">
        <f t="shared" si="6"/>
        <v>16.7</v>
      </c>
      <c r="P27" s="37">
        <f t="shared" si="6"/>
        <v>15.9</v>
      </c>
      <c r="Q27" s="37">
        <f t="shared" si="6"/>
        <v>14.8</v>
      </c>
      <c r="R27" s="37">
        <f t="shared" si="6"/>
        <v>15.3</v>
      </c>
      <c r="S27" s="37">
        <f t="shared" si="6"/>
        <v>15.8</v>
      </c>
      <c r="T27" s="37">
        <f t="shared" si="6"/>
        <v>15.2</v>
      </c>
      <c r="U27" s="37">
        <f t="shared" si="6"/>
        <v>14.3</v>
      </c>
      <c r="V27" s="37">
        <f t="shared" si="6"/>
        <v>13.4</v>
      </c>
      <c r="W27" s="37">
        <f t="shared" si="6"/>
        <v>12.9</v>
      </c>
      <c r="X27" s="37">
        <f t="shared" si="6"/>
        <v>12.7</v>
      </c>
      <c r="Y27" s="37">
        <f t="shared" si="6"/>
        <v>9.8000000000000007</v>
      </c>
      <c r="Z27" s="37">
        <f t="shared" si="6"/>
        <v>9.5</v>
      </c>
      <c r="AA27" s="37">
        <f t="shared" si="6"/>
        <v>9.1</v>
      </c>
      <c r="AB27" s="37">
        <f t="shared" si="6"/>
        <v>9.1</v>
      </c>
      <c r="AC27" s="37">
        <f t="shared" si="6"/>
        <v>9.1</v>
      </c>
      <c r="AD27" s="37">
        <f t="shared" si="6"/>
        <v>9.1</v>
      </c>
      <c r="AE27" s="37">
        <f t="shared" si="6"/>
        <v>9.1</v>
      </c>
      <c r="AF27" s="37">
        <f t="shared" si="6"/>
        <v>9.1</v>
      </c>
      <c r="AG27" s="37">
        <f t="shared" si="6"/>
        <v>9.1</v>
      </c>
      <c r="AH27" s="37">
        <f t="shared" si="6"/>
        <v>9.1</v>
      </c>
      <c r="AI27" s="37">
        <f t="shared" si="6"/>
        <v>9.1</v>
      </c>
      <c r="AJ27" s="37">
        <f t="shared" si="6"/>
        <v>9.1</v>
      </c>
      <c r="AK27" s="37">
        <f t="shared" si="6"/>
        <v>9.1</v>
      </c>
    </row>
    <row r="28" spans="1:37" x14ac:dyDescent="0.25">
      <c r="A28" s="33" t="s">
        <v>128</v>
      </c>
      <c r="B28" s="37">
        <f>B31</f>
        <v>5.3099920644217402</v>
      </c>
      <c r="C28" s="37">
        <f t="shared" ref="C28:AK28" si="7">C31</f>
        <v>5.0914782086739976</v>
      </c>
      <c r="D28" s="37">
        <f t="shared" si="7"/>
        <v>5.1082247257697508</v>
      </c>
      <c r="E28" s="37">
        <f t="shared" si="7"/>
        <v>5.1250092127269662</v>
      </c>
      <c r="F28" s="37">
        <f t="shared" si="7"/>
        <v>5.1418318261137648</v>
      </c>
      <c r="G28" s="37">
        <f t="shared" si="7"/>
        <v>5.1586927231438731</v>
      </c>
      <c r="H28" s="37">
        <f t="shared" si="7"/>
        <v>5.175592061679283</v>
      </c>
      <c r="I28" s="37">
        <f t="shared" si="7"/>
        <v>5.1925300002329315</v>
      </c>
      <c r="J28" s="37">
        <f t="shared" si="7"/>
        <v>5.2095066979713787</v>
      </c>
      <c r="K28" s="37">
        <f t="shared" si="7"/>
        <v>5.2265223147175055</v>
      </c>
      <c r="L28" s="37">
        <f t="shared" si="7"/>
        <v>5.2435770109532234</v>
      </c>
      <c r="M28" s="37">
        <f t="shared" si="7"/>
        <v>5.2606709478221836</v>
      </c>
      <c r="N28" s="37">
        <f t="shared" si="7"/>
        <v>5.2778042871325122</v>
      </c>
      <c r="O28" s="37">
        <f t="shared" si="7"/>
        <v>5.2949771913595525</v>
      </c>
      <c r="P28" s="37">
        <f t="shared" si="7"/>
        <v>5.3121898236486054</v>
      </c>
      <c r="Q28" s="37">
        <f t="shared" si="7"/>
        <v>5.3294423478177038</v>
      </c>
      <c r="R28" s="37">
        <f t="shared" si="7"/>
        <v>5.3467349283603802</v>
      </c>
      <c r="S28" s="37">
        <f t="shared" si="7"/>
        <v>5.3640677304484541</v>
      </c>
      <c r="T28" s="37">
        <f t="shared" si="7"/>
        <v>5.3814409199348283</v>
      </c>
      <c r="U28" s="37">
        <f t="shared" si="7"/>
        <v>5.3988546633562944</v>
      </c>
      <c r="V28" s="37">
        <f t="shared" si="7"/>
        <v>5.4163091279363629</v>
      </c>
      <c r="W28" s="37">
        <f t="shared" si="7"/>
        <v>5.4338044815880782</v>
      </c>
      <c r="X28" s="37">
        <f t="shared" si="7"/>
        <v>5.451340892916881</v>
      </c>
      <c r="Y28" s="37">
        <f t="shared" si="7"/>
        <v>5.4689185312234443</v>
      </c>
      <c r="Z28" s="37">
        <f t="shared" si="7"/>
        <v>5.4865375665065601</v>
      </c>
      <c r="AA28" s="37">
        <f t="shared" si="7"/>
        <v>5.5041981694660009</v>
      </c>
      <c r="AB28" s="37">
        <f t="shared" si="7"/>
        <v>5.5219005115054172</v>
      </c>
      <c r="AC28" s="37">
        <f t="shared" si="7"/>
        <v>5.5396447647352396</v>
      </c>
      <c r="AD28" s="37">
        <f t="shared" si="7"/>
        <v>5.5574311019755989</v>
      </c>
      <c r="AE28" s="37">
        <f t="shared" si="7"/>
        <v>5.5752596967592414</v>
      </c>
      <c r="AF28" s="37">
        <f t="shared" si="7"/>
        <v>5.5931307233344745</v>
      </c>
      <c r="AG28" s="37">
        <f t="shared" si="7"/>
        <v>5.6110443566681134</v>
      </c>
      <c r="AH28" s="37">
        <f t="shared" si="7"/>
        <v>5.6290007724484497</v>
      </c>
      <c r="AI28" s="37">
        <f t="shared" si="7"/>
        <v>5.6470001470882227</v>
      </c>
      <c r="AJ28" s="37">
        <f t="shared" si="7"/>
        <v>5.6650426577276045</v>
      </c>
      <c r="AK28" s="37">
        <f t="shared" si="7"/>
        <v>5.6831284822372039</v>
      </c>
    </row>
    <row r="29" spans="1:37" x14ac:dyDescent="0.25">
      <c r="A29" s="42" t="s">
        <v>129</v>
      </c>
      <c r="B29" s="39">
        <f>'Chem - HCFC 22 Production'!B2</f>
        <v>0</v>
      </c>
      <c r="C29" s="39">
        <f>'Chem - HCFC 22 Production'!C2</f>
        <v>0</v>
      </c>
      <c r="D29" s="39">
        <f>'Chem - HCFC 22 Production'!D2</f>
        <v>0</v>
      </c>
      <c r="E29" s="39">
        <f>'Chem - HCFC 22 Production'!E2</f>
        <v>0</v>
      </c>
      <c r="F29" s="39">
        <f>'Chem - HCFC 22 Production'!F2</f>
        <v>0</v>
      </c>
      <c r="G29" s="39">
        <f>'Chem - HCFC 22 Production'!G2</f>
        <v>0</v>
      </c>
      <c r="H29" s="39">
        <f>'Chem - HCFC 22 Production'!H2</f>
        <v>0</v>
      </c>
      <c r="I29" s="39">
        <f>'Chem - HCFC 22 Production'!I2</f>
        <v>0</v>
      </c>
      <c r="J29" s="39">
        <f>'Chem - HCFC 22 Production'!J2</f>
        <v>0</v>
      </c>
      <c r="K29" s="39">
        <f>'Chem - HCFC 22 Production'!K2</f>
        <v>0</v>
      </c>
      <c r="L29" s="39">
        <f>'Chem - HCFC 22 Production'!L2</f>
        <v>0</v>
      </c>
      <c r="M29" s="39">
        <f>'Chem - HCFC 22 Production'!M2</f>
        <v>0</v>
      </c>
      <c r="N29" s="39">
        <f>'Chem - HCFC 22 Production'!N2</f>
        <v>0</v>
      </c>
      <c r="O29" s="39">
        <f>'Chem - HCFC 22 Production'!O2</f>
        <v>0</v>
      </c>
      <c r="P29" s="39">
        <f>'Chem - HCFC 22 Production'!P2</f>
        <v>0</v>
      </c>
      <c r="Q29" s="39">
        <f>'Chem - HCFC 22 Production'!Q2</f>
        <v>0</v>
      </c>
      <c r="R29" s="39">
        <f>'Chem - HCFC 22 Production'!R2</f>
        <v>0</v>
      </c>
      <c r="S29" s="39">
        <f>'Chem - HCFC 22 Production'!S2</f>
        <v>0</v>
      </c>
      <c r="T29" s="39">
        <f>'Chem - HCFC 22 Production'!T2</f>
        <v>0</v>
      </c>
      <c r="U29" s="39">
        <f>'Chem - HCFC 22 Production'!U2</f>
        <v>0</v>
      </c>
      <c r="V29" s="39">
        <f>'Chem - HCFC 22 Production'!V2</f>
        <v>0</v>
      </c>
      <c r="W29" s="39">
        <f>'Chem - HCFC 22 Production'!W2</f>
        <v>0</v>
      </c>
      <c r="X29" s="39">
        <f>'Chem - HCFC 22 Production'!X2</f>
        <v>0</v>
      </c>
      <c r="Y29" s="39">
        <f>'Chem - HCFC 22 Production'!Y2</f>
        <v>0</v>
      </c>
      <c r="Z29" s="39">
        <f>'Chem - HCFC 22 Production'!Z2</f>
        <v>0</v>
      </c>
      <c r="AA29" s="39">
        <f>'Chem - HCFC 22 Production'!AA2</f>
        <v>0</v>
      </c>
      <c r="AB29" s="39">
        <f>'Chem - HCFC 22 Production'!AB2</f>
        <v>0</v>
      </c>
      <c r="AC29" s="39">
        <f>'Chem - HCFC 22 Production'!AC2</f>
        <v>0</v>
      </c>
      <c r="AD29" s="39">
        <f>'Chem - HCFC 22 Production'!AD2</f>
        <v>0</v>
      </c>
      <c r="AE29" s="39">
        <f>'Chem - HCFC 22 Production'!AE2</f>
        <v>0</v>
      </c>
      <c r="AF29" s="39">
        <f>'Chem - HCFC 22 Production'!AF2</f>
        <v>0</v>
      </c>
      <c r="AG29" s="39">
        <f>'Chem - HCFC 22 Production'!AG2</f>
        <v>0</v>
      </c>
      <c r="AH29" s="39">
        <f>'Chem - HCFC 22 Production'!AH2</f>
        <v>0</v>
      </c>
      <c r="AI29" s="39">
        <f>'Chem - HCFC 22 Production'!AI2</f>
        <v>0</v>
      </c>
      <c r="AJ29" s="39">
        <f>'Chem - HCFC 22 Production'!AJ2</f>
        <v>0</v>
      </c>
      <c r="AK29" s="39">
        <f>'Chem - HCFC 22 Production'!AK2</f>
        <v>0</v>
      </c>
    </row>
    <row r="30" spans="1:37" x14ac:dyDescent="0.25">
      <c r="A30" s="42" t="s">
        <v>130</v>
      </c>
      <c r="B30" s="39">
        <f>'Chem - ODS'!B5/10^6</f>
        <v>11.0109823328047</v>
      </c>
      <c r="C30" s="39">
        <f>'Chem - ODS'!C5/10^6</f>
        <v>12.340654888536466</v>
      </c>
      <c r="D30" s="39">
        <f>'Chem - ODS'!D5/10^6</f>
        <v>13.670327444268231</v>
      </c>
      <c r="E30" s="39">
        <f>'Chem - ODS'!E5/10^6</f>
        <v>15</v>
      </c>
      <c r="F30" s="39">
        <f>'Chem - ODS'!F5/10^6</f>
        <v>14.8</v>
      </c>
      <c r="G30" s="39">
        <f>'Chem - ODS'!G5/10^6</f>
        <v>15.1</v>
      </c>
      <c r="H30" s="39">
        <f>'Chem - ODS'!H5/10^6</f>
        <v>15.1</v>
      </c>
      <c r="I30" s="39">
        <f>'Chem - ODS'!I5/10^6</f>
        <v>15.7</v>
      </c>
      <c r="J30" s="39">
        <f>'Chem - ODS'!J5/10^6</f>
        <v>16</v>
      </c>
      <c r="K30" s="39">
        <f>'Chem - ODS'!K5/10^6</f>
        <v>16.2</v>
      </c>
      <c r="L30" s="39">
        <f>'Chem - ODS'!L5/10^6</f>
        <v>16.5</v>
      </c>
      <c r="M30" s="39">
        <f>'Chem - ODS'!M5/10^6</f>
        <v>16.399999999999999</v>
      </c>
      <c r="N30" s="39">
        <f>'Chem - ODS'!N5/10^6</f>
        <v>17.3</v>
      </c>
      <c r="O30" s="39">
        <f>'Chem - ODS'!O5/10^6</f>
        <v>16.7</v>
      </c>
      <c r="P30" s="39">
        <f>'Chem - ODS'!P5/10^6</f>
        <v>15.9</v>
      </c>
      <c r="Q30" s="39">
        <f>'Chem - ODS'!Q5/10^6</f>
        <v>14.8</v>
      </c>
      <c r="R30" s="39">
        <f>'Chem - ODS'!R5/10^6</f>
        <v>15.3</v>
      </c>
      <c r="S30" s="39">
        <f>'Chem - ODS'!S5/10^6</f>
        <v>15.8</v>
      </c>
      <c r="T30" s="39">
        <f>'Chem - ODS'!T5/10^6</f>
        <v>15.2</v>
      </c>
      <c r="U30" s="39">
        <f>'Chem - ODS'!U5/10^6</f>
        <v>14.3</v>
      </c>
      <c r="V30" s="39">
        <f>'Chem - ODS'!V5/10^6</f>
        <v>13.4</v>
      </c>
      <c r="W30" s="39">
        <f>'Chem - ODS'!W5/10^6</f>
        <v>12.9</v>
      </c>
      <c r="X30" s="39">
        <f>'Chem - ODS'!X5/10^6</f>
        <v>12.7</v>
      </c>
      <c r="Y30" s="39">
        <f>'Chem - ODS'!Y5/10^6</f>
        <v>9.8000000000000007</v>
      </c>
      <c r="Z30" s="39">
        <f>'Chem - ODS'!Z5/10^6</f>
        <v>9.5</v>
      </c>
      <c r="AA30" s="39">
        <f>'Chem - ODS'!AA5/10^6</f>
        <v>9.1</v>
      </c>
      <c r="AB30" s="39">
        <f>'Chem - ODS'!AB5/10^6</f>
        <v>9.1</v>
      </c>
      <c r="AC30" s="39">
        <f>'Chem - ODS'!AC5/10^6</f>
        <v>9.1</v>
      </c>
      <c r="AD30" s="39">
        <f>'Chem - ODS'!AD5/10^6</f>
        <v>9.1</v>
      </c>
      <c r="AE30" s="39">
        <f>'Chem - ODS'!AE5/10^6</f>
        <v>9.1</v>
      </c>
      <c r="AF30" s="39">
        <f>'Chem - ODS'!AF5/10^6</f>
        <v>9.1</v>
      </c>
      <c r="AG30" s="39">
        <f>'Chem - ODS'!AG5/10^6</f>
        <v>9.1</v>
      </c>
      <c r="AH30" s="39">
        <f>'Chem - ODS'!AH5/10^6</f>
        <v>9.1</v>
      </c>
      <c r="AI30" s="39">
        <f>'Chem - ODS'!AI5/10^6</f>
        <v>9.1</v>
      </c>
      <c r="AJ30" s="39">
        <f>'Chem - ODS'!AJ5/10^6</f>
        <v>9.1</v>
      </c>
      <c r="AK30" s="39">
        <f>'Chem - ODS'!AK5/10^6</f>
        <v>9.1</v>
      </c>
    </row>
    <row r="31" spans="1:37" x14ac:dyDescent="0.25">
      <c r="A31" s="42" t="s">
        <v>245</v>
      </c>
      <c r="B31" s="39">
        <f>'Other Industrial Processes'!C125/1000</f>
        <v>5.3099920644217402</v>
      </c>
      <c r="C31" s="39">
        <f>'Other Industrial Processes'!D125/1000</f>
        <v>5.0914782086739976</v>
      </c>
      <c r="D31" s="39">
        <f>'Other Industrial Processes'!E125/1000</f>
        <v>5.1082247257697508</v>
      </c>
      <c r="E31" s="39">
        <f>'Other Industrial Processes'!F125/1000</f>
        <v>5.1250092127269662</v>
      </c>
      <c r="F31" s="39">
        <f>'Other Industrial Processes'!G125/1000</f>
        <v>5.1418318261137648</v>
      </c>
      <c r="G31" s="39">
        <f>'Other Industrial Processes'!H125/1000</f>
        <v>5.1586927231438731</v>
      </c>
      <c r="H31" s="39">
        <f>'Other Industrial Processes'!I125/1000</f>
        <v>5.175592061679283</v>
      </c>
      <c r="I31" s="39">
        <f>'Other Industrial Processes'!J125/1000</f>
        <v>5.1925300002329315</v>
      </c>
      <c r="J31" s="39">
        <f>'Other Industrial Processes'!K125/1000</f>
        <v>5.2095066979713787</v>
      </c>
      <c r="K31" s="39">
        <f>'Other Industrial Processes'!L125/1000</f>
        <v>5.2265223147175055</v>
      </c>
      <c r="L31" s="39">
        <f>'Other Industrial Processes'!M125/1000</f>
        <v>5.2435770109532234</v>
      </c>
      <c r="M31" s="39">
        <f>'Other Industrial Processes'!N125/1000</f>
        <v>5.2606709478221836</v>
      </c>
      <c r="N31" s="39">
        <f>'Other Industrial Processes'!O125/1000</f>
        <v>5.2778042871325122</v>
      </c>
      <c r="O31" s="39">
        <f>'Other Industrial Processes'!P125/1000</f>
        <v>5.2949771913595525</v>
      </c>
      <c r="P31" s="39">
        <f>'Other Industrial Processes'!Q125/1000</f>
        <v>5.3121898236486054</v>
      </c>
      <c r="Q31" s="39">
        <f>'Other Industrial Processes'!R125/1000</f>
        <v>5.3294423478177038</v>
      </c>
      <c r="R31" s="39">
        <f>'Other Industrial Processes'!S125/1000</f>
        <v>5.3467349283603802</v>
      </c>
      <c r="S31" s="39">
        <f>'Other Industrial Processes'!T125/1000</f>
        <v>5.3640677304484541</v>
      </c>
      <c r="T31" s="39">
        <f>'Other Industrial Processes'!U125/1000</f>
        <v>5.3814409199348283</v>
      </c>
      <c r="U31" s="39">
        <f>'Other Industrial Processes'!V125/1000</f>
        <v>5.3988546633562944</v>
      </c>
      <c r="V31" s="39">
        <f>'Other Industrial Processes'!W125/1000</f>
        <v>5.4163091279363629</v>
      </c>
      <c r="W31" s="39">
        <f>'Other Industrial Processes'!X125/1000</f>
        <v>5.4338044815880782</v>
      </c>
      <c r="X31" s="39">
        <f>'Other Industrial Processes'!Y125/1000</f>
        <v>5.451340892916881</v>
      </c>
      <c r="Y31" s="39">
        <f>'Other Industrial Processes'!Z125/1000</f>
        <v>5.4689185312234443</v>
      </c>
      <c r="Z31" s="39">
        <f>'Other Industrial Processes'!AA125/1000</f>
        <v>5.4865375665065601</v>
      </c>
      <c r="AA31" s="39">
        <f>'Other Industrial Processes'!AB125/1000</f>
        <v>5.5041981694660009</v>
      </c>
      <c r="AB31" s="39">
        <f>'Other Industrial Processes'!AC125/1000</f>
        <v>5.5219005115054172</v>
      </c>
      <c r="AC31" s="39">
        <f>'Other Industrial Processes'!AD125/1000</f>
        <v>5.5396447647352396</v>
      </c>
      <c r="AD31" s="39">
        <f>'Other Industrial Processes'!AE125/1000</f>
        <v>5.5574311019755989</v>
      </c>
      <c r="AE31" s="39">
        <f>'Other Industrial Processes'!AF125/1000</f>
        <v>5.5752596967592414</v>
      </c>
      <c r="AF31" s="39">
        <f>'Other Industrial Processes'!AG125/1000</f>
        <v>5.5931307233344745</v>
      </c>
      <c r="AG31" s="39">
        <f>'Other Industrial Processes'!AH125/1000</f>
        <v>5.6110443566681134</v>
      </c>
      <c r="AH31" s="39">
        <f>'Other Industrial Processes'!AI125/1000</f>
        <v>5.6290007724484497</v>
      </c>
      <c r="AI31" s="39">
        <f>'Other Industrial Processes'!AJ125/1000</f>
        <v>5.6470001470882227</v>
      </c>
      <c r="AJ31" s="39">
        <f>'Other Industrial Processes'!AK125/1000</f>
        <v>5.6650426577276045</v>
      </c>
      <c r="AK31" s="39">
        <f>'Other Industrial Processes'!AL125/1000</f>
        <v>5.6831284822372039</v>
      </c>
    </row>
    <row r="32" spans="1:37" x14ac:dyDescent="0.25">
      <c r="A32" s="42" t="s">
        <v>246</v>
      </c>
      <c r="B32" s="39">
        <f>'Other Industrial Processes'!C126*N2O_to_CO2e/1000</f>
        <v>0.99846751694236158</v>
      </c>
      <c r="C32" s="39">
        <f>'Other Industrial Processes'!D126*N2O_to_CO2e/1000</f>
        <v>0</v>
      </c>
      <c r="D32" s="39">
        <f>'Other Industrial Processes'!E126*N2O_to_CO2e/1000</f>
        <v>0</v>
      </c>
      <c r="E32" s="39">
        <f>'Other Industrial Processes'!F126*N2O_to_CO2e/1000</f>
        <v>0</v>
      </c>
      <c r="F32" s="39">
        <f>'Other Industrial Processes'!G126*N2O_to_CO2e/1000</f>
        <v>0</v>
      </c>
      <c r="G32" s="39">
        <f>'Other Industrial Processes'!H126*N2O_to_CO2e/1000</f>
        <v>0</v>
      </c>
      <c r="H32" s="39">
        <f>'Other Industrial Processes'!I126*N2O_to_CO2e/1000</f>
        <v>0</v>
      </c>
      <c r="I32" s="39">
        <f>'Other Industrial Processes'!J126*N2O_to_CO2e/1000</f>
        <v>0</v>
      </c>
      <c r="J32" s="39">
        <f>'Other Industrial Processes'!K126*N2O_to_CO2e/1000</f>
        <v>0</v>
      </c>
      <c r="K32" s="39">
        <f>'Other Industrial Processes'!L126*N2O_to_CO2e/1000</f>
        <v>0</v>
      </c>
      <c r="L32" s="39">
        <f>'Other Industrial Processes'!M126*N2O_to_CO2e/1000</f>
        <v>0</v>
      </c>
      <c r="M32" s="39">
        <f>'Other Industrial Processes'!N126*N2O_to_CO2e/1000</f>
        <v>0</v>
      </c>
      <c r="N32" s="39">
        <f>'Other Industrial Processes'!O126*N2O_to_CO2e/1000</f>
        <v>0</v>
      </c>
      <c r="O32" s="39">
        <f>'Other Industrial Processes'!P126*N2O_to_CO2e/1000</f>
        <v>0</v>
      </c>
      <c r="P32" s="39">
        <f>'Other Industrial Processes'!Q126*N2O_to_CO2e/1000</f>
        <v>0</v>
      </c>
      <c r="Q32" s="39">
        <f>'Other Industrial Processes'!R126*N2O_to_CO2e/1000</f>
        <v>0</v>
      </c>
      <c r="R32" s="39">
        <f>'Other Industrial Processes'!S126*N2O_to_CO2e/1000</f>
        <v>0</v>
      </c>
      <c r="S32" s="39">
        <f>'Other Industrial Processes'!T126*N2O_to_CO2e/1000</f>
        <v>0</v>
      </c>
      <c r="T32" s="39">
        <f>'Other Industrial Processes'!U126*N2O_to_CO2e/1000</f>
        <v>0</v>
      </c>
      <c r="U32" s="39">
        <f>'Other Industrial Processes'!V126*N2O_to_CO2e/1000</f>
        <v>0</v>
      </c>
      <c r="V32" s="39">
        <f>'Other Industrial Processes'!W126*N2O_to_CO2e/1000</f>
        <v>0</v>
      </c>
      <c r="W32" s="39">
        <f>'Other Industrial Processes'!X126*N2O_to_CO2e/1000</f>
        <v>0</v>
      </c>
      <c r="X32" s="39">
        <f>'Other Industrial Processes'!Y126*N2O_to_CO2e/1000</f>
        <v>0</v>
      </c>
      <c r="Y32" s="39">
        <f>'Other Industrial Processes'!Z126*N2O_to_CO2e/1000</f>
        <v>0</v>
      </c>
      <c r="Z32" s="39">
        <f>'Other Industrial Processes'!AA126*N2O_to_CO2e/1000</f>
        <v>0</v>
      </c>
      <c r="AA32" s="39">
        <f>'Other Industrial Processes'!AB126*N2O_to_CO2e/1000</f>
        <v>0</v>
      </c>
      <c r="AB32" s="39">
        <f>'Other Industrial Processes'!AC126*N2O_to_CO2e/1000</f>
        <v>0</v>
      </c>
      <c r="AC32" s="39">
        <f>'Other Industrial Processes'!AD126*N2O_to_CO2e/1000</f>
        <v>0</v>
      </c>
      <c r="AD32" s="39">
        <f>'Other Industrial Processes'!AE126*N2O_to_CO2e/1000</f>
        <v>0</v>
      </c>
      <c r="AE32" s="39">
        <f>'Other Industrial Processes'!AF126*N2O_to_CO2e/1000</f>
        <v>0</v>
      </c>
      <c r="AF32" s="39">
        <f>'Other Industrial Processes'!AG126*N2O_to_CO2e/1000</f>
        <v>0</v>
      </c>
      <c r="AG32" s="39">
        <f>'Other Industrial Processes'!AH126*N2O_to_CO2e/1000</f>
        <v>0</v>
      </c>
      <c r="AH32" s="39">
        <f>'Other Industrial Processes'!AI126*N2O_to_CO2e/1000</f>
        <v>7.3727576407153106E-2</v>
      </c>
      <c r="AI32" s="39">
        <f>'Other Industrial Processes'!AJ126*N2O_to_CO2e/1000</f>
        <v>7.1417417187118928E-2</v>
      </c>
      <c r="AJ32" s="39">
        <f>'Other Industrial Processes'!AK126*N2O_to_CO2e/1000</f>
        <v>6.9179643848758604E-2</v>
      </c>
      <c r="AK32" s="39">
        <f>'Other Industrial Processes'!AL126*N2O_to_CO2e/1000</f>
        <v>6.7011988273138937E-2</v>
      </c>
    </row>
    <row r="33" spans="1:37" x14ac:dyDescent="0.25">
      <c r="A33" s="42" t="s">
        <v>247</v>
      </c>
      <c r="B33" s="39">
        <f>'Other Industrial Processes'!C124*CH4_to_CO2e/1000</f>
        <v>8.1602165982923039E-2</v>
      </c>
      <c r="C33" s="39">
        <f>'Other Industrial Processes'!D124*CH4_to_CO2e/1000</f>
        <v>0</v>
      </c>
      <c r="D33" s="39">
        <f>'Other Industrial Processes'!E124*CH4_to_CO2e/1000</f>
        <v>0</v>
      </c>
      <c r="E33" s="39">
        <f>'Other Industrial Processes'!F124*CH4_to_CO2e/1000</f>
        <v>0</v>
      </c>
      <c r="F33" s="39">
        <f>'Other Industrial Processes'!G124*CH4_to_CO2e/1000</f>
        <v>0</v>
      </c>
      <c r="G33" s="39">
        <f>'Other Industrial Processes'!H124*CH4_to_CO2e/1000</f>
        <v>0</v>
      </c>
      <c r="H33" s="39">
        <f>'Other Industrial Processes'!I124*CH4_to_CO2e/1000</f>
        <v>0</v>
      </c>
      <c r="I33" s="39">
        <f>'Other Industrial Processes'!J124*CH4_to_CO2e/1000</f>
        <v>0</v>
      </c>
      <c r="J33" s="39">
        <f>'Other Industrial Processes'!K124*CH4_to_CO2e/1000</f>
        <v>0</v>
      </c>
      <c r="K33" s="39">
        <f>'Other Industrial Processes'!L124*CH4_to_CO2e/1000</f>
        <v>0</v>
      </c>
      <c r="L33" s="39">
        <f>'Other Industrial Processes'!M124*CH4_to_CO2e/1000</f>
        <v>0</v>
      </c>
      <c r="M33" s="39">
        <f>'Other Industrial Processes'!N124*CH4_to_CO2e/1000</f>
        <v>0</v>
      </c>
      <c r="N33" s="39">
        <f>'Other Industrial Processes'!O124*CH4_to_CO2e/1000</f>
        <v>0</v>
      </c>
      <c r="O33" s="39">
        <f>'Other Industrial Processes'!P124*CH4_to_CO2e/1000</f>
        <v>0</v>
      </c>
      <c r="P33" s="39">
        <f>'Other Industrial Processes'!Q124*CH4_to_CO2e/1000</f>
        <v>0</v>
      </c>
      <c r="Q33" s="39">
        <f>'Other Industrial Processes'!R124*CH4_to_CO2e/1000</f>
        <v>0</v>
      </c>
      <c r="R33" s="39">
        <f>'Other Industrial Processes'!S124*CH4_to_CO2e/1000</f>
        <v>0</v>
      </c>
      <c r="S33" s="39">
        <f>'Other Industrial Processes'!T124*CH4_to_CO2e/1000</f>
        <v>0</v>
      </c>
      <c r="T33" s="39">
        <f>'Other Industrial Processes'!U124*CH4_to_CO2e/1000</f>
        <v>0</v>
      </c>
      <c r="U33" s="39">
        <f>'Other Industrial Processes'!V124*CH4_to_CO2e/1000</f>
        <v>0</v>
      </c>
      <c r="V33" s="39">
        <f>'Other Industrial Processes'!W124*CH4_to_CO2e/1000</f>
        <v>0</v>
      </c>
      <c r="W33" s="39">
        <f>'Other Industrial Processes'!X124*CH4_to_CO2e/1000</f>
        <v>0</v>
      </c>
      <c r="X33" s="39">
        <f>'Other Industrial Processes'!Y124*CH4_to_CO2e/1000</f>
        <v>0</v>
      </c>
      <c r="Y33" s="39">
        <f>'Other Industrial Processes'!Z124*CH4_to_CO2e/1000</f>
        <v>0</v>
      </c>
      <c r="Z33" s="39">
        <f>'Other Industrial Processes'!AA124*CH4_to_CO2e/1000</f>
        <v>0</v>
      </c>
      <c r="AA33" s="39">
        <f>'Other Industrial Processes'!AB124*CH4_to_CO2e/1000</f>
        <v>0</v>
      </c>
      <c r="AB33" s="39">
        <f>'Other Industrial Processes'!AC124*CH4_to_CO2e/1000</f>
        <v>0</v>
      </c>
      <c r="AC33" s="39">
        <f>'Other Industrial Processes'!AD124*CH4_to_CO2e/1000</f>
        <v>0</v>
      </c>
      <c r="AD33" s="39">
        <f>'Other Industrial Processes'!AE124*CH4_to_CO2e/1000</f>
        <v>0</v>
      </c>
      <c r="AE33" s="39">
        <f>'Other Industrial Processes'!AF124*CH4_to_CO2e/1000</f>
        <v>0</v>
      </c>
      <c r="AF33" s="39">
        <f>'Other Industrial Processes'!AG124*CH4_to_CO2e/1000</f>
        <v>0</v>
      </c>
      <c r="AG33" s="39">
        <f>'Other Industrial Processes'!AH124*CH4_to_CO2e/1000</f>
        <v>0</v>
      </c>
      <c r="AH33" s="39">
        <f>'Other Industrial Processes'!AI124*CH4_to_CO2e/1000</f>
        <v>0</v>
      </c>
      <c r="AI33" s="39">
        <f>'Other Industrial Processes'!AJ124*CH4_to_CO2e/1000</f>
        <v>0</v>
      </c>
      <c r="AJ33" s="39">
        <f>'Other Industrial Processes'!AK124*CH4_to_CO2e/1000</f>
        <v>0</v>
      </c>
      <c r="AK33" s="39">
        <f>'Other Industrial Processes'!AL124*CH4_to_CO2e/1000</f>
        <v>0</v>
      </c>
    </row>
    <row r="34" spans="1:37" x14ac:dyDescent="0.25">
      <c r="A34" s="42"/>
      <c r="B34" s="39"/>
      <c r="C34" s="43"/>
      <c r="D34" s="43"/>
      <c r="E34" s="43"/>
      <c r="F34" s="43"/>
      <c r="G34" s="43"/>
      <c r="H34" s="43"/>
      <c r="I34" s="43"/>
      <c r="J34" s="43"/>
    </row>
    <row r="35" spans="1:37" x14ac:dyDescent="0.25">
      <c r="A35" s="31" t="s">
        <v>131</v>
      </c>
      <c r="B35" s="44"/>
      <c r="C35" s="44"/>
      <c r="D35" s="44"/>
      <c r="E35" s="44"/>
      <c r="F35" s="44"/>
      <c r="G35" s="44"/>
      <c r="H35" s="44"/>
      <c r="I35" s="44"/>
      <c r="J35" s="44"/>
    </row>
    <row r="36" spans="1:37" x14ac:dyDescent="0.25">
      <c r="A36" s="33" t="s">
        <v>132</v>
      </c>
      <c r="B36" s="45">
        <f t="shared" ref="B36:AK36" si="8">SUM(B37:B38)</f>
        <v>1.3518847279408752</v>
      </c>
      <c r="C36" s="45">
        <f t="shared" si="8"/>
        <v>1.3451754748504285</v>
      </c>
      <c r="D36" s="45">
        <f t="shared" si="8"/>
        <v>1.3276405741696176</v>
      </c>
      <c r="E36" s="45">
        <f t="shared" si="8"/>
        <v>1.2430734786685831</v>
      </c>
      <c r="F36" s="45">
        <f t="shared" si="8"/>
        <v>1.2643352775431076</v>
      </c>
      <c r="G36" s="45">
        <f t="shared" si="8"/>
        <v>1.2266923313610558</v>
      </c>
      <c r="H36" s="45">
        <f t="shared" si="8"/>
        <v>1.1802124388207742</v>
      </c>
      <c r="I36" s="45">
        <f t="shared" si="8"/>
        <v>1.1988383672427347</v>
      </c>
      <c r="J36" s="45">
        <f t="shared" si="8"/>
        <v>1.1908787832184169</v>
      </c>
      <c r="K36" s="45">
        <f t="shared" si="8"/>
        <v>1.1582311869021222</v>
      </c>
      <c r="L36" s="45">
        <f t="shared" si="8"/>
        <v>1.1414336608746198</v>
      </c>
      <c r="M36" s="45">
        <f t="shared" si="8"/>
        <v>1.1253233289947191</v>
      </c>
      <c r="N36" s="45">
        <f t="shared" si="8"/>
        <v>1.0953932460172577</v>
      </c>
      <c r="O36" s="45">
        <f t="shared" si="8"/>
        <v>1.088512542865645</v>
      </c>
      <c r="P36" s="45">
        <f t="shared" si="8"/>
        <v>0.97625974724360065</v>
      </c>
      <c r="Q36" s="45">
        <f t="shared" si="8"/>
        <v>0.94734482386175567</v>
      </c>
      <c r="R36" s="45">
        <f t="shared" si="8"/>
        <v>0.96916458216878665</v>
      </c>
      <c r="S36" s="45">
        <f t="shared" si="8"/>
        <v>0.99438606102738902</v>
      </c>
      <c r="T36" s="45">
        <f t="shared" si="8"/>
        <v>0.99732301451419647</v>
      </c>
      <c r="U36" s="45">
        <f t="shared" si="8"/>
        <v>1.0450695665656029</v>
      </c>
      <c r="V36" s="45">
        <f t="shared" si="8"/>
        <v>1.0412369308777207</v>
      </c>
      <c r="W36" s="45">
        <f t="shared" si="8"/>
        <v>1.0432965220306154</v>
      </c>
      <c r="X36" s="45">
        <f t="shared" si="8"/>
        <v>1.0191425736922362</v>
      </c>
      <c r="Y36" s="45">
        <f t="shared" si="8"/>
        <v>1.021912856213659</v>
      </c>
      <c r="Z36" s="45">
        <f t="shared" si="8"/>
        <v>1.0224604609386383</v>
      </c>
      <c r="AA36" s="45">
        <f t="shared" si="8"/>
        <v>1.0252687770973232</v>
      </c>
      <c r="AB36" s="45">
        <f t="shared" si="8"/>
        <v>1.0312039794749923</v>
      </c>
      <c r="AC36" s="45">
        <f t="shared" si="8"/>
        <v>1.0371735402843734</v>
      </c>
      <c r="AD36" s="45">
        <f t="shared" si="8"/>
        <v>1.043177658423794</v>
      </c>
      <c r="AE36" s="45">
        <f t="shared" si="8"/>
        <v>1.0492165339429893</v>
      </c>
      <c r="AF36" s="45">
        <f t="shared" si="8"/>
        <v>1.0552903680497672</v>
      </c>
      <c r="AG36" s="45">
        <f t="shared" si="8"/>
        <v>1.0613993631167125</v>
      </c>
      <c r="AH36" s="45">
        <f t="shared" si="8"/>
        <v>1.0675437226879285</v>
      </c>
      <c r="AI36" s="45">
        <f t="shared" si="8"/>
        <v>1.0737236514858206</v>
      </c>
      <c r="AJ36" s="45">
        <f t="shared" si="8"/>
        <v>1.079939355417916</v>
      </c>
      <c r="AK36" s="45">
        <f t="shared" si="8"/>
        <v>1.0861910415837246</v>
      </c>
    </row>
    <row r="37" spans="1:37" x14ac:dyDescent="0.25">
      <c r="A37" t="s">
        <v>586</v>
      </c>
      <c r="B37" s="46">
        <f>'Coal Mining'!B25*CH4_to_CO2e/1000</f>
        <v>1.3518847279408752</v>
      </c>
      <c r="C37" s="46">
        <f>'Coal Mining'!C25*CH4_to_CO2e/1000</f>
        <v>1.3451754748504285</v>
      </c>
      <c r="D37" s="46">
        <f>'Coal Mining'!D25*CH4_to_CO2e/1000</f>
        <v>1.3276405741696176</v>
      </c>
      <c r="E37" s="46">
        <f>'Coal Mining'!E25*CH4_to_CO2e/1000</f>
        <v>1.2430734786685831</v>
      </c>
      <c r="F37" s="46">
        <f>'Coal Mining'!F25*CH4_to_CO2e/1000</f>
        <v>1.2643352775431076</v>
      </c>
      <c r="G37" s="46">
        <f>'Coal Mining'!G25*CH4_to_CO2e/1000</f>
        <v>1.2266923313610558</v>
      </c>
      <c r="H37" s="46">
        <f>'Coal Mining'!H25*CH4_to_CO2e/1000</f>
        <v>1.1802124388207742</v>
      </c>
      <c r="I37" s="46">
        <f>'Coal Mining'!I25*CH4_to_CO2e/1000</f>
        <v>1.1988383672427347</v>
      </c>
      <c r="J37" s="46">
        <f>'Coal Mining'!J25*CH4_to_CO2e/1000</f>
        <v>1.1908787832184169</v>
      </c>
      <c r="K37" s="46">
        <f>'Coal Mining'!K25*CH4_to_CO2e/1000</f>
        <v>1.1582311869021222</v>
      </c>
      <c r="L37" s="46">
        <f>'Coal Mining'!L25*CH4_to_CO2e/1000</f>
        <v>1.1414336608746198</v>
      </c>
      <c r="M37" s="46">
        <f>'Coal Mining'!M25*CH4_to_CO2e/1000</f>
        <v>1.1253233289947191</v>
      </c>
      <c r="N37" s="46">
        <f>'Coal Mining'!N25*CH4_to_CO2e/1000</f>
        <v>1.0953932460172577</v>
      </c>
      <c r="O37" s="46">
        <f>'Coal Mining'!O25*CH4_to_CO2e/1000</f>
        <v>1.088512542865645</v>
      </c>
      <c r="P37" s="46">
        <f>'Coal Mining'!P25*CH4_to_CO2e/1000</f>
        <v>0.97625974724360065</v>
      </c>
      <c r="Q37" s="46">
        <f>'Coal Mining'!Q25*CH4_to_CO2e/1000</f>
        <v>0.94734482386175567</v>
      </c>
      <c r="R37" s="46">
        <f>'Coal Mining'!R25*CH4_to_CO2e/1000</f>
        <v>0.96916458216878665</v>
      </c>
      <c r="S37" s="46">
        <f>'Coal Mining'!S25*CH4_to_CO2e/1000</f>
        <v>0.99438606102738902</v>
      </c>
      <c r="T37" s="46">
        <f>'Coal Mining'!T25*CH4_to_CO2e/1000</f>
        <v>0.99732301451419647</v>
      </c>
      <c r="U37" s="46">
        <f>'Coal Mining'!U25*CH4_to_CO2e/1000</f>
        <v>1.0450695665656029</v>
      </c>
      <c r="V37" s="46">
        <f>'Coal Mining'!V25*CH4_to_CO2e/1000</f>
        <v>1.0412369308777207</v>
      </c>
      <c r="W37" s="46">
        <f>'Coal Mining'!W25*CH4_to_CO2e/1000</f>
        <v>1.0432965220306154</v>
      </c>
      <c r="X37" s="46">
        <f>'Coal Mining'!X25*CH4_to_CO2e/1000</f>
        <v>1.0191425736922362</v>
      </c>
      <c r="Y37" s="46">
        <f>'Coal Mining'!Y25*CH4_to_CO2e/1000</f>
        <v>1.021912856213659</v>
      </c>
      <c r="Z37" s="46">
        <f>'Coal Mining'!Z25*CH4_to_CO2e/1000</f>
        <v>1.0224604609386383</v>
      </c>
      <c r="AA37" s="46">
        <f>'Coal Mining'!AA25*CH4_to_CO2e/1000</f>
        <v>1.0252687770973232</v>
      </c>
      <c r="AB37" s="46">
        <f>'Coal Mining'!AB25*CH4_to_CO2e/1000</f>
        <v>1.0312039794749923</v>
      </c>
      <c r="AC37" s="46">
        <f>'Coal Mining'!AC25*CH4_to_CO2e/1000</f>
        <v>1.0371735402843734</v>
      </c>
      <c r="AD37" s="46">
        <f>'Coal Mining'!AD25*CH4_to_CO2e/1000</f>
        <v>1.043177658423794</v>
      </c>
      <c r="AE37" s="46">
        <f>'Coal Mining'!AE25*CH4_to_CO2e/1000</f>
        <v>1.0492165339429893</v>
      </c>
      <c r="AF37" s="46">
        <f>'Coal Mining'!AF25*CH4_to_CO2e/1000</f>
        <v>1.0552903680497672</v>
      </c>
      <c r="AG37" s="46">
        <f>'Coal Mining'!AG25*CH4_to_CO2e/1000</f>
        <v>1.0613993631167125</v>
      </c>
      <c r="AH37" s="46">
        <f>'Coal Mining'!AH25*CH4_to_CO2e/1000</f>
        <v>1.0675437226879285</v>
      </c>
      <c r="AI37" s="46">
        <f>'Coal Mining'!AI25*CH4_to_CO2e/1000</f>
        <v>1.0737236514858206</v>
      </c>
      <c r="AJ37" s="46">
        <f>'Coal Mining'!AJ25*CH4_to_CO2e/1000</f>
        <v>1.079939355417916</v>
      </c>
      <c r="AK37" s="46">
        <f>'Coal Mining'!AK25*CH4_to_CO2e/1000</f>
        <v>1.0861910415837246</v>
      </c>
    </row>
    <row r="38" spans="1:37" x14ac:dyDescent="0.25">
      <c r="A38" s="42" t="s">
        <v>247</v>
      </c>
      <c r="B38" s="46">
        <v>0</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row>
    <row r="39" spans="1:37" x14ac:dyDescent="0.25">
      <c r="A39" s="42"/>
      <c r="B39" s="44"/>
      <c r="C39" s="44"/>
      <c r="D39" s="44"/>
      <c r="E39" s="44"/>
      <c r="F39" s="44"/>
      <c r="G39" s="44"/>
      <c r="H39" s="44"/>
      <c r="I39" s="44"/>
      <c r="J39" s="44"/>
    </row>
    <row r="40" spans="1:37" x14ac:dyDescent="0.25">
      <c r="A40" s="31" t="s">
        <v>248</v>
      </c>
      <c r="B40" s="44"/>
      <c r="C40" s="44"/>
      <c r="D40" s="44"/>
      <c r="E40" s="44"/>
      <c r="F40" s="44"/>
      <c r="G40" s="44"/>
      <c r="H40" s="44"/>
      <c r="I40" s="44"/>
      <c r="J40" s="44"/>
    </row>
    <row r="41" spans="1:37" x14ac:dyDescent="0.25">
      <c r="A41" s="47" t="s">
        <v>133</v>
      </c>
      <c r="B41" s="45">
        <f>SUM(B43:B44)</f>
        <v>0.94151711634596258</v>
      </c>
      <c r="C41" s="45">
        <f t="shared" ref="C41:AK41" si="9">SUM(C43:C44)</f>
        <v>0.95054210565134567</v>
      </c>
      <c r="D41" s="45">
        <f t="shared" si="9"/>
        <v>0.95970618318969958</v>
      </c>
      <c r="E41" s="45">
        <f t="shared" si="9"/>
        <v>0.9687941558458617</v>
      </c>
      <c r="F41" s="45">
        <f t="shared" si="9"/>
        <v>0.97784538821406985</v>
      </c>
      <c r="G41" s="45">
        <f t="shared" si="9"/>
        <v>0.98691236641997249</v>
      </c>
      <c r="H41" s="45">
        <f t="shared" si="9"/>
        <v>0.99595835017561551</v>
      </c>
      <c r="I41" s="45">
        <f t="shared" si="9"/>
        <v>1.0049649693370217</v>
      </c>
      <c r="J41" s="45">
        <f t="shared" si="9"/>
        <v>1.0138954836162366</v>
      </c>
      <c r="K41" s="45">
        <f t="shared" si="9"/>
        <v>1.0227236499504351</v>
      </c>
      <c r="L41" s="45">
        <f t="shared" si="9"/>
        <v>1.0314468440333353</v>
      </c>
      <c r="M41" s="45">
        <f t="shared" si="9"/>
        <v>1.0400886846214794</v>
      </c>
      <c r="N41" s="45">
        <f t="shared" si="9"/>
        <v>1.0486911606153866</v>
      </c>
      <c r="O41" s="45">
        <f t="shared" si="9"/>
        <v>1.0572201560333847</v>
      </c>
      <c r="P41" s="45">
        <f t="shared" si="9"/>
        <v>1.065573322930458</v>
      </c>
      <c r="Q41" s="45">
        <f t="shared" si="9"/>
        <v>1.0737401640814768</v>
      </c>
      <c r="R41" s="45">
        <f t="shared" si="9"/>
        <v>1.0817128065675932</v>
      </c>
      <c r="S41" s="45">
        <f t="shared" si="9"/>
        <v>1.0894755045511126</v>
      </c>
      <c r="T41" s="45">
        <f t="shared" si="9"/>
        <v>1.0970046392754931</v>
      </c>
      <c r="U41" s="45">
        <f t="shared" si="9"/>
        <v>1.1042687190653453</v>
      </c>
      <c r="V41" s="45">
        <f t="shared" si="9"/>
        <v>1.1112598710018213</v>
      </c>
      <c r="W41" s="45">
        <f t="shared" si="9"/>
        <v>1.1179387304906847</v>
      </c>
      <c r="X41" s="45">
        <f t="shared" si="9"/>
        <v>1.1243157947570648</v>
      </c>
      <c r="Y41" s="45">
        <f t="shared" si="9"/>
        <v>1.130391063800962</v>
      </c>
      <c r="Z41" s="45">
        <f t="shared" si="9"/>
        <v>1.1361934049914832</v>
      </c>
      <c r="AA41" s="45">
        <f t="shared" si="9"/>
        <v>1.1417543100040182</v>
      </c>
      <c r="AB41" s="45">
        <f t="shared" si="9"/>
        <v>1.1478747554863866</v>
      </c>
      <c r="AC41" s="45">
        <f t="shared" si="9"/>
        <v>1.1540280803095777</v>
      </c>
      <c r="AD41" s="45">
        <f t="shared" si="9"/>
        <v>1.1602144614697312</v>
      </c>
      <c r="AE41" s="45">
        <f t="shared" si="9"/>
        <v>1.1664340769177017</v>
      </c>
      <c r="AF41" s="45">
        <f t="shared" si="9"/>
        <v>1.1726871055642165</v>
      </c>
      <c r="AG41" s="45">
        <f t="shared" si="9"/>
        <v>1.1789737272850653</v>
      </c>
      <c r="AH41" s="45">
        <f t="shared" si="9"/>
        <v>1.1852941229263136</v>
      </c>
      <c r="AI41" s="45">
        <f t="shared" si="9"/>
        <v>1.191648474309549</v>
      </c>
      <c r="AJ41" s="45">
        <f t="shared" si="9"/>
        <v>1.1980369642371511</v>
      </c>
      <c r="AK41" s="45">
        <f t="shared" si="9"/>
        <v>1.2044597764975937</v>
      </c>
    </row>
    <row r="42" spans="1:37" x14ac:dyDescent="0.25">
      <c r="A42" s="48" t="s">
        <v>134</v>
      </c>
      <c r="B42" s="45">
        <f>SUM(B45:B47)</f>
        <v>25.858312968036639</v>
      </c>
      <c r="C42" s="45">
        <f t="shared" ref="C42:AK42" si="10">SUM(C45:C47)</f>
        <v>26.105315818559919</v>
      </c>
      <c r="D42" s="45">
        <f t="shared" si="10"/>
        <v>26.356169101241704</v>
      </c>
      <c r="E42" s="45">
        <f t="shared" si="10"/>
        <v>26.60496470529522</v>
      </c>
      <c r="F42" s="45">
        <f t="shared" si="10"/>
        <v>26.852781676568018</v>
      </c>
      <c r="G42" s="45">
        <f t="shared" si="10"/>
        <v>27.101059285677184</v>
      </c>
      <c r="H42" s="45">
        <f t="shared" si="10"/>
        <v>27.348787783483171</v>
      </c>
      <c r="I42" s="45">
        <f t="shared" si="10"/>
        <v>27.59546170340964</v>
      </c>
      <c r="J42" s="45">
        <f t="shared" si="10"/>
        <v>27.84007141303281</v>
      </c>
      <c r="K42" s="45">
        <f t="shared" si="10"/>
        <v>28.08189546164251</v>
      </c>
      <c r="L42" s="45">
        <f t="shared" si="10"/>
        <v>28.320860736919805</v>
      </c>
      <c r="M42" s="45">
        <f t="shared" si="10"/>
        <v>28.557614494393285</v>
      </c>
      <c r="N42" s="45">
        <f t="shared" si="10"/>
        <v>28.793308259669033</v>
      </c>
      <c r="O42" s="45">
        <f t="shared" si="10"/>
        <v>29.027004680247192</v>
      </c>
      <c r="P42" s="45">
        <f t="shared" si="10"/>
        <v>29.255893618958197</v>
      </c>
      <c r="Q42" s="45">
        <f t="shared" si="10"/>
        <v>29.479686093856959</v>
      </c>
      <c r="R42" s="45">
        <f t="shared" si="10"/>
        <v>29.698165193991443</v>
      </c>
      <c r="S42" s="45">
        <f t="shared" si="10"/>
        <v>29.910897950272876</v>
      </c>
      <c r="T42" s="45">
        <f t="shared" si="10"/>
        <v>30.117235333763706</v>
      </c>
      <c r="U42" s="45">
        <f t="shared" si="10"/>
        <v>30.316312254043897</v>
      </c>
      <c r="V42" s="45">
        <f t="shared" si="10"/>
        <v>30.507911939658431</v>
      </c>
      <c r="W42" s="45">
        <f t="shared" si="10"/>
        <v>30.690953268118957</v>
      </c>
      <c r="X42" s="45">
        <f t="shared" si="10"/>
        <v>30.865723751334077</v>
      </c>
      <c r="Y42" s="45">
        <f t="shared" si="10"/>
        <v>31.03222280207655</v>
      </c>
      <c r="Z42" s="45">
        <f t="shared" si="10"/>
        <v>31.191242210198894</v>
      </c>
      <c r="AA42" s="45">
        <f t="shared" si="10"/>
        <v>31.343645823061991</v>
      </c>
      <c r="AB42" s="45">
        <f t="shared" si="10"/>
        <v>31.501528321863987</v>
      </c>
      <c r="AC42" s="45">
        <f t="shared" si="10"/>
        <v>31.660218721523922</v>
      </c>
      <c r="AD42" s="45">
        <f t="shared" si="10"/>
        <v>31.819720583700253</v>
      </c>
      <c r="AE42" s="45">
        <f t="shared" si="10"/>
        <v>31.980037511656871</v>
      </c>
      <c r="AF42" s="45">
        <f t="shared" si="10"/>
        <v>32.141173149390504</v>
      </c>
      <c r="AG42" s="45">
        <f t="shared" si="10"/>
        <v>32.303131180803369</v>
      </c>
      <c r="AH42" s="45">
        <f t="shared" si="10"/>
        <v>32.465915328918953</v>
      </c>
      <c r="AI42" s="45">
        <f t="shared" si="10"/>
        <v>32.629529355138985</v>
      </c>
      <c r="AJ42" s="45">
        <f t="shared" si="10"/>
        <v>32.793977058539788</v>
      </c>
      <c r="AK42" s="45">
        <f t="shared" si="10"/>
        <v>32.959262275206193</v>
      </c>
    </row>
    <row r="43" spans="1:37" x14ac:dyDescent="0.25">
      <c r="A43" s="40" t="s">
        <v>845</v>
      </c>
      <c r="B43" s="46">
        <f>'Waste - Water Treatment'!B10*N2O_to_CO2e/1000</f>
        <v>0.59348151019596262</v>
      </c>
      <c r="C43" s="46">
        <f>'Waste - Water Treatment'!C10*N2O_to_CO2e/1000</f>
        <v>0.59917037574016907</v>
      </c>
      <c r="D43" s="46">
        <f>'Waste - Water Treatment'!D10*N2O_to_CO2e/1000</f>
        <v>0.60494691499005848</v>
      </c>
      <c r="E43" s="46">
        <f>'Waste - Water Treatment'!E10*N2O_to_CO2e/1000</f>
        <v>0.61067548183495146</v>
      </c>
      <c r="F43" s="46">
        <f>'Waste - Water Treatment'!F10*N2O_to_CO2e/1000</f>
        <v>0.61638088958777759</v>
      </c>
      <c r="G43" s="46">
        <f>'Waste - Water Treatment'!G10*N2O_to_CO2e/1000</f>
        <v>0.62209622266577513</v>
      </c>
      <c r="H43" s="46">
        <f>'Waste - Water Treatment'!H10*N2O_to_CO2e/1000</f>
        <v>0.62779832197687735</v>
      </c>
      <c r="I43" s="46">
        <f>'Waste - Water Treatment'!I10*N2O_to_CO2e/1000</f>
        <v>0.63347560797505031</v>
      </c>
      <c r="J43" s="46">
        <f>'Waste - Water Treatment'!J10*N2O_to_CO2e/1000</f>
        <v>0.63910492156822718</v>
      </c>
      <c r="K43" s="46">
        <f>'Waste - Water Treatment'!K10*N2O_to_CO2e/1000</f>
        <v>0.64466972054778826</v>
      </c>
      <c r="L43" s="46">
        <f>'Waste - Water Treatment'!L10*N2O_to_CO2e/1000</f>
        <v>0.65016835069287193</v>
      </c>
      <c r="M43" s="46">
        <f>'Waste - Water Treatment'!M10*N2O_to_CO2e/1000</f>
        <v>0.65561569999123548</v>
      </c>
      <c r="N43" s="46">
        <f>'Waste - Water Treatment'!N10*N2O_to_CO2e/1000</f>
        <v>0.66103823597667</v>
      </c>
      <c r="O43" s="46">
        <f>'Waste - Water Treatment'!O10*N2O_to_CO2e/1000</f>
        <v>0.66641445377797026</v>
      </c>
      <c r="P43" s="46">
        <f>'Waste - Water Treatment'!P10*N2O_to_CO2e/1000</f>
        <v>0.6716798387815206</v>
      </c>
      <c r="Q43" s="46">
        <f>'Waste - Water Treatment'!Q10*N2O_to_CO2e/1000</f>
        <v>0.6768277741038734</v>
      </c>
      <c r="R43" s="46">
        <f>'Waste - Water Treatment'!R10*N2O_to_CO2e/1000</f>
        <v>0.68185329708244258</v>
      </c>
      <c r="S43" s="46">
        <f>'Waste - Water Treatment'!S10*N2O_to_CO2e/1000</f>
        <v>0.68674648239205682</v>
      </c>
      <c r="T43" s="46">
        <f>'Waste - Water Treatment'!T10*N2O_to_CO2e/1000</f>
        <v>0.6914924420449583</v>
      </c>
      <c r="U43" s="46">
        <f>'Waste - Water Treatment'!U10*N2O_to_CO2e/1000</f>
        <v>0.6960713253908043</v>
      </c>
      <c r="V43" s="46">
        <f>'Waste - Water Treatment'!V10*N2O_to_CO2e/1000</f>
        <v>0.70047816976700861</v>
      </c>
      <c r="W43" s="46">
        <f>'Waste - Water Treatment'!W10*N2O_to_CO2e/1000</f>
        <v>0.7046881618606422</v>
      </c>
      <c r="X43" s="46">
        <f>'Waste - Water Treatment'!X10*N2O_to_CO2e/1000</f>
        <v>0.7087079185551528</v>
      </c>
      <c r="Y43" s="46">
        <f>'Waste - Water Treatment'!Y10*N2O_to_CO2e/1000</f>
        <v>0.71253743985054052</v>
      </c>
      <c r="Z43" s="46">
        <f>'Waste - Water Treatment'!Z10*N2O_to_CO2e/1000</f>
        <v>0.71619492217628655</v>
      </c>
      <c r="AA43" s="46">
        <f>'Waste - Water Treatment'!AA10*N2O_to_CO2e/1000</f>
        <v>0.7197002161827345</v>
      </c>
      <c r="AB43" s="46">
        <f>'Waste - Water Treatment'!AB10*N2O_to_CO2e/1000</f>
        <v>0.72369498103536167</v>
      </c>
      <c r="AC43" s="46">
        <f>'Waste - Water Treatment'!AC10*N2O_to_CO2e/1000</f>
        <v>0.72771191921219969</v>
      </c>
      <c r="AD43" s="46">
        <f>'Waste - Water Treatment'!AD10*N2O_to_CO2e/1000</f>
        <v>0.73175115378840372</v>
      </c>
      <c r="AE43" s="46">
        <f>'Waste - Water Treatment'!AE10*N2O_to_CO2e/1000</f>
        <v>0.73581280852227027</v>
      </c>
      <c r="AF43" s="46">
        <f>'Waste - Water Treatment'!AF10*N2O_to_CO2e/1000</f>
        <v>0.73989700785902779</v>
      </c>
      <c r="AG43" s="46">
        <f>'Waste - Water Treatment'!AG10*N2O_to_CO2e/1000</f>
        <v>0.74400387693464987</v>
      </c>
      <c r="AH43" s="46">
        <f>'Waste - Water Treatment'!AH10*N2O_to_CO2e/1000</f>
        <v>0.74813354157968914</v>
      </c>
      <c r="AI43" s="46">
        <f>'Waste - Water Treatment'!AI10*N2O_to_CO2e/1000</f>
        <v>0.75228612832313313</v>
      </c>
      <c r="AJ43" s="46">
        <f>'Waste - Water Treatment'!AJ10*N2O_to_CO2e/1000</f>
        <v>0.7564617643962801</v>
      </c>
      <c r="AK43" s="46">
        <f>'Waste - Water Treatment'!AK10*N2O_to_CO2e/1000</f>
        <v>0.76066057773663831</v>
      </c>
    </row>
    <row r="44" spans="1:37" x14ac:dyDescent="0.25">
      <c r="A44" s="42" t="s">
        <v>847</v>
      </c>
      <c r="B44" s="46">
        <f>'Waste - Landfills'!B4*N2O_to_CO2e/1000</f>
        <v>0.34803560614999995</v>
      </c>
      <c r="C44" s="46">
        <f>'Waste - Landfills'!C4*N2O_to_CO2e/1000</f>
        <v>0.35137172991117666</v>
      </c>
      <c r="D44" s="46">
        <f>'Waste - Landfills'!D4*N2O_to_CO2e/1000</f>
        <v>0.3547592681996411</v>
      </c>
      <c r="E44" s="46">
        <f>'Waste - Landfills'!E4*N2O_to_CO2e/1000</f>
        <v>0.3581186740109103</v>
      </c>
      <c r="F44" s="46">
        <f>'Waste - Landfills'!F4*N2O_to_CO2e/1000</f>
        <v>0.36146449862629226</v>
      </c>
      <c r="G44" s="46">
        <f>'Waste - Landfills'!G4*N2O_to_CO2e/1000</f>
        <v>0.36481614375419735</v>
      </c>
      <c r="H44" s="46">
        <f>'Waste - Landfills'!H4*N2O_to_CO2e/1000</f>
        <v>0.36816002819873822</v>
      </c>
      <c r="I44" s="46">
        <f>'Waste - Landfills'!I4*N2O_to_CO2e/1000</f>
        <v>0.37148936136197136</v>
      </c>
      <c r="J44" s="46">
        <f>'Waste - Landfills'!J4*N2O_to_CO2e/1000</f>
        <v>0.37479056204800931</v>
      </c>
      <c r="K44" s="46">
        <f>'Waste - Landfills'!K4*N2O_to_CO2e/1000</f>
        <v>0.37805392940264676</v>
      </c>
      <c r="L44" s="46">
        <f>'Waste - Landfills'!L4*N2O_to_CO2e/1000</f>
        <v>0.38127849334046338</v>
      </c>
      <c r="M44" s="46">
        <f>'Waste - Landfills'!M4*N2O_to_CO2e/1000</f>
        <v>0.38447298463024382</v>
      </c>
      <c r="N44" s="46">
        <f>'Waste - Landfills'!N4*N2O_to_CO2e/1000</f>
        <v>0.38765292463871648</v>
      </c>
      <c r="O44" s="46">
        <f>'Waste - Landfills'!O4*N2O_to_CO2e/1000</f>
        <v>0.39080570225541444</v>
      </c>
      <c r="P44" s="46">
        <f>'Waste - Landfills'!P4*N2O_to_CO2e/1000</f>
        <v>0.39389348414893743</v>
      </c>
      <c r="Q44" s="46">
        <f>'Waste - Landfills'!Q4*N2O_to_CO2e/1000</f>
        <v>0.39691238997760325</v>
      </c>
      <c r="R44" s="46">
        <f>'Waste - Landfills'!R4*N2O_to_CO2e/1000</f>
        <v>0.39985950948515048</v>
      </c>
      <c r="S44" s="46">
        <f>'Waste - Landfills'!S4*N2O_to_CO2e/1000</f>
        <v>0.40272902215905593</v>
      </c>
      <c r="T44" s="46">
        <f>'Waste - Landfills'!T4*N2O_to_CO2e/1000</f>
        <v>0.40551219723053483</v>
      </c>
      <c r="U44" s="46">
        <f>'Waste - Landfills'!U4*N2O_to_CO2e/1000</f>
        <v>0.408197393674541</v>
      </c>
      <c r="V44" s="46">
        <f>'Waste - Landfills'!V4*N2O_to_CO2e/1000</f>
        <v>0.41078170123481283</v>
      </c>
      <c r="W44" s="46">
        <f>'Waste - Landfills'!W4*N2O_to_CO2e/1000</f>
        <v>0.4132505686300425</v>
      </c>
      <c r="X44" s="46">
        <f>'Waste - Landfills'!X4*N2O_to_CO2e/1000</f>
        <v>0.41560787620191203</v>
      </c>
      <c r="Y44" s="46">
        <f>'Waste - Landfills'!Y4*N2O_to_CO2e/1000</f>
        <v>0.41785362395042153</v>
      </c>
      <c r="Z44" s="46">
        <f>'Waste - Landfills'!Z4*N2O_to_CO2e/1000</f>
        <v>0.41999848281519669</v>
      </c>
      <c r="AA44" s="46">
        <f>'Waste - Landfills'!AA4*N2O_to_CO2e/1000</f>
        <v>0.42205409382128373</v>
      </c>
      <c r="AB44" s="46">
        <f>'Waste - Landfills'!AB4*N2O_to_CO2e/1000</f>
        <v>0.42417977445102484</v>
      </c>
      <c r="AC44" s="46">
        <f>'Waste - Landfills'!AC4*N2O_to_CO2e/1000</f>
        <v>0.42631616109737802</v>
      </c>
      <c r="AD44" s="46">
        <f>'Waste - Landfills'!AD4*N2O_to_CO2e/1000</f>
        <v>0.42846330768132751</v>
      </c>
      <c r="AE44" s="46">
        <f>'Waste - Landfills'!AE4*N2O_to_CO2e/1000</f>
        <v>0.43062126839543136</v>
      </c>
      <c r="AF44" s="46">
        <f>'Waste - Landfills'!AF4*N2O_to_CO2e/1000</f>
        <v>0.43279009770518873</v>
      </c>
      <c r="AG44" s="46">
        <f>'Waste - Landfills'!AG4*N2O_to_CO2e/1000</f>
        <v>0.43496985035041541</v>
      </c>
      <c r="AH44" s="46">
        <f>'Waste - Landfills'!AH4*N2O_to_CO2e/1000</f>
        <v>0.43716058134662455</v>
      </c>
      <c r="AI44" s="46">
        <f>'Waste - Landfills'!AI4*N2O_to_CO2e/1000</f>
        <v>0.43936234598641588</v>
      </c>
      <c r="AJ44" s="46">
        <f>'Waste - Landfills'!AJ4*N2O_to_CO2e/1000</f>
        <v>0.4415751998408709</v>
      </c>
      <c r="AK44" s="46">
        <f>'Waste - Landfills'!AK4*N2O_to_CO2e/1000</f>
        <v>0.44379919876095547</v>
      </c>
    </row>
    <row r="45" spans="1:37" x14ac:dyDescent="0.25">
      <c r="A45" s="40" t="s">
        <v>846</v>
      </c>
      <c r="B45" s="46">
        <f>'Waste - Water Treatment'!B9*CH4_to_CO2e/1000</f>
        <v>0.42568205735664005</v>
      </c>
      <c r="C45" s="46">
        <f>'Waste - Water Treatment'!C9*CH4_to_CO2e/1000</f>
        <v>0.42976246752490888</v>
      </c>
      <c r="D45" s="46">
        <f>'Waste - Water Treatment'!D9*CH4_to_CO2e/1000</f>
        <v>0.43390576275828913</v>
      </c>
      <c r="E45" s="46">
        <f>'Waste - Water Treatment'!E9*CH4_to_CO2e/1000</f>
        <v>0.43801464918245747</v>
      </c>
      <c r="F45" s="46">
        <f>'Waste - Water Treatment'!F9*CH4_to_CO2e/1000</f>
        <v>0.44210692445735111</v>
      </c>
      <c r="G45" s="46">
        <f>'Waste - Water Treatment'!G9*CH4_to_CO2e/1000</f>
        <v>0.44620631879621958</v>
      </c>
      <c r="H45" s="46">
        <f>'Waste - Water Treatment'!H9*CH4_to_CO2e/1000</f>
        <v>0.45029622104978828</v>
      </c>
      <c r="I45" s="46">
        <f>'Waste - Water Treatment'!I9*CH4_to_CO2e/1000</f>
        <v>0.45436832564341978</v>
      </c>
      <c r="J45" s="46">
        <f>'Waste - Water Treatment'!J9*CH4_to_CO2e/1000</f>
        <v>0.45840602142783943</v>
      </c>
      <c r="K45" s="46">
        <f>'Waste - Water Treatment'!K9*CH4_to_CO2e/1000</f>
        <v>0.46239744329642218</v>
      </c>
      <c r="L45" s="46">
        <f>'Waste - Water Treatment'!L9*CH4_to_CO2e/1000</f>
        <v>0.46634140473850577</v>
      </c>
      <c r="M45" s="46">
        <f>'Waste - Water Treatment'!M9*CH4_to_CO2e/1000</f>
        <v>0.47024858435005257</v>
      </c>
      <c r="N45" s="46">
        <f>'Waste - Water Treatment'!N9*CH4_to_CO2e/1000</f>
        <v>0.47413796630166211</v>
      </c>
      <c r="O45" s="46">
        <f>'Waste - Water Treatment'!O9*CH4_to_CO2e/1000</f>
        <v>0.47799412595472224</v>
      </c>
      <c r="P45" s="46">
        <f>'Waste - Water Treatment'!P9*CH4_to_CO2e/1000</f>
        <v>0.48177078939339629</v>
      </c>
      <c r="Q45" s="46">
        <f>'Waste - Water Treatment'!Q9*CH4_to_CO2e/1000</f>
        <v>0.48546321057503411</v>
      </c>
      <c r="R45" s="46">
        <f>'Waste - Water Treatment'!R9*CH4_to_CO2e/1000</f>
        <v>0.48906782996764847</v>
      </c>
      <c r="S45" s="46">
        <f>'Waste - Water Treatment'!S9*CH4_to_CO2e/1000</f>
        <v>0.49257752850726449</v>
      </c>
      <c r="T45" s="46">
        <f>'Waste - Water Treatment'!T9*CH4_to_CO2e/1000</f>
        <v>0.49598162759791975</v>
      </c>
      <c r="U45" s="46">
        <f>'Waste - Water Treatment'!U9*CH4_to_CO2e/1000</f>
        <v>0.49926588911166447</v>
      </c>
      <c r="V45" s="46">
        <f>'Waste - Water Treatment'!V9*CH4_to_CO2e/1000</f>
        <v>0.50242675351651134</v>
      </c>
      <c r="W45" s="46">
        <f>'Waste - Water Treatment'!W9*CH4_to_CO2e/1000</f>
        <v>0.50544642315252308</v>
      </c>
      <c r="X45" s="46">
        <f>'Waste - Water Treatment'!X9*CH4_to_CO2e/1000</f>
        <v>0.50832964406234948</v>
      </c>
      <c r="Y45" s="46">
        <f>'Waste - Water Treatment'!Y9*CH4_to_CO2e/1000</f>
        <v>0.51107641624599076</v>
      </c>
      <c r="Z45" s="46">
        <f>'Waste - Water Treatment'!Z9*CH4_to_CO2e/1000</f>
        <v>0.51369979132073407</v>
      </c>
      <c r="AA45" s="46">
        <f>'Waste - Water Treatment'!AA9*CH4_to_CO2e/1000</f>
        <v>0.51621400741452927</v>
      </c>
      <c r="AB45" s="46">
        <f>'Waste - Water Treatment'!AB9*CH4_to_CO2e/1000</f>
        <v>0.51907930261228696</v>
      </c>
      <c r="AC45" s="46">
        <f>'Waste - Water Treatment'!AC9*CH4_to_CO2e/1000</f>
        <v>0.52196050190495935</v>
      </c>
      <c r="AD45" s="46">
        <f>'Waste - Water Treatment'!AD9*CH4_to_CO2e/1000</f>
        <v>0.52485769356974588</v>
      </c>
      <c r="AE45" s="46">
        <f>'Waste - Water Treatment'!AE9*CH4_to_CO2e/1000</f>
        <v>0.52777096637383658</v>
      </c>
      <c r="AF45" s="46">
        <f>'Waste - Water Treatment'!AF9*CH4_to_CO2e/1000</f>
        <v>0.53070040957713283</v>
      </c>
      <c r="AG45" s="46">
        <f>'Waste - Water Treatment'!AG9*CH4_to_CO2e/1000</f>
        <v>0.5336461129349811</v>
      </c>
      <c r="AH45" s="46">
        <f>'Waste - Water Treatment'!AH9*CH4_to_CO2e/1000</f>
        <v>0.53660816670092393</v>
      </c>
      <c r="AI45" s="46">
        <f>'Waste - Water Treatment'!AI9*CH4_to_CO2e/1000</f>
        <v>0.53958666162946423</v>
      </c>
      <c r="AJ45" s="46">
        <f>'Waste - Water Treatment'!AJ9*CH4_to_CO2e/1000</f>
        <v>0.54258168897884684</v>
      </c>
      <c r="AK45" s="46">
        <f>'Waste - Water Treatment'!AK9*CH4_to_CO2e/1000</f>
        <v>0.54559334051385422</v>
      </c>
    </row>
    <row r="46" spans="1:37" x14ac:dyDescent="0.25">
      <c r="A46" s="40" t="s">
        <v>848</v>
      </c>
      <c r="B46" s="46">
        <f>'Waste - Water Treatment'!B14*CH4_to_CO2e/1000</f>
        <v>1.5596000000000002E-2</v>
      </c>
      <c r="C46" s="46">
        <f>'Waste - Water Treatment'!C14*CH4_to_CO2e/1000</f>
        <v>1.4881373900293256E-2</v>
      </c>
      <c r="D46" s="46">
        <f>'Waste - Water Treatment'!D14*CH4_to_CO2e/1000</f>
        <v>1.4199492764832606E-2</v>
      </c>
      <c r="E46" s="46">
        <f>'Waste - Water Treatment'!E14*CH4_to_CO2e/1000</f>
        <v>1.3548856182866302E-2</v>
      </c>
      <c r="F46" s="46">
        <f>'Waste - Water Treatment'!F14*CH4_to_CO2e/1000</f>
        <v>1.292803249413526E-2</v>
      </c>
      <c r="G46" s="46">
        <f>'Waste - Water Treatment'!G14*CH4_to_CO2e/1000</f>
        <v>1.2335655638648855E-2</v>
      </c>
      <c r="H46" s="46">
        <f>'Waste - Water Treatment'!H14*CH4_to_CO2e/1000</f>
        <v>1.1770422150807541E-2</v>
      </c>
      <c r="I46" s="46">
        <f>'Waste - Water Treatment'!I14*CH4_to_CO2e/1000</f>
        <v>1.1231088291258075E-2</v>
      </c>
      <c r="J46" s="46">
        <f>'Waste - Water Treatment'!J14*CH4_to_CO2e/1000</f>
        <v>1.0716467310170371E-2</v>
      </c>
      <c r="K46" s="46">
        <f>'Waste - Water Treatment'!K14*CH4_to_CO2e/1000</f>
        <v>1.022542683591403E-2</v>
      </c>
      <c r="L46" s="46">
        <f>'Waste - Water Treatment'!L14*CH4_to_CO2e/1000</f>
        <v>9.7568863833886448E-3</v>
      </c>
      <c r="M46" s="46">
        <f>'Waste - Water Treatment'!M14*CH4_to_CO2e/1000</f>
        <v>9.3098149765251641E-3</v>
      </c>
      <c r="N46" s="46">
        <f>'Waste - Water Treatment'!N14*CH4_to_CO2e/1000</f>
        <v>8.8832288797269059E-3</v>
      </c>
      <c r="O46" s="46">
        <f>'Waste - Water Treatment'!O14*CH4_to_CO2e/1000</f>
        <v>8.4761894332584815E-3</v>
      </c>
      <c r="P46" s="46">
        <f>'Waste - Water Treatment'!P14*CH4_to_CO2e/1000</f>
        <v>8.087800987819584E-3</v>
      </c>
      <c r="Q46" s="46">
        <f>'Waste - Water Treatment'!Q14*CH4_to_CO2e/1000</f>
        <v>7.7172089337589379E-3</v>
      </c>
      <c r="R46" s="46">
        <f>'Waste - Water Treatment'!R14*CH4_to_CO2e/1000</f>
        <v>7.3635978205918301E-3</v>
      </c>
      <c r="S46" s="46">
        <f>'Waste - Water Treatment'!S14*CH4_to_CO2e/1000</f>
        <v>7.0261895626834818E-3</v>
      </c>
      <c r="T46" s="46">
        <f>'Waste - Water Treatment'!T14*CH4_to_CO2e/1000</f>
        <v>6.704241727149964E-3</v>
      </c>
      <c r="U46" s="46">
        <f>'Waste - Water Treatment'!U14*CH4_to_CO2e/1000</f>
        <v>6.3970459002094414E-3</v>
      </c>
      <c r="V46" s="46">
        <f>'Waste - Water Treatment'!V14*CH4_to_CO2e/1000</f>
        <v>6.1039261283889947E-3</v>
      </c>
      <c r="W46" s="46">
        <f>'Waste - Water Treatment'!W14*CH4_to_CO2e/1000</f>
        <v>5.8242374311570947E-3</v>
      </c>
      <c r="X46" s="46">
        <f>'Waste - Water Treatment'!X14*CH4_to_CO2e/1000</f>
        <v>5.557364381708914E-3</v>
      </c>
      <c r="Y46" s="46">
        <f>'Waste - Water Treatment'!Y14*CH4_to_CO2e/1000</f>
        <v>5.3027197527816356E-3</v>
      </c>
      <c r="Z46" s="46">
        <f>'Waste - Water Treatment'!Z14*CH4_to_CO2e/1000</f>
        <v>5.0597432245200139E-3</v>
      </c>
      <c r="AA46" s="46">
        <f>'Waste - Water Treatment'!AA14*CH4_to_CO2e/1000</f>
        <v>4.8279001515489726E-3</v>
      </c>
      <c r="AB46" s="46">
        <f>'Waste - Water Treatment'!AB14*CH4_to_CO2e/1000</f>
        <v>4.6066803865403147E-3</v>
      </c>
      <c r="AC46" s="46">
        <f>'Waste - Water Treatment'!AC14*CH4_to_CO2e/1000</f>
        <v>4.3955971576849114E-3</v>
      </c>
      <c r="AD46" s="46">
        <f>'Waste - Water Treatment'!AD14*CH4_to_CO2e/1000</f>
        <v>4.1941859976003769E-3</v>
      </c>
      <c r="AE46" s="46">
        <f>'Waste - Water Treatment'!AE14*CH4_to_CO2e/1000</f>
        <v>4.0020037213173675E-3</v>
      </c>
      <c r="AF46" s="46">
        <f>'Waste - Water Treatment'!AF14*CH4_to_CO2e/1000</f>
        <v>3.8186274510957148E-3</v>
      </c>
      <c r="AG46" s="46">
        <f>'Waste - Water Treatment'!AG14*CH4_to_CO2e/1000</f>
        <v>3.6436536859245409E-3</v>
      </c>
      <c r="AH46" s="46">
        <f>'Waste - Water Treatment'!AH14*CH4_to_CO2e/1000</f>
        <v>3.4766974136589369E-3</v>
      </c>
      <c r="AI46" s="46">
        <f>'Waste - Water Treatment'!AI14*CH4_to_CO2e/1000</f>
        <v>3.3173912638395208E-3</v>
      </c>
      <c r="AJ46" s="46">
        <f>'Waste - Water Treatment'!AJ14*CH4_to_CO2e/1000</f>
        <v>3.1653846993307455E-3</v>
      </c>
      <c r="AK46" s="46">
        <f>'Waste - Water Treatment'!AK14*CH4_to_CO2e/1000</f>
        <v>3.0203432449992414E-3</v>
      </c>
    </row>
    <row r="47" spans="1:37" x14ac:dyDescent="0.25">
      <c r="A47" s="40" t="s">
        <v>849</v>
      </c>
      <c r="B47" s="46">
        <f>'Waste - Landfills'!B3*CH4_to_CO2e/1000</f>
        <v>25.417034910679998</v>
      </c>
      <c r="C47" s="46">
        <f>'Waste - Landfills'!C3*CH4_to_CO2e/1000</f>
        <v>25.660671977134719</v>
      </c>
      <c r="D47" s="46">
        <f>'Waste - Landfills'!D3*CH4_to_CO2e/1000</f>
        <v>25.908063845718583</v>
      </c>
      <c r="E47" s="46">
        <f>'Waste - Landfills'!E3*CH4_to_CO2e/1000</f>
        <v>26.153401199929895</v>
      </c>
      <c r="F47" s="46">
        <f>'Waste - Landfills'!F3*CH4_to_CO2e/1000</f>
        <v>26.397746719616531</v>
      </c>
      <c r="G47" s="46">
        <f>'Waste - Landfills'!G3*CH4_to_CO2e/1000</f>
        <v>26.642517311242315</v>
      </c>
      <c r="H47" s="46">
        <f>'Waste - Landfills'!H3*CH4_to_CO2e/1000</f>
        <v>26.886721140282575</v>
      </c>
      <c r="I47" s="46">
        <f>'Waste - Landfills'!I3*CH4_to_CO2e/1000</f>
        <v>27.129862289474961</v>
      </c>
      <c r="J47" s="46">
        <f>'Waste - Landfills'!J3*CH4_to_CO2e/1000</f>
        <v>27.370948924294801</v>
      </c>
      <c r="K47" s="46">
        <f>'Waste - Landfills'!K3*CH4_to_CO2e/1000</f>
        <v>27.609272591510173</v>
      </c>
      <c r="L47" s="46">
        <f>'Waste - Landfills'!L3*CH4_to_CO2e/1000</f>
        <v>27.844762445797912</v>
      </c>
      <c r="M47" s="46">
        <f>'Waste - Landfills'!M3*CH4_to_CO2e/1000</f>
        <v>28.078056095066707</v>
      </c>
      <c r="N47" s="46">
        <f>'Waste - Landfills'!N3*CH4_to_CO2e/1000</f>
        <v>28.310287064487643</v>
      </c>
      <c r="O47" s="46">
        <f>'Waste - Landfills'!O3*CH4_to_CO2e/1000</f>
        <v>28.540534364859212</v>
      </c>
      <c r="P47" s="46">
        <f>'Waste - Landfills'!P3*CH4_to_CO2e/1000</f>
        <v>28.766035028576979</v>
      </c>
      <c r="Q47" s="46">
        <f>'Waste - Landfills'!Q3*CH4_to_CO2e/1000</f>
        <v>28.986505674348166</v>
      </c>
      <c r="R47" s="46">
        <f>'Waste - Landfills'!R3*CH4_to_CO2e/1000</f>
        <v>29.201733766203201</v>
      </c>
      <c r="S47" s="46">
        <f>'Waste - Landfills'!S3*CH4_to_CO2e/1000</f>
        <v>29.411294232202927</v>
      </c>
      <c r="T47" s="46">
        <f>'Waste - Landfills'!T3*CH4_to_CO2e/1000</f>
        <v>29.614549464438635</v>
      </c>
      <c r="U47" s="46">
        <f>'Waste - Landfills'!U3*CH4_to_CO2e/1000</f>
        <v>29.810649319032024</v>
      </c>
      <c r="V47" s="46">
        <f>'Waste - Landfills'!V3*CH4_to_CO2e/1000</f>
        <v>29.999381260013532</v>
      </c>
      <c r="W47" s="46">
        <f>'Waste - Landfills'!W3*CH4_to_CO2e/1000</f>
        <v>30.179682607535277</v>
      </c>
      <c r="X47" s="46">
        <f>'Waste - Landfills'!X3*CH4_to_CO2e/1000</f>
        <v>30.351836742890018</v>
      </c>
      <c r="Y47" s="46">
        <f>'Waste - Landfills'!Y3*CH4_to_CO2e/1000</f>
        <v>30.515843666077778</v>
      </c>
      <c r="Z47" s="46">
        <f>'Waste - Landfills'!Z3*CH4_to_CO2e/1000</f>
        <v>30.67248267565364</v>
      </c>
      <c r="AA47" s="46">
        <f>'Waste - Landfills'!AA3*CH4_to_CO2e/1000</f>
        <v>30.822603915495911</v>
      </c>
      <c r="AB47" s="46">
        <f>'Waste - Landfills'!AB3*CH4_to_CO2e/1000</f>
        <v>30.977842338865159</v>
      </c>
      <c r="AC47" s="46">
        <f>'Waste - Landfills'!AC3*CH4_to_CO2e/1000</f>
        <v>31.133862622461276</v>
      </c>
      <c r="AD47" s="46">
        <f>'Waste - Landfills'!AD3*CH4_to_CO2e/1000</f>
        <v>31.290668704132905</v>
      </c>
      <c r="AE47" s="46">
        <f>'Waste - Landfills'!AE3*CH4_to_CO2e/1000</f>
        <v>31.448264541561716</v>
      </c>
      <c r="AF47" s="46">
        <f>'Waste - Landfills'!AF3*CH4_to_CO2e/1000</f>
        <v>31.606654112362275</v>
      </c>
      <c r="AG47" s="46">
        <f>'Waste - Landfills'!AG3*CH4_to_CO2e/1000</f>
        <v>31.765841414182464</v>
      </c>
      <c r="AH47" s="46">
        <f>'Waste - Landfills'!AH3*CH4_to_CO2e/1000</f>
        <v>31.92583046480437</v>
      </c>
      <c r="AI47" s="46">
        <f>'Waste - Landfills'!AI3*CH4_to_CO2e/1000</f>
        <v>32.086625302245679</v>
      </c>
      <c r="AJ47" s="46">
        <f>'Waste - Landfills'!AJ3*CH4_to_CO2e/1000</f>
        <v>32.248229984861609</v>
      </c>
      <c r="AK47" s="46">
        <f>'Waste - Landfills'!AK3*CH4_to_CO2e/1000</f>
        <v>32.410648591447341</v>
      </c>
    </row>
    <row r="48" spans="1:37" x14ac:dyDescent="0.25">
      <c r="A48" s="40"/>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row>
    <row r="49" spans="1:37" x14ac:dyDescent="0.25">
      <c r="A49" s="50" t="s">
        <v>26</v>
      </c>
      <c r="B49" s="46"/>
      <c r="C49" s="46"/>
      <c r="D49" s="46"/>
      <c r="E49" s="46"/>
      <c r="F49" s="46"/>
      <c r="G49" s="46"/>
      <c r="H49" s="46"/>
      <c r="I49" s="46"/>
      <c r="J49" s="46"/>
    </row>
    <row r="50" spans="1:37" x14ac:dyDescent="0.25">
      <c r="A50" s="51" t="s">
        <v>850</v>
      </c>
      <c r="B50" s="46">
        <f>B62</f>
        <v>2.6763514213340698</v>
      </c>
      <c r="C50" s="46">
        <f t="shared" ref="C50:AK50" si="11">C62</f>
        <v>2.8107435856304477</v>
      </c>
      <c r="D50" s="46">
        <f t="shared" si="11"/>
        <v>2.9451357499268256</v>
      </c>
      <c r="E50" s="46">
        <f t="shared" si="11"/>
        <v>3.0795279142232035</v>
      </c>
      <c r="F50" s="46">
        <f t="shared" si="11"/>
        <v>3.2139200785195814</v>
      </c>
      <c r="G50" s="46">
        <f t="shared" si="11"/>
        <v>3.3483122428159589</v>
      </c>
      <c r="H50" s="46">
        <f t="shared" si="11"/>
        <v>3.4827044071123368</v>
      </c>
      <c r="I50" s="46">
        <f t="shared" si="11"/>
        <v>3.6170965714087147</v>
      </c>
      <c r="J50" s="46">
        <f t="shared" si="11"/>
        <v>3.7514887357050926</v>
      </c>
      <c r="K50" s="46">
        <f t="shared" si="11"/>
        <v>3.8858809000014705</v>
      </c>
      <c r="L50" s="46">
        <f t="shared" si="11"/>
        <v>4.0202730642978484</v>
      </c>
      <c r="M50" s="46">
        <f t="shared" si="11"/>
        <v>4.1546652285942258</v>
      </c>
      <c r="N50" s="46">
        <f t="shared" si="11"/>
        <v>4.2890573928906033</v>
      </c>
      <c r="O50" s="46">
        <f t="shared" si="11"/>
        <v>4.4234495571869807</v>
      </c>
      <c r="P50" s="46">
        <f t="shared" si="11"/>
        <v>4.5578417214833591</v>
      </c>
      <c r="Q50" s="46">
        <f t="shared" si="11"/>
        <v>4.6922338857797365</v>
      </c>
      <c r="R50" s="46">
        <f t="shared" si="11"/>
        <v>4.8266260500761149</v>
      </c>
      <c r="S50" s="46">
        <f t="shared" si="11"/>
        <v>4.9610182143724924</v>
      </c>
      <c r="T50" s="46">
        <f t="shared" si="11"/>
        <v>5.0954103786688698</v>
      </c>
      <c r="U50" s="46">
        <f t="shared" si="11"/>
        <v>5.2298025429652482</v>
      </c>
      <c r="V50" s="46">
        <f t="shared" si="11"/>
        <v>5.3641947072616256</v>
      </c>
      <c r="W50" s="46">
        <f t="shared" si="11"/>
        <v>5.498586871558004</v>
      </c>
      <c r="X50" s="46">
        <f t="shared" si="11"/>
        <v>5.6329790358543814</v>
      </c>
      <c r="Y50" s="46">
        <f t="shared" si="11"/>
        <v>5.7673712001507589</v>
      </c>
      <c r="Z50" s="46">
        <f t="shared" si="11"/>
        <v>5.9017633644471372</v>
      </c>
      <c r="AA50" s="46">
        <f t="shared" si="11"/>
        <v>6.0361555287435147</v>
      </c>
      <c r="AB50" s="46">
        <f t="shared" si="11"/>
        <v>6.170547693039893</v>
      </c>
      <c r="AC50" s="46">
        <f t="shared" si="11"/>
        <v>6.3049398573362705</v>
      </c>
      <c r="AD50" s="46">
        <f t="shared" si="11"/>
        <v>6.439332021632648</v>
      </c>
      <c r="AE50" s="46">
        <f t="shared" si="11"/>
        <v>6.5737241859290263</v>
      </c>
      <c r="AF50" s="46">
        <f t="shared" si="11"/>
        <v>6.7081163502254038</v>
      </c>
      <c r="AG50" s="46">
        <f t="shared" si="11"/>
        <v>6.8425085145217821</v>
      </c>
      <c r="AH50" s="46">
        <f t="shared" si="11"/>
        <v>6.9769006788181596</v>
      </c>
      <c r="AI50" s="46">
        <f t="shared" si="11"/>
        <v>7.111292843114537</v>
      </c>
      <c r="AJ50" s="46">
        <f t="shared" si="11"/>
        <v>7.2456850074109154</v>
      </c>
      <c r="AK50" s="46">
        <f t="shared" si="11"/>
        <v>7.3800771717072928</v>
      </c>
    </row>
    <row r="51" spans="1:37" x14ac:dyDescent="0.25">
      <c r="A51" s="51" t="s">
        <v>135</v>
      </c>
      <c r="B51" s="45">
        <f>SUM(B53,B54,B55,B59,B61)</f>
        <v>27.336888454565631</v>
      </c>
      <c r="C51" s="45">
        <f t="shared" ref="C51:AK51" si="12">SUM(C53,C54,C55,C59,C61)</f>
        <v>27.433495703846916</v>
      </c>
      <c r="D51" s="45">
        <f t="shared" si="12"/>
        <v>27.893427561326305</v>
      </c>
      <c r="E51" s="45">
        <f t="shared" si="12"/>
        <v>28.325198046529508</v>
      </c>
      <c r="F51" s="45">
        <f t="shared" si="12"/>
        <v>28.709365842124257</v>
      </c>
      <c r="G51" s="45">
        <f t="shared" si="12"/>
        <v>29.141975117579655</v>
      </c>
      <c r="H51" s="45">
        <f t="shared" si="12"/>
        <v>29.58083464860589</v>
      </c>
      <c r="I51" s="45">
        <f t="shared" si="12"/>
        <v>30.002904118262549</v>
      </c>
      <c r="J51" s="45">
        <f t="shared" si="12"/>
        <v>30.546129024907525</v>
      </c>
      <c r="K51" s="45">
        <f t="shared" si="12"/>
        <v>31.093173282493098</v>
      </c>
      <c r="L51" s="45">
        <f t="shared" si="12"/>
        <v>31.641596096020393</v>
      </c>
      <c r="M51" s="45">
        <f t="shared" si="12"/>
        <v>32.193986329271077</v>
      </c>
      <c r="N51" s="45">
        <f t="shared" si="12"/>
        <v>32.750420155576798</v>
      </c>
      <c r="O51" s="45">
        <f t="shared" si="12"/>
        <v>33.310975210791803</v>
      </c>
      <c r="P51" s="45">
        <f t="shared" si="12"/>
        <v>33.875730621373634</v>
      </c>
      <c r="Q51" s="45">
        <f t="shared" si="12"/>
        <v>34.443192985210054</v>
      </c>
      <c r="R51" s="45">
        <f t="shared" si="12"/>
        <v>35.015018544165088</v>
      </c>
      <c r="S51" s="45">
        <f t="shared" si="12"/>
        <v>35.59129107043178</v>
      </c>
      <c r="T51" s="45">
        <f t="shared" si="12"/>
        <v>36.172095944623919</v>
      </c>
      <c r="U51" s="45">
        <f t="shared" si="12"/>
        <v>36.757520186658027</v>
      </c>
      <c r="V51" s="45">
        <f t="shared" si="12"/>
        <v>37.347489615906042</v>
      </c>
      <c r="W51" s="45">
        <f t="shared" si="12"/>
        <v>37.942257497240533</v>
      </c>
      <c r="X51" s="45">
        <f t="shared" si="12"/>
        <v>38.541915959763244</v>
      </c>
      <c r="Y51" s="45">
        <f t="shared" si="12"/>
        <v>39.146558901449822</v>
      </c>
      <c r="Z51" s="45">
        <f t="shared" si="12"/>
        <v>39.756282023112547</v>
      </c>
      <c r="AA51" s="45">
        <f t="shared" si="12"/>
        <v>40.371600401203288</v>
      </c>
      <c r="AB51" s="45">
        <f t="shared" si="12"/>
        <v>40.992195908526391</v>
      </c>
      <c r="AC51" s="45">
        <f t="shared" si="12"/>
        <v>41.618169864761903</v>
      </c>
      <c r="AD51" s="45">
        <f t="shared" si="12"/>
        <v>42.249625534923112</v>
      </c>
      <c r="AE51" s="45">
        <f t="shared" si="12"/>
        <v>42.886668166707295</v>
      </c>
      <c r="AF51" s="45">
        <f t="shared" si="12"/>
        <v>43.529454600211785</v>
      </c>
      <c r="AG51" s="45">
        <f t="shared" si="12"/>
        <v>44.178044591787469</v>
      </c>
      <c r="AH51" s="45">
        <f t="shared" si="12"/>
        <v>44.832549568527014</v>
      </c>
      <c r="AI51" s="45">
        <f t="shared" si="12"/>
        <v>45.493083096919676</v>
      </c>
      <c r="AJ51" s="45">
        <f t="shared" si="12"/>
        <v>46.159760923927315</v>
      </c>
      <c r="AK51" s="45">
        <f t="shared" si="12"/>
        <v>46.832701018849846</v>
      </c>
    </row>
    <row r="52" spans="1:37" x14ac:dyDescent="0.25">
      <c r="A52" s="51" t="s">
        <v>136</v>
      </c>
      <c r="B52" s="45">
        <f>SUM(B56:B58,B60)</f>
        <v>32.256032168809931</v>
      </c>
      <c r="C52" s="45">
        <f t="shared" ref="C52:AK52" si="13">SUM(C56:C58,C60)</f>
        <v>32.767568912344274</v>
      </c>
      <c r="D52" s="45">
        <f t="shared" si="13"/>
        <v>33.279105655878617</v>
      </c>
      <c r="E52" s="45">
        <f t="shared" si="13"/>
        <v>33.790642399412953</v>
      </c>
      <c r="F52" s="45">
        <f t="shared" si="13"/>
        <v>34.302179142947288</v>
      </c>
      <c r="G52" s="45">
        <f t="shared" si="13"/>
        <v>34.797662387576281</v>
      </c>
      <c r="H52" s="45">
        <f t="shared" si="13"/>
        <v>35.293145632205281</v>
      </c>
      <c r="I52" s="45">
        <f t="shared" si="13"/>
        <v>35.788628876834281</v>
      </c>
      <c r="J52" s="45">
        <f t="shared" si="13"/>
        <v>36.284112121463266</v>
      </c>
      <c r="K52" s="45">
        <f t="shared" si="13"/>
        <v>36.779595366092266</v>
      </c>
      <c r="L52" s="45">
        <f t="shared" si="13"/>
        <v>37.244107850640233</v>
      </c>
      <c r="M52" s="45">
        <f t="shared" si="13"/>
        <v>37.708620335188165</v>
      </c>
      <c r="N52" s="45">
        <f t="shared" si="13"/>
        <v>38.173132819736118</v>
      </c>
      <c r="O52" s="45">
        <f t="shared" si="13"/>
        <v>38.637645304284071</v>
      </c>
      <c r="P52" s="45">
        <f t="shared" si="13"/>
        <v>39.10215778883201</v>
      </c>
      <c r="Q52" s="45">
        <f t="shared" si="13"/>
        <v>39.547412060199989</v>
      </c>
      <c r="R52" s="45">
        <f t="shared" si="13"/>
        <v>39.99266633156796</v>
      </c>
      <c r="S52" s="45">
        <f t="shared" si="13"/>
        <v>40.437920602935925</v>
      </c>
      <c r="T52" s="45">
        <f t="shared" si="13"/>
        <v>40.883174874303883</v>
      </c>
      <c r="U52" s="45">
        <f t="shared" si="13"/>
        <v>41.328429145671862</v>
      </c>
      <c r="V52" s="45">
        <f t="shared" si="13"/>
        <v>41.77187578873658</v>
      </c>
      <c r="W52" s="45">
        <f t="shared" si="13"/>
        <v>42.21532243180129</v>
      </c>
      <c r="X52" s="45">
        <f t="shared" si="13"/>
        <v>42.658769074866001</v>
      </c>
      <c r="Y52" s="45">
        <f t="shared" si="13"/>
        <v>43.102215717930697</v>
      </c>
      <c r="Z52" s="45">
        <f t="shared" si="13"/>
        <v>43.545662360995422</v>
      </c>
      <c r="AA52" s="45">
        <f t="shared" si="13"/>
        <v>43.993754302909537</v>
      </c>
      <c r="AB52" s="45">
        <f t="shared" si="13"/>
        <v>44.441846244823665</v>
      </c>
      <c r="AC52" s="45">
        <f t="shared" si="13"/>
        <v>44.889938186737787</v>
      </c>
      <c r="AD52" s="45">
        <f t="shared" si="13"/>
        <v>45.338030128651916</v>
      </c>
      <c r="AE52" s="45">
        <f t="shared" si="13"/>
        <v>45.786122070566023</v>
      </c>
      <c r="AF52" s="45">
        <f t="shared" si="13"/>
        <v>46.234684832969307</v>
      </c>
      <c r="AG52" s="45">
        <f t="shared" si="13"/>
        <v>46.683247595372585</v>
      </c>
      <c r="AH52" s="45">
        <f t="shared" si="13"/>
        <v>47.131810357775862</v>
      </c>
      <c r="AI52" s="45">
        <f t="shared" si="13"/>
        <v>47.580373120179139</v>
      </c>
      <c r="AJ52" s="45">
        <f t="shared" si="13"/>
        <v>48.028935882582417</v>
      </c>
      <c r="AK52" s="45">
        <f t="shared" si="13"/>
        <v>48.47749864498568</v>
      </c>
    </row>
    <row r="53" spans="1:37" x14ac:dyDescent="0.25">
      <c r="A53" s="38" t="s">
        <v>173</v>
      </c>
      <c r="B53" s="46">
        <f>'Agriculture - Soil Mgmt'!B100*N2O_to_CO2e/1000</f>
        <v>14.003868214285745</v>
      </c>
      <c r="C53" s="46">
        <f>'Agriculture - Soil Mgmt'!C100*N2O_to_CO2e/1000</f>
        <v>14.307725732142837</v>
      </c>
      <c r="D53" s="46">
        <f>'Agriculture - Soil Mgmt'!D100*N2O_to_CO2e/1000</f>
        <v>14.611583250000002</v>
      </c>
      <c r="E53" s="46">
        <f>'Agriculture - Soil Mgmt'!E100*N2O_to_CO2e/1000</f>
        <v>14.915440767857172</v>
      </c>
      <c r="F53" s="46">
        <f>'Agriculture - Soil Mgmt'!F100*N2O_to_CO2e/1000</f>
        <v>15.219298285714261</v>
      </c>
      <c r="G53" s="46">
        <f>'Agriculture - Soil Mgmt'!G100*N2O_to_CO2e/1000</f>
        <v>15.523155803571429</v>
      </c>
      <c r="H53" s="46">
        <f>'Agriculture - Soil Mgmt'!H100*N2O_to_CO2e/1000</f>
        <v>15.827013321428597</v>
      </c>
      <c r="I53" s="46">
        <f>'Agriculture - Soil Mgmt'!I100*N2O_to_CO2e/1000</f>
        <v>16.130870839285684</v>
      </c>
      <c r="J53" s="46">
        <f>'Agriculture - Soil Mgmt'!J100*N2O_to_CO2e/1000</f>
        <v>16.434728357142852</v>
      </c>
      <c r="K53" s="46">
        <f>'Agriculture - Soil Mgmt'!K100*N2O_to_CO2e/1000</f>
        <v>16.738585875000023</v>
      </c>
      <c r="L53" s="46">
        <f>'Agriculture - Soil Mgmt'!L100*N2O_to_CO2e/1000</f>
        <v>17.042443392857113</v>
      </c>
      <c r="M53" s="46">
        <f>'Agriculture - Soil Mgmt'!M100*N2O_to_CO2e/1000</f>
        <v>17.346300910714284</v>
      </c>
      <c r="N53" s="46">
        <f>'Agriculture - Soil Mgmt'!N100*N2O_to_CO2e/1000</f>
        <v>17.650158428571444</v>
      </c>
      <c r="O53" s="46">
        <f>'Agriculture - Soil Mgmt'!O100*N2O_to_CO2e/1000</f>
        <v>17.954015946428534</v>
      </c>
      <c r="P53" s="46">
        <f>'Agriculture - Soil Mgmt'!P100*N2O_to_CO2e/1000</f>
        <v>18.257873464285705</v>
      </c>
      <c r="Q53" s="46">
        <f>'Agriculture - Soil Mgmt'!Q100*N2O_to_CO2e/1000</f>
        <v>18.561730982142873</v>
      </c>
      <c r="R53" s="46">
        <f>'Agriculture - Soil Mgmt'!R100*N2O_to_CO2e/1000</f>
        <v>18.865588499999962</v>
      </c>
      <c r="S53" s="46">
        <f>'Agriculture - Soil Mgmt'!S100*N2O_to_CO2e/1000</f>
        <v>19.169446017857133</v>
      </c>
      <c r="T53" s="46">
        <f>'Agriculture - Soil Mgmt'!T100*N2O_to_CO2e/1000</f>
        <v>19.473303535714301</v>
      </c>
      <c r="U53" s="46">
        <f>'Agriculture - Soil Mgmt'!U100*N2O_to_CO2e/1000</f>
        <v>19.777161053571387</v>
      </c>
      <c r="V53" s="46">
        <f>'Agriculture - Soil Mgmt'!V100*N2O_to_CO2e/1000</f>
        <v>20.081018571428558</v>
      </c>
      <c r="W53" s="46">
        <f>'Agriculture - Soil Mgmt'!W100*N2O_to_CO2e/1000</f>
        <v>20.384876089285726</v>
      </c>
      <c r="X53" s="46">
        <f>'Agriculture - Soil Mgmt'!X100*N2O_to_CO2e/1000</f>
        <v>20.68873360714289</v>
      </c>
      <c r="Y53" s="46">
        <f>'Agriculture - Soil Mgmt'!Y100*N2O_to_CO2e/1000</f>
        <v>20.992591124999979</v>
      </c>
      <c r="Z53" s="46">
        <f>'Agriculture - Soil Mgmt'!Z100*N2O_to_CO2e/1000</f>
        <v>21.296448642857147</v>
      </c>
      <c r="AA53" s="46">
        <f>'Agriculture - Soil Mgmt'!AA100*N2O_to_CO2e/1000</f>
        <v>21.600306160714318</v>
      </c>
      <c r="AB53" s="46">
        <f>'Agriculture - Soil Mgmt'!AB100*N2O_to_CO2e/1000</f>
        <v>21.904163678571408</v>
      </c>
      <c r="AC53" s="46">
        <f>'Agriculture - Soil Mgmt'!AC100*N2O_to_CO2e/1000</f>
        <v>22.208021196428575</v>
      </c>
      <c r="AD53" s="46">
        <f>'Agriculture - Soil Mgmt'!AD100*N2O_to_CO2e/1000</f>
        <v>22.511878714285743</v>
      </c>
      <c r="AE53" s="46">
        <f>'Agriculture - Soil Mgmt'!AE100*N2O_to_CO2e/1000</f>
        <v>22.815736232142832</v>
      </c>
      <c r="AF53" s="46">
        <f>'Agriculture - Soil Mgmt'!AF100*N2O_to_CO2e/1000</f>
        <v>23.119593749999996</v>
      </c>
      <c r="AG53" s="46">
        <f>'Agriculture - Soil Mgmt'!AG100*N2O_to_CO2e/1000</f>
        <v>23.423451267857168</v>
      </c>
      <c r="AH53" s="46">
        <f>'Agriculture - Soil Mgmt'!AH100*N2O_to_CO2e/1000</f>
        <v>23.727308785714257</v>
      </c>
      <c r="AI53" s="46">
        <f>'Agriculture - Soil Mgmt'!AI100*N2O_to_CO2e/1000</f>
        <v>24.031166303571425</v>
      </c>
      <c r="AJ53" s="46">
        <f>'Agriculture - Soil Mgmt'!AJ100*N2O_to_CO2e/1000</f>
        <v>24.335023821428589</v>
      </c>
      <c r="AK53" s="46">
        <f>'Agriculture - Soil Mgmt'!AK100*N2O_to_CO2e/1000</f>
        <v>24.638881339285682</v>
      </c>
    </row>
    <row r="54" spans="1:37" x14ac:dyDescent="0.25">
      <c r="A54" s="38" t="s">
        <v>174</v>
      </c>
      <c r="B54" s="46">
        <f>'Agriculture - Soil Mgmt'!B101*N2O_to_CO2e/1000</f>
        <v>4.8865714156182474</v>
      </c>
      <c r="C54" s="46">
        <f>'Agriculture - Soil Mgmt'!C101*N2O_to_CO2e/1000</f>
        <v>5.1603967779757554</v>
      </c>
      <c r="D54" s="46">
        <f>'Agriculture - Soil Mgmt'!D101*N2O_to_CO2e/1000</f>
        <v>5.2202222245661201</v>
      </c>
      <c r="E54" s="46">
        <f>'Agriculture - Soil Mgmt'!E101*N2O_to_CO2e/1000</f>
        <v>5.2653122130993708</v>
      </c>
      <c r="F54" s="46">
        <f>'Agriculture - Soil Mgmt'!F101*N2O_to_CO2e/1000</f>
        <v>5.2854940604649769</v>
      </c>
      <c r="G54" s="46">
        <f>'Agriculture - Soil Mgmt'!G101*N2O_to_CO2e/1000</f>
        <v>5.3317057254591091</v>
      </c>
      <c r="H54" s="46">
        <f>'Agriculture - Soil Mgmt'!H101*N2O_to_CO2e/1000</f>
        <v>5.3811878411225829</v>
      </c>
      <c r="I54" s="46">
        <f>'Agriculture - Soil Mgmt'!I101*N2O_to_CO2e/1000</f>
        <v>5.4218845452421842</v>
      </c>
      <c r="J54" s="46">
        <f>'Agriculture - Soil Mgmt'!J101*N2O_to_CO2e/1000</f>
        <v>5.5259759178680801</v>
      </c>
      <c r="K54" s="46">
        <f>'Agriculture - Soil Mgmt'!K101*N2O_to_CO2e/1000</f>
        <v>5.6320657685879594</v>
      </c>
      <c r="L54" s="46">
        <f>'Agriculture - Soil Mgmt'!L101*N2O_to_CO2e/1000</f>
        <v>5.7401924675972742</v>
      </c>
      <c r="M54" s="46">
        <f>'Agriculture - Soil Mgmt'!M101*N2O_to_CO2e/1000</f>
        <v>5.8503951217963541</v>
      </c>
      <c r="N54" s="46">
        <f>'Agriculture - Soil Mgmt'!N101*N2O_to_CO2e/1000</f>
        <v>5.9627135889351708</v>
      </c>
      <c r="O54" s="46">
        <f>'Agriculture - Soil Mgmt'!O101*N2O_to_CO2e/1000</f>
        <v>6.0771884920296655</v>
      </c>
      <c r="P54" s="46">
        <f>'Agriculture - Soil Mgmt'!P101*N2O_to_CO2e/1000</f>
        <v>6.1938612340548955</v>
      </c>
      <c r="Q54" s="46">
        <f>'Agriculture - Soil Mgmt'!Q101*N2O_to_CO2e/1000</f>
        <v>6.3127740129202659</v>
      </c>
      <c r="R54" s="46">
        <f>'Agriculture - Soil Mgmt'!R101*N2O_to_CO2e/1000</f>
        <v>6.4339698367323059</v>
      </c>
      <c r="S54" s="46">
        <f>'Agriculture - Soil Mgmt'!S101*N2O_to_CO2e/1000</f>
        <v>6.5574925393504779</v>
      </c>
      <c r="T54" s="46">
        <f>'Agriculture - Soil Mgmt'!T101*N2O_to_CO2e/1000</f>
        <v>6.6833867962416713</v>
      </c>
      <c r="U54" s="46">
        <f>'Agriculture - Soil Mgmt'!U101*N2O_to_CO2e/1000</f>
        <v>6.8116981406390904</v>
      </c>
      <c r="V54" s="46">
        <f>'Agriculture - Soil Mgmt'!V101*N2O_to_CO2e/1000</f>
        <v>6.9424729800114093</v>
      </c>
      <c r="W54" s="46">
        <f>'Agriculture - Soil Mgmt'!W101*N2O_to_CO2e/1000</f>
        <v>7.075758612848122</v>
      </c>
      <c r="X54" s="46">
        <f>'Agriculture - Soil Mgmt'!X101*N2O_to_CO2e/1000</f>
        <v>7.2116032457671864</v>
      </c>
      <c r="Y54" s="46">
        <f>'Agriculture - Soil Mgmt'!Y101*N2O_to_CO2e/1000</f>
        <v>7.3500560109511293</v>
      </c>
      <c r="Z54" s="46">
        <f>'Agriculture - Soil Mgmt'!Z101*N2O_to_CO2e/1000</f>
        <v>7.4911669839179158</v>
      </c>
      <c r="AA54" s="46">
        <f>'Agriculture - Soil Mgmt'!AA101*N2O_to_CO2e/1000</f>
        <v>7.6349872016330522</v>
      </c>
      <c r="AB54" s="46">
        <f>'Agriculture - Soil Mgmt'!AB101*N2O_to_CO2e/1000</f>
        <v>7.7815686809693974</v>
      </c>
      <c r="AC54" s="46">
        <f>'Agriculture - Soil Mgmt'!AC101*N2O_to_CO2e/1000</f>
        <v>7.930964437521447</v>
      </c>
      <c r="AD54" s="46">
        <f>'Agriculture - Soil Mgmt'!AD101*N2O_to_CO2e/1000</f>
        <v>8.0832285047808377</v>
      </c>
      <c r="AE54" s="46">
        <f>'Agriculture - Soil Mgmt'!AE101*N2O_to_CO2e/1000</f>
        <v>8.2384159536800095</v>
      </c>
      <c r="AF54" s="46">
        <f>'Agriculture - Soil Mgmt'!AF101*N2O_to_CO2e/1000</f>
        <v>8.3965829125111267</v>
      </c>
      <c r="AG54" s="46">
        <f>'Agriculture - Soil Mgmt'!AG101*N2O_to_CO2e/1000</f>
        <v>8.5577865872274383</v>
      </c>
      <c r="AH54" s="46">
        <f>'Agriculture - Soil Mgmt'!AH101*N2O_to_CO2e/1000</f>
        <v>8.722085282134417</v>
      </c>
      <c r="AI54" s="46">
        <f>'Agriculture - Soil Mgmt'!AI101*N2O_to_CO2e/1000</f>
        <v>8.8895384209781927</v>
      </c>
      <c r="AJ54" s="46">
        <f>'Agriculture - Soil Mgmt'!AJ101*N2O_to_CO2e/1000</f>
        <v>9.0602065684388595</v>
      </c>
      <c r="AK54" s="46">
        <f>'Agriculture - Soil Mgmt'!AK101*N2O_to_CO2e/1000</f>
        <v>9.2341514520364729</v>
      </c>
    </row>
    <row r="55" spans="1:37" x14ac:dyDescent="0.25">
      <c r="A55" s="38" t="s">
        <v>137</v>
      </c>
      <c r="B55" s="46">
        <f>'Agriculture - EF &amp; Manure Mgmt'!B52*N2O_to_CO2e/1000</f>
        <v>3.2218420175099065</v>
      </c>
      <c r="C55" s="46">
        <f>'Agriculture - EF &amp; Manure Mgmt'!C52*N2O_to_CO2e/1000</f>
        <v>3.2635821663325904</v>
      </c>
      <c r="D55" s="46">
        <f>'Agriculture - EF &amp; Manure Mgmt'!D52*N2O_to_CO2e/1000</f>
        <v>3.3053223151552742</v>
      </c>
      <c r="E55" s="46">
        <f>'Agriculture - EF &amp; Manure Mgmt'!E52*N2O_to_CO2e/1000</f>
        <v>3.3470624639779594</v>
      </c>
      <c r="F55" s="46">
        <f>'Agriculture - EF &amp; Manure Mgmt'!F52*N2O_to_CO2e/1000</f>
        <v>3.3888026128006423</v>
      </c>
      <c r="G55" s="46">
        <f>'Agriculture - EF &amp; Manure Mgmt'!G52*N2O_to_CO2e/1000</f>
        <v>3.4292378826210075</v>
      </c>
      <c r="H55" s="46">
        <f>'Agriculture - EF &amp; Manure Mgmt'!H52*N2O_to_CO2e/1000</f>
        <v>3.4696731524413722</v>
      </c>
      <c r="I55" s="46">
        <f>'Agriculture - EF &amp; Manure Mgmt'!I52*N2O_to_CO2e/1000</f>
        <v>3.5101084222617365</v>
      </c>
      <c r="J55" s="46">
        <f>'Agriculture - EF &amp; Manure Mgmt'!J52*N2O_to_CO2e/1000</f>
        <v>3.5505436920821012</v>
      </c>
      <c r="K55" s="46">
        <f>'Agriculture - EF &amp; Manure Mgmt'!K52*N2O_to_CO2e/1000</f>
        <v>3.5909789619024663</v>
      </c>
      <c r="L55" s="46">
        <f>'Agriculture - EF &amp; Manure Mgmt'!L52*N2O_to_CO2e/1000</f>
        <v>3.6289001063019986</v>
      </c>
      <c r="M55" s="46">
        <f>'Agriculture - EF &amp; Manure Mgmt'!M52*N2O_to_CO2e/1000</f>
        <v>3.6668212507015303</v>
      </c>
      <c r="N55" s="46">
        <f>'Agriculture - EF &amp; Manure Mgmt'!N52*N2O_to_CO2e/1000</f>
        <v>3.704742395101063</v>
      </c>
      <c r="O55" s="46">
        <f>'Agriculture - EF &amp; Manure Mgmt'!O52*N2O_to_CO2e/1000</f>
        <v>3.7426635395005952</v>
      </c>
      <c r="P55" s="46">
        <f>'Agriculture - EF &amp; Manure Mgmt'!P52*N2O_to_CO2e/1000</f>
        <v>3.7805846839001269</v>
      </c>
      <c r="Q55" s="46">
        <f>'Agriculture - EF &amp; Manure Mgmt'!Q52*N2O_to_CO2e/1000</f>
        <v>3.8169317805074603</v>
      </c>
      <c r="R55" s="46">
        <f>'Agriculture - EF &amp; Manure Mgmt'!R52*N2O_to_CO2e/1000</f>
        <v>3.8532788771147928</v>
      </c>
      <c r="S55" s="46">
        <f>'Agriculture - EF &amp; Manure Mgmt'!S52*N2O_to_CO2e/1000</f>
        <v>3.8896259737221248</v>
      </c>
      <c r="T55" s="46">
        <f>'Agriculture - EF &amp; Manure Mgmt'!T52*N2O_to_CO2e/1000</f>
        <v>3.9259730703294573</v>
      </c>
      <c r="U55" s="46">
        <f>'Agriculture - EF &amp; Manure Mgmt'!U52*N2O_to_CO2e/1000</f>
        <v>3.9623201669367898</v>
      </c>
      <c r="V55" s="46">
        <f>'Agriculture - EF &amp; Manure Mgmt'!V52*N2O_to_CO2e/1000</f>
        <v>3.9985043922218746</v>
      </c>
      <c r="W55" s="46">
        <f>'Agriculture - EF &amp; Manure Mgmt'!W52*N2O_to_CO2e/1000</f>
        <v>4.0346886175069585</v>
      </c>
      <c r="X55" s="46">
        <f>'Agriculture - EF &amp; Manure Mgmt'!X52*N2O_to_CO2e/1000</f>
        <v>4.0708728427920429</v>
      </c>
      <c r="Y55" s="46">
        <f>'Agriculture - EF &amp; Manure Mgmt'!Y52*N2O_to_CO2e/1000</f>
        <v>4.1070570680771272</v>
      </c>
      <c r="Z55" s="46">
        <f>'Agriculture - EF &amp; Manure Mgmt'!Z52*N2O_to_CO2e/1000</f>
        <v>4.1432412933622116</v>
      </c>
      <c r="AA55" s="46">
        <f>'Agriculture - EF &amp; Manure Mgmt'!AA52*N2O_to_CO2e/1000</f>
        <v>4.1798430568360745</v>
      </c>
      <c r="AB55" s="46">
        <f>'Agriculture - EF &amp; Manure Mgmt'!AB52*N2O_to_CO2e/1000</f>
        <v>4.2164448203099365</v>
      </c>
      <c r="AC55" s="46">
        <f>'Agriculture - EF &amp; Manure Mgmt'!AC52*N2O_to_CO2e/1000</f>
        <v>4.2530465837838012</v>
      </c>
      <c r="AD55" s="46">
        <f>'Agriculture - EF &amp; Manure Mgmt'!AD52*N2O_to_CO2e/1000</f>
        <v>4.2896483472576632</v>
      </c>
      <c r="AE55" s="46">
        <f>'Agriculture - EF &amp; Manure Mgmt'!AE52*N2O_to_CO2e/1000</f>
        <v>4.3262501107315252</v>
      </c>
      <c r="AF55" s="46">
        <f>'Agriculture - EF &amp; Manure Mgmt'!AF52*N2O_to_CO2e/1000</f>
        <v>4.3629014458535771</v>
      </c>
      <c r="AG55" s="46">
        <f>'Agriculture - EF &amp; Manure Mgmt'!AG52*N2O_to_CO2e/1000</f>
        <v>4.3995527809756281</v>
      </c>
      <c r="AH55" s="46">
        <f>'Agriculture - EF &amp; Manure Mgmt'!AH52*N2O_to_CO2e/1000</f>
        <v>4.4362041160976782</v>
      </c>
      <c r="AI55" s="46">
        <f>'Agriculture - EF &amp; Manure Mgmt'!AI52*N2O_to_CO2e/1000</f>
        <v>4.4728554512197292</v>
      </c>
      <c r="AJ55" s="46">
        <f>'Agriculture - EF &amp; Manure Mgmt'!AJ52*N2O_to_CO2e/1000</f>
        <v>4.5095067863417801</v>
      </c>
      <c r="AK55" s="46">
        <f>'Agriculture - EF &amp; Manure Mgmt'!AK52*N2O_to_CO2e/1000</f>
        <v>4.5461581214638302</v>
      </c>
    </row>
    <row r="56" spans="1:37" x14ac:dyDescent="0.25">
      <c r="A56" s="38" t="s">
        <v>138</v>
      </c>
      <c r="B56" s="46">
        <f>'Agriculture - Rice Cultivation'!B3</f>
        <v>0</v>
      </c>
      <c r="C56" s="46">
        <f>'Agriculture - Rice Cultivation'!C3</f>
        <v>0</v>
      </c>
      <c r="D56" s="46">
        <f>'Agriculture - Rice Cultivation'!D3</f>
        <v>0</v>
      </c>
      <c r="E56" s="46">
        <f>'Agriculture - Rice Cultivation'!E3</f>
        <v>0</v>
      </c>
      <c r="F56" s="46">
        <f>'Agriculture - Rice Cultivation'!F3</f>
        <v>0</v>
      </c>
      <c r="G56" s="46">
        <f>'Agriculture - Rice Cultivation'!G3</f>
        <v>0</v>
      </c>
      <c r="H56" s="46">
        <f>'Agriculture - Rice Cultivation'!H3</f>
        <v>0</v>
      </c>
      <c r="I56" s="46">
        <f>'Agriculture - Rice Cultivation'!I3</f>
        <v>0</v>
      </c>
      <c r="J56" s="46">
        <f>'Agriculture - Rice Cultivation'!J3</f>
        <v>0</v>
      </c>
      <c r="K56" s="46">
        <f>'Agriculture - Rice Cultivation'!K3</f>
        <v>0</v>
      </c>
      <c r="L56" s="46">
        <f>'Agriculture - Rice Cultivation'!L3</f>
        <v>0</v>
      </c>
      <c r="M56" s="46">
        <f>'Agriculture - Rice Cultivation'!M3</f>
        <v>0</v>
      </c>
      <c r="N56" s="46">
        <f>'Agriculture - Rice Cultivation'!N3</f>
        <v>0</v>
      </c>
      <c r="O56" s="46">
        <f>'Agriculture - Rice Cultivation'!O3</f>
        <v>0</v>
      </c>
      <c r="P56" s="46">
        <f>'Agriculture - Rice Cultivation'!P3</f>
        <v>0</v>
      </c>
      <c r="Q56" s="46">
        <f>'Agriculture - Rice Cultivation'!Q3</f>
        <v>0</v>
      </c>
      <c r="R56" s="46">
        <f>'Agriculture - Rice Cultivation'!R3</f>
        <v>0</v>
      </c>
      <c r="S56" s="46">
        <f>'Agriculture - Rice Cultivation'!S3</f>
        <v>0</v>
      </c>
      <c r="T56" s="46">
        <f>'Agriculture - Rice Cultivation'!T3</f>
        <v>0</v>
      </c>
      <c r="U56" s="46">
        <f>'Agriculture - Rice Cultivation'!U3</f>
        <v>0</v>
      </c>
      <c r="V56" s="46">
        <f>'Agriculture - Rice Cultivation'!V3</f>
        <v>0</v>
      </c>
      <c r="W56" s="46">
        <f>'Agriculture - Rice Cultivation'!W3</f>
        <v>0</v>
      </c>
      <c r="X56" s="46">
        <f>'Agriculture - Rice Cultivation'!X3</f>
        <v>0</v>
      </c>
      <c r="Y56" s="46">
        <f>'Agriculture - Rice Cultivation'!Y3</f>
        <v>0</v>
      </c>
      <c r="Z56" s="46">
        <f>'Agriculture - Rice Cultivation'!Z3</f>
        <v>0</v>
      </c>
      <c r="AA56" s="46">
        <f>'Agriculture - Rice Cultivation'!AA3</f>
        <v>0</v>
      </c>
      <c r="AB56" s="46">
        <f>'Agriculture - Rice Cultivation'!AB3</f>
        <v>0</v>
      </c>
      <c r="AC56" s="46">
        <f>'Agriculture - Rice Cultivation'!AC3</f>
        <v>0</v>
      </c>
      <c r="AD56" s="46">
        <f>'Agriculture - Rice Cultivation'!AD3</f>
        <v>0</v>
      </c>
      <c r="AE56" s="46">
        <f>'Agriculture - Rice Cultivation'!AE3</f>
        <v>0</v>
      </c>
      <c r="AF56" s="46">
        <f>'Agriculture - Rice Cultivation'!AF3</f>
        <v>0</v>
      </c>
      <c r="AG56" s="46">
        <f>'Agriculture - Rice Cultivation'!AG3</f>
        <v>0</v>
      </c>
      <c r="AH56" s="46">
        <f>'Agriculture - Rice Cultivation'!AH3</f>
        <v>0</v>
      </c>
      <c r="AI56" s="46">
        <f>'Agriculture - Rice Cultivation'!AI3</f>
        <v>0</v>
      </c>
      <c r="AJ56" s="46">
        <f>'Agriculture - Rice Cultivation'!AJ3</f>
        <v>0</v>
      </c>
      <c r="AK56" s="46">
        <f>'Agriculture - Rice Cultivation'!AK3</f>
        <v>0</v>
      </c>
    </row>
    <row r="57" spans="1:37" x14ac:dyDescent="0.25">
      <c r="A57" s="38" t="s">
        <v>139</v>
      </c>
      <c r="B57" s="46">
        <f>'Agriculture - EF &amp; Manure Mgmt'!B29*CH4_to_CO2e/1000</f>
        <v>28.005128493770261</v>
      </c>
      <c r="C57" s="46">
        <f>'Agriculture - EF &amp; Manure Mgmt'!C29*CH4_to_CO2e/1000</f>
        <v>28.420616073897197</v>
      </c>
      <c r="D57" s="46">
        <f>'Agriculture - EF &amp; Manure Mgmt'!D29*CH4_to_CO2e/1000</f>
        <v>28.836103654024136</v>
      </c>
      <c r="E57" s="46">
        <f>'Agriculture - EF &amp; Manure Mgmt'!E29*CH4_to_CO2e/1000</f>
        <v>29.251591234151068</v>
      </c>
      <c r="F57" s="46">
        <f>'Agriculture - EF &amp; Manure Mgmt'!F29*CH4_to_CO2e/1000</f>
        <v>29.667078814278</v>
      </c>
      <c r="G57" s="46">
        <f>'Agriculture - EF &amp; Manure Mgmt'!G29*CH4_to_CO2e/1000</f>
        <v>30.069498282284101</v>
      </c>
      <c r="H57" s="46">
        <f>'Agriculture - EF &amp; Manure Mgmt'!H29*CH4_to_CO2e/1000</f>
        <v>30.471917750290203</v>
      </c>
      <c r="I57" s="46">
        <f>'Agriculture - EF &amp; Manure Mgmt'!I29*CH4_to_CO2e/1000</f>
        <v>30.874337218296311</v>
      </c>
      <c r="J57" s="46">
        <f>'Agriculture - EF &amp; Manure Mgmt'!J29*CH4_to_CO2e/1000</f>
        <v>31.276756686302402</v>
      </c>
      <c r="K57" s="46">
        <f>'Agriculture - EF &amp; Manure Mgmt'!K29*CH4_to_CO2e/1000</f>
        <v>31.679176154308511</v>
      </c>
      <c r="L57" s="46">
        <f>'Agriculture - EF &amp; Manure Mgmt'!L29*CH4_to_CO2e/1000</f>
        <v>32.056498830510186</v>
      </c>
      <c r="M57" s="46">
        <f>'Agriculture - EF &amp; Manure Mgmt'!M29*CH4_to_CO2e/1000</f>
        <v>32.433821506711837</v>
      </c>
      <c r="N57" s="46">
        <f>'Agriculture - EF &amp; Manure Mgmt'!N29*CH4_to_CO2e/1000</f>
        <v>32.811144182913502</v>
      </c>
      <c r="O57" s="46">
        <f>'Agriculture - EF &amp; Manure Mgmt'!O29*CH4_to_CO2e/1000</f>
        <v>33.188466859115167</v>
      </c>
      <c r="P57" s="46">
        <f>'Agriculture - EF &amp; Manure Mgmt'!P29*CH4_to_CO2e/1000</f>
        <v>33.565789535316824</v>
      </c>
      <c r="Q57" s="46">
        <f>'Agriculture - EF &amp; Manure Mgmt'!Q29*CH4_to_CO2e/1000</f>
        <v>33.927480447587861</v>
      </c>
      <c r="R57" s="46">
        <f>'Agriculture - EF &amp; Manure Mgmt'!R29*CH4_to_CO2e/1000</f>
        <v>34.289171359858891</v>
      </c>
      <c r="S57" s="46">
        <f>'Agriculture - EF &amp; Manure Mgmt'!S29*CH4_to_CO2e/1000</f>
        <v>34.65086227212992</v>
      </c>
      <c r="T57" s="46">
        <f>'Agriculture - EF &amp; Manure Mgmt'!T29*CH4_to_CO2e/1000</f>
        <v>35.012553184400936</v>
      </c>
      <c r="U57" s="46">
        <f>'Agriculture - EF &amp; Manure Mgmt'!U29*CH4_to_CO2e/1000</f>
        <v>35.374244096671973</v>
      </c>
      <c r="V57" s="46">
        <f>'Agriculture - EF &amp; Manure Mgmt'!V29*CH4_to_CO2e/1000</f>
        <v>35.734390409460161</v>
      </c>
      <c r="W57" s="46">
        <f>'Agriculture - EF &amp; Manure Mgmt'!W29*CH4_to_CO2e/1000</f>
        <v>36.094536722248336</v>
      </c>
      <c r="X57" s="46">
        <f>'Agriculture - EF &amp; Manure Mgmt'!X29*CH4_to_CO2e/1000</f>
        <v>36.45468303503651</v>
      </c>
      <c r="Y57" s="46">
        <f>'Agriculture - EF &amp; Manure Mgmt'!Y29*CH4_to_CO2e/1000</f>
        <v>36.814829347824684</v>
      </c>
      <c r="Z57" s="46">
        <f>'Agriculture - EF &amp; Manure Mgmt'!Z29*CH4_to_CO2e/1000</f>
        <v>37.174975660612873</v>
      </c>
      <c r="AA57" s="46">
        <f>'Agriculture - EF &amp; Manure Mgmt'!AA29*CH4_to_CO2e/1000</f>
        <v>37.539043246990289</v>
      </c>
      <c r="AB57" s="46">
        <f>'Agriculture - EF &amp; Manure Mgmt'!AB29*CH4_to_CO2e/1000</f>
        <v>37.90311083336772</v>
      </c>
      <c r="AC57" s="46">
        <f>'Agriculture - EF &amp; Manure Mgmt'!AC29*CH4_to_CO2e/1000</f>
        <v>38.267178419745143</v>
      </c>
      <c r="AD57" s="46">
        <f>'Agriculture - EF &amp; Manure Mgmt'!AD29*CH4_to_CO2e/1000</f>
        <v>38.631246006122574</v>
      </c>
      <c r="AE57" s="46">
        <f>'Agriculture - EF &amp; Manure Mgmt'!AE29*CH4_to_CO2e/1000</f>
        <v>38.99531359249999</v>
      </c>
      <c r="AF57" s="46">
        <f>'Agriculture - EF &amp; Manure Mgmt'!AF29*CH4_to_CO2e/1000</f>
        <v>39.359762597370413</v>
      </c>
      <c r="AG57" s="46">
        <f>'Agriculture - EF &amp; Manure Mgmt'!AG29*CH4_to_CO2e/1000</f>
        <v>39.724211602240828</v>
      </c>
      <c r="AH57" s="46">
        <f>'Agriculture - EF &amp; Manure Mgmt'!AH29*CH4_to_CO2e/1000</f>
        <v>40.088660607111244</v>
      </c>
      <c r="AI57" s="46">
        <f>'Agriculture - EF &amp; Manure Mgmt'!AI29*CH4_to_CO2e/1000</f>
        <v>40.45310961198166</v>
      </c>
      <c r="AJ57" s="46">
        <f>'Agriculture - EF &amp; Manure Mgmt'!AJ29*CH4_to_CO2e/1000</f>
        <v>40.817558616852075</v>
      </c>
      <c r="AK57" s="46">
        <f>'Agriculture - EF &amp; Manure Mgmt'!AK29*CH4_to_CO2e/1000</f>
        <v>41.182007621722484</v>
      </c>
    </row>
    <row r="58" spans="1:37" x14ac:dyDescent="0.25">
      <c r="A58" s="38" t="s">
        <v>140</v>
      </c>
      <c r="B58" s="46">
        <f>'Agriculture - EF &amp; Manure Mgmt'!B41*CH4_to_CO2e/1000</f>
        <v>4.2039140739327712</v>
      </c>
      <c r="C58" s="46">
        <f>'Agriculture - EF &amp; Manure Mgmt'!C41*CH4_to_CO2e/1000</f>
        <v>4.2994365342510337</v>
      </c>
      <c r="D58" s="46">
        <f>'Agriculture - EF &amp; Manure Mgmt'!D41*CH4_to_CO2e/1000</f>
        <v>4.3949589945692971</v>
      </c>
      <c r="E58" s="46">
        <f>'Agriculture - EF &amp; Manure Mgmt'!E41*CH4_to_CO2e/1000</f>
        <v>4.4904814548875613</v>
      </c>
      <c r="F58" s="46">
        <f>'Agriculture - EF &amp; Manure Mgmt'!F41*CH4_to_CO2e/1000</f>
        <v>4.5860039152058256</v>
      </c>
      <c r="G58" s="46">
        <f>'Agriculture - EF &amp; Manure Mgmt'!G41*CH4_to_CO2e/1000</f>
        <v>4.6785409887395772</v>
      </c>
      <c r="H58" s="46">
        <f>'Agriculture - EF &amp; Manure Mgmt'!H41*CH4_to_CO2e/1000</f>
        <v>4.7710780622733306</v>
      </c>
      <c r="I58" s="46">
        <f>'Agriculture - EF &amp; Manure Mgmt'!I41*CH4_to_CO2e/1000</f>
        <v>4.8636151358070832</v>
      </c>
      <c r="J58" s="46">
        <f>'Agriculture - EF &amp; Manure Mgmt'!J41*CH4_to_CO2e/1000</f>
        <v>4.9561522093408366</v>
      </c>
      <c r="K58" s="46">
        <f>'Agriculture - EF &amp; Manure Mgmt'!K41*CH4_to_CO2e/1000</f>
        <v>5.0486892828745882</v>
      </c>
      <c r="L58" s="46">
        <f>'Agriculture - EF &amp; Manure Mgmt'!L41*CH4_to_CO2e/1000</f>
        <v>5.1353523881317331</v>
      </c>
      <c r="M58" s="46">
        <f>'Agriculture - EF &amp; Manure Mgmt'!M41*CH4_to_CO2e/1000</f>
        <v>5.222015493388878</v>
      </c>
      <c r="N58" s="46">
        <f>'Agriculture - EF &amp; Manure Mgmt'!N41*CH4_to_CO2e/1000</f>
        <v>5.308678598646023</v>
      </c>
      <c r="O58" s="46">
        <f>'Agriculture - EF &amp; Manure Mgmt'!O41*CH4_to_CO2e/1000</f>
        <v>5.3953417039031679</v>
      </c>
      <c r="P58" s="46">
        <f>'Agriculture - EF &amp; Manure Mgmt'!P41*CH4_to_CO2e/1000</f>
        <v>5.4820048091603129</v>
      </c>
      <c r="Q58" s="46">
        <f>'Agriculture - EF &amp; Manure Mgmt'!Q41*CH4_to_CO2e/1000</f>
        <v>5.5650414651681119</v>
      </c>
      <c r="R58" s="46">
        <f>'Agriculture - EF &amp; Manure Mgmt'!R41*CH4_to_CO2e/1000</f>
        <v>5.6480781211759128</v>
      </c>
      <c r="S58" s="46">
        <f>'Agriculture - EF &amp; Manure Mgmt'!S41*CH4_to_CO2e/1000</f>
        <v>5.7311147771837128</v>
      </c>
      <c r="T58" s="46">
        <f>'Agriculture - EF &amp; Manure Mgmt'!T41*CH4_to_CO2e/1000</f>
        <v>5.8141514331915136</v>
      </c>
      <c r="U58" s="46">
        <f>'Agriculture - EF &amp; Manure Mgmt'!U41*CH4_to_CO2e/1000</f>
        <v>5.8971880891993136</v>
      </c>
      <c r="V58" s="46">
        <f>'Agriculture - EF &amp; Manure Mgmt'!V41*CH4_to_CO2e/1000</f>
        <v>5.979961716386704</v>
      </c>
      <c r="W58" s="46">
        <f>'Agriculture - EF &amp; Manure Mgmt'!W41*CH4_to_CO2e/1000</f>
        <v>6.0627353435740972</v>
      </c>
      <c r="X58" s="46">
        <f>'Agriculture - EF &amp; Manure Mgmt'!X41*CH4_to_CO2e/1000</f>
        <v>6.1455089707614876</v>
      </c>
      <c r="Y58" s="46">
        <f>'Agriculture - EF &amp; Manure Mgmt'!Y41*CH4_to_CO2e/1000</f>
        <v>6.2282825979488798</v>
      </c>
      <c r="Z58" s="46">
        <f>'Agriculture - EF &amp; Manure Mgmt'!Z41*CH4_to_CO2e/1000</f>
        <v>6.3110562251362721</v>
      </c>
      <c r="AA58" s="46">
        <f>'Agriculture - EF &amp; Manure Mgmt'!AA41*CH4_to_CO2e/1000</f>
        <v>6.3945538775838271</v>
      </c>
      <c r="AB58" s="46">
        <f>'Agriculture - EF &amp; Manure Mgmt'!AB41*CH4_to_CO2e/1000</f>
        <v>6.4780515300313839</v>
      </c>
      <c r="AC58" s="46">
        <f>'Agriculture - EF &amp; Manure Mgmt'!AC41*CH4_to_CO2e/1000</f>
        <v>6.5615491824789389</v>
      </c>
      <c r="AD58" s="46">
        <f>'Agriculture - EF &amp; Manure Mgmt'!AD41*CH4_to_CO2e/1000</f>
        <v>6.645046834926494</v>
      </c>
      <c r="AE58" s="46">
        <f>'Agriculture - EF &amp; Manure Mgmt'!AE41*CH4_to_CO2e/1000</f>
        <v>6.7285444873740499</v>
      </c>
      <c r="AF58" s="46">
        <f>'Agriculture - EF &amp; Manure Mgmt'!AF41*CH4_to_CO2e/1000</f>
        <v>6.8121315418177701</v>
      </c>
      <c r="AG58" s="46">
        <f>'Agriculture - EF &amp; Manure Mgmt'!AG41*CH4_to_CO2e/1000</f>
        <v>6.8957185962614913</v>
      </c>
      <c r="AH58" s="46">
        <f>'Agriculture - EF &amp; Manure Mgmt'!AH41*CH4_to_CO2e/1000</f>
        <v>6.9793056507052116</v>
      </c>
      <c r="AI58" s="46">
        <f>'Agriculture - EF &amp; Manure Mgmt'!AI41*CH4_to_CO2e/1000</f>
        <v>7.062892705148931</v>
      </c>
      <c r="AJ58" s="46">
        <f>'Agriculture - EF &amp; Manure Mgmt'!AJ41*CH4_to_CO2e/1000</f>
        <v>7.146479759592653</v>
      </c>
      <c r="AK58" s="46">
        <f>'Agriculture - EF &amp; Manure Mgmt'!AK41*CH4_to_CO2e/1000</f>
        <v>7.2300668140363706</v>
      </c>
    </row>
    <row r="59" spans="1:37" x14ac:dyDescent="0.25">
      <c r="A59" s="38" t="s">
        <v>175</v>
      </c>
      <c r="B59" s="46">
        <f>SUM('Agriculture - Soil Mgmt'!B102:B103)*N2O_to_CO2e/1000</f>
        <v>4.4523005933847806</v>
      </c>
      <c r="C59" s="46">
        <f>SUM('Agriculture - Soil Mgmt'!C102:C103)*N2O_to_CO2e/1000</f>
        <v>4.7017910273957373</v>
      </c>
      <c r="D59" s="46">
        <f>SUM('Agriculture - Soil Mgmt'!D102:D103)*N2O_to_CO2e/1000</f>
        <v>4.7562997716049091</v>
      </c>
      <c r="E59" s="46">
        <f>SUM('Agriculture - Soil Mgmt'!E102:E103)*N2O_to_CO2e/1000</f>
        <v>4.7973826015950056</v>
      </c>
      <c r="F59" s="46">
        <f>SUM('Agriculture - Soil Mgmt'!F102:F103)*N2O_to_CO2e/1000</f>
        <v>4.815770883144376</v>
      </c>
      <c r="G59" s="46">
        <f>SUM('Agriculture - Soil Mgmt'!G102:G103)*N2O_to_CO2e/1000</f>
        <v>4.8578757059281115</v>
      </c>
      <c r="H59" s="46">
        <f>SUM('Agriculture - Soil Mgmt'!H102:H103)*N2O_to_CO2e/1000</f>
        <v>4.9029603336133363</v>
      </c>
      <c r="I59" s="46">
        <f>SUM('Agriculture - Soil Mgmt'!I102:I103)*N2O_to_CO2e/1000</f>
        <v>4.9400403114729414</v>
      </c>
      <c r="J59" s="46">
        <f>SUM('Agriculture - Soil Mgmt'!J102:J103)*N2O_to_CO2e/1000</f>
        <v>5.0348810578144905</v>
      </c>
      <c r="K59" s="46">
        <f>SUM('Agriculture - Soil Mgmt'!K102:K103)*N2O_to_CO2e/1000</f>
        <v>5.1315426770026482</v>
      </c>
      <c r="L59" s="46">
        <f>SUM('Agriculture - Soil Mgmt'!L102:L103)*N2O_to_CO2e/1000</f>
        <v>5.2300601292640092</v>
      </c>
      <c r="M59" s="46">
        <f>SUM('Agriculture - Soil Mgmt'!M102:M103)*N2O_to_CO2e/1000</f>
        <v>5.3304690460589077</v>
      </c>
      <c r="N59" s="46">
        <f>SUM('Agriculture - Soil Mgmt'!N102:N103)*N2O_to_CO2e/1000</f>
        <v>5.4328057429691192</v>
      </c>
      <c r="O59" s="46">
        <f>SUM('Agriculture - Soil Mgmt'!O102:O103)*N2O_to_CO2e/1000</f>
        <v>5.5371072328330104</v>
      </c>
      <c r="P59" s="46">
        <f>SUM('Agriculture - Soil Mgmt'!P102:P103)*N2O_to_CO2e/1000</f>
        <v>5.6434112391329023</v>
      </c>
      <c r="Q59" s="46">
        <f>SUM('Agriculture - Soil Mgmt'!Q102:Q103)*N2O_to_CO2e/1000</f>
        <v>5.7517562096394554</v>
      </c>
      <c r="R59" s="46">
        <f>SUM('Agriculture - Soil Mgmt'!R102:R103)*N2O_to_CO2e/1000</f>
        <v>5.8621813303180277</v>
      </c>
      <c r="S59" s="46">
        <f>SUM('Agriculture - Soil Mgmt'!S102:S103)*N2O_to_CO2e/1000</f>
        <v>5.9747265395020417</v>
      </c>
      <c r="T59" s="46">
        <f>SUM('Agriculture - Soil Mgmt'!T102:T103)*N2O_to_CO2e/1000</f>
        <v>6.0894325423384865</v>
      </c>
      <c r="U59" s="46">
        <f>SUM('Agriculture - Soil Mgmt'!U102:U103)*N2O_to_CO2e/1000</f>
        <v>6.2063408255107584</v>
      </c>
      <c r="V59" s="46">
        <f>SUM('Agriculture - Soil Mgmt'!V102:V103)*N2O_to_CO2e/1000</f>
        <v>6.3254936722441988</v>
      </c>
      <c r="W59" s="46">
        <f>SUM('Agriculture - Soil Mgmt'!W102:W103)*N2O_to_CO2e/1000</f>
        <v>6.4469341775997293</v>
      </c>
      <c r="X59" s="46">
        <f>SUM('Agriculture - Soil Mgmt'!X102:X103)*N2O_to_CO2e/1000</f>
        <v>6.5707062640611236</v>
      </c>
      <c r="Y59" s="46">
        <f>SUM('Agriculture - Soil Mgmt'!Y102:Y103)*N2O_to_CO2e/1000</f>
        <v>6.6968546974215819</v>
      </c>
      <c r="Z59" s="46">
        <f>SUM('Agriculture - Soil Mgmt'!Z102:Z103)*N2O_to_CO2e/1000</f>
        <v>6.8254251029752755</v>
      </c>
      <c r="AA59" s="46">
        <f>SUM('Agriculture - Soil Mgmt'!AA102:AA103)*N2O_to_CO2e/1000</f>
        <v>6.9564639820198391</v>
      </c>
      <c r="AB59" s="46">
        <f>SUM('Agriculture - Soil Mgmt'!AB102:AB103)*N2O_to_CO2e/1000</f>
        <v>7.0900187286756529</v>
      </c>
      <c r="AC59" s="46">
        <f>SUM('Agriculture - Soil Mgmt'!AC102:AC103)*N2O_to_CO2e/1000</f>
        <v>7.2261376470280823</v>
      </c>
      <c r="AD59" s="46">
        <f>SUM('Agriculture - Soil Mgmt'!AD102:AD103)*N2O_to_CO2e/1000</f>
        <v>7.3648699685988692</v>
      </c>
      <c r="AE59" s="46">
        <f>SUM('Agriculture - Soil Mgmt'!AE102:AE103)*N2O_to_CO2e/1000</f>
        <v>7.5062658701529319</v>
      </c>
      <c r="AF59" s="46">
        <f>SUM('Agriculture - Soil Mgmt'!AF102:AF103)*N2O_to_CO2e/1000</f>
        <v>7.6503764918470898</v>
      </c>
      <c r="AG59" s="46">
        <f>SUM('Agriculture - Soil Mgmt'!AG102:AG103)*N2O_to_CO2e/1000</f>
        <v>7.7972539557272391</v>
      </c>
      <c r="AH59" s="46">
        <f>SUM('Agriculture - Soil Mgmt'!AH102:AH103)*N2O_to_CO2e/1000</f>
        <v>7.9469513845806627</v>
      </c>
      <c r="AI59" s="46">
        <f>SUM('Agriculture - Soil Mgmt'!AI102:AI103)*N2O_to_CO2e/1000</f>
        <v>8.0995229211503279</v>
      </c>
      <c r="AJ59" s="46">
        <f>SUM('Agriculture - Soil Mgmt'!AJ102:AJ103)*N2O_to_CO2e/1000</f>
        <v>8.2550237477180861</v>
      </c>
      <c r="AK59" s="46">
        <f>SUM('Agriculture - Soil Mgmt'!AK102:AK103)*N2O_to_CO2e/1000</f>
        <v>8.4135101060638604</v>
      </c>
    </row>
    <row r="60" spans="1:37" x14ac:dyDescent="0.25">
      <c r="A60" s="69" t="s">
        <v>249</v>
      </c>
      <c r="B60" s="46">
        <f>'Other Industrial Processes'!C121*CH4_to_CO2e/1000</f>
        <v>4.6989601106901605E-2</v>
      </c>
      <c r="C60" s="46">
        <f>'Other Industrial Processes'!D121*CH4_to_CO2e/1000</f>
        <v>4.7516304196042365E-2</v>
      </c>
      <c r="D60" s="46">
        <f>'Other Industrial Processes'!E121*CH4_to_CO2e/1000</f>
        <v>4.8043007285183133E-2</v>
      </c>
      <c r="E60" s="46">
        <f>'Other Industrial Processes'!F121*CH4_to_CO2e/1000</f>
        <v>4.8569710374323886E-2</v>
      </c>
      <c r="F60" s="46">
        <f>'Other Industrial Processes'!G121*CH4_to_CO2e/1000</f>
        <v>4.9096413463464654E-2</v>
      </c>
      <c r="G60" s="46">
        <f>'Other Industrial Processes'!H121*CH4_to_CO2e/1000</f>
        <v>4.9623116552605415E-2</v>
      </c>
      <c r="H60" s="46">
        <f>'Other Industrial Processes'!I121*CH4_to_CO2e/1000</f>
        <v>5.0149819641746175E-2</v>
      </c>
      <c r="I60" s="46">
        <f>'Other Industrial Processes'!J121*CH4_to_CO2e/1000</f>
        <v>5.0676522730886943E-2</v>
      </c>
      <c r="J60" s="46">
        <f>'Other Industrial Processes'!K121*CH4_to_CO2e/1000</f>
        <v>5.1203225820027704E-2</v>
      </c>
      <c r="K60" s="46">
        <f>'Other Industrial Processes'!L121*CH4_to_CO2e/1000</f>
        <v>5.1729928909168464E-2</v>
      </c>
      <c r="L60" s="46">
        <f>'Other Industrial Processes'!M121*CH4_to_CO2e/1000</f>
        <v>5.2256631998309232E-2</v>
      </c>
      <c r="M60" s="46">
        <f>'Other Industrial Processes'!N121*CH4_to_CO2e/1000</f>
        <v>5.2783335087449992E-2</v>
      </c>
      <c r="N60" s="46">
        <f>'Other Industrial Processes'!O121*CH4_to_CO2e/1000</f>
        <v>5.3310038176590753E-2</v>
      </c>
      <c r="O60" s="46">
        <f>'Other Industrial Processes'!P121*CH4_to_CO2e/1000</f>
        <v>5.3836741265731521E-2</v>
      </c>
      <c r="P60" s="46">
        <f>'Other Industrial Processes'!Q121*CH4_to_CO2e/1000</f>
        <v>5.4363444354872281E-2</v>
      </c>
      <c r="Q60" s="46">
        <f>'Other Industrial Processes'!R121*CH4_to_CO2e/1000</f>
        <v>5.4890147444013049E-2</v>
      </c>
      <c r="R60" s="46">
        <f>'Other Industrial Processes'!S121*CH4_to_CO2e/1000</f>
        <v>5.5416850533153802E-2</v>
      </c>
      <c r="S60" s="46">
        <f>'Other Industrial Processes'!T121*CH4_to_CO2e/1000</f>
        <v>5.5943553622294563E-2</v>
      </c>
      <c r="T60" s="46">
        <f>'Other Industrial Processes'!U121*CH4_to_CO2e/1000</f>
        <v>5.6470256711435331E-2</v>
      </c>
      <c r="U60" s="46">
        <f>'Other Industrial Processes'!V121*CH4_to_CO2e/1000</f>
        <v>5.6996959800576084E-2</v>
      </c>
      <c r="V60" s="46">
        <f>'Other Industrial Processes'!W121*CH4_to_CO2e/1000</f>
        <v>5.7523662889716845E-2</v>
      </c>
      <c r="W60" s="46">
        <f>'Other Industrial Processes'!X121*CH4_to_CO2e/1000</f>
        <v>5.8050365978857599E-2</v>
      </c>
      <c r="X60" s="46">
        <f>'Other Industrial Processes'!Y121*CH4_to_CO2e/1000</f>
        <v>5.8577069067998359E-2</v>
      </c>
      <c r="Y60" s="46">
        <f>'Other Industrial Processes'!Z121*CH4_to_CO2e/1000</f>
        <v>5.9103772157139113E-2</v>
      </c>
      <c r="Z60" s="46">
        <f>'Other Industrial Processes'!AA121*CH4_to_CO2e/1000</f>
        <v>5.9630475246279874E-2</v>
      </c>
      <c r="AA60" s="46">
        <f>'Other Industrial Processes'!AB121*CH4_to_CO2e/1000</f>
        <v>6.0157178335420627E-2</v>
      </c>
      <c r="AB60" s="46">
        <f>'Other Industrial Processes'!AC121*CH4_to_CO2e/1000</f>
        <v>6.0683881424561388E-2</v>
      </c>
      <c r="AC60" s="46">
        <f>'Other Industrial Processes'!AD121*CH4_to_CO2e/1000</f>
        <v>6.1210584513702135E-2</v>
      </c>
      <c r="AD60" s="46">
        <f>'Other Industrial Processes'!AE121*CH4_to_CO2e/1000</f>
        <v>6.1737287602842895E-2</v>
      </c>
      <c r="AE60" s="46">
        <f>'Other Industrial Processes'!AF121*CH4_to_CO2e/1000</f>
        <v>6.2263990691983649E-2</v>
      </c>
      <c r="AF60" s="46">
        <f>'Other Industrial Processes'!AG121*CH4_to_CO2e/1000</f>
        <v>6.279069378112441E-2</v>
      </c>
      <c r="AG60" s="46">
        <f>'Other Industrial Processes'!AH121*CH4_to_CO2e/1000</f>
        <v>6.3317396870265163E-2</v>
      </c>
      <c r="AH60" s="46">
        <f>'Other Industrial Processes'!AI121*CH4_to_CO2e/1000</f>
        <v>6.3844099959405917E-2</v>
      </c>
      <c r="AI60" s="46">
        <f>'Other Industrial Processes'!AJ121*CH4_to_CO2e/1000</f>
        <v>6.4370803048546671E-2</v>
      </c>
      <c r="AJ60" s="46">
        <f>'Other Industrial Processes'!AK121*CH4_to_CO2e/1000</f>
        <v>6.4897506137687425E-2</v>
      </c>
      <c r="AK60" s="46">
        <f>'Other Industrial Processes'!AL121*CH4_to_CO2e/1000</f>
        <v>6.5424209226828192E-2</v>
      </c>
    </row>
    <row r="61" spans="1:37" x14ac:dyDescent="0.25">
      <c r="A61" s="69" t="s">
        <v>264</v>
      </c>
      <c r="B61" s="46">
        <f>'Other Industrial Processes'!C124*N2O_to_CO2e/1000</f>
        <v>0.77230621376695019</v>
      </c>
      <c r="C61" s="46">
        <f>'Other Industrial Processes'!D124*N2O_to_CO2e/1000</f>
        <v>0</v>
      </c>
      <c r="D61" s="46">
        <f>'Other Industrial Processes'!E124*N2O_to_CO2e/1000</f>
        <v>0</v>
      </c>
      <c r="E61" s="46">
        <f>'Other Industrial Processes'!F124*N2O_to_CO2e/1000</f>
        <v>0</v>
      </c>
      <c r="F61" s="46">
        <f>'Other Industrial Processes'!G124*N2O_to_CO2e/1000</f>
        <v>0</v>
      </c>
      <c r="G61" s="46">
        <f>'Other Industrial Processes'!H124*N2O_to_CO2e/1000</f>
        <v>0</v>
      </c>
      <c r="H61" s="46">
        <f>'Other Industrial Processes'!I124*N2O_to_CO2e/1000</f>
        <v>0</v>
      </c>
      <c r="I61" s="46">
        <f>'Other Industrial Processes'!J124*N2O_to_CO2e/1000</f>
        <v>0</v>
      </c>
      <c r="J61" s="46">
        <f>'Other Industrial Processes'!K124*N2O_to_CO2e/1000</f>
        <v>0</v>
      </c>
      <c r="K61" s="46">
        <f>'Other Industrial Processes'!L124*N2O_to_CO2e/1000</f>
        <v>0</v>
      </c>
      <c r="L61" s="46">
        <f>'Other Industrial Processes'!M124*N2O_to_CO2e/1000</f>
        <v>0</v>
      </c>
      <c r="M61" s="46">
        <f>'Other Industrial Processes'!N124*N2O_to_CO2e/1000</f>
        <v>0</v>
      </c>
      <c r="N61" s="46">
        <f>'Other Industrial Processes'!O124*N2O_to_CO2e/1000</f>
        <v>0</v>
      </c>
      <c r="O61" s="46">
        <f>'Other Industrial Processes'!P124*N2O_to_CO2e/1000</f>
        <v>0</v>
      </c>
      <c r="P61" s="46">
        <f>'Other Industrial Processes'!Q124*N2O_to_CO2e/1000</f>
        <v>0</v>
      </c>
      <c r="Q61" s="46">
        <f>'Other Industrial Processes'!R124*N2O_to_CO2e/1000</f>
        <v>0</v>
      </c>
      <c r="R61" s="46">
        <f>'Other Industrial Processes'!S124*N2O_to_CO2e/1000</f>
        <v>0</v>
      </c>
      <c r="S61" s="46">
        <f>'Other Industrial Processes'!T124*N2O_to_CO2e/1000</f>
        <v>0</v>
      </c>
      <c r="T61" s="46">
        <f>'Other Industrial Processes'!U124*N2O_to_CO2e/1000</f>
        <v>0</v>
      </c>
      <c r="U61" s="46">
        <f>'Other Industrial Processes'!V124*N2O_to_CO2e/1000</f>
        <v>0</v>
      </c>
      <c r="V61" s="46">
        <f>'Other Industrial Processes'!W124*N2O_to_CO2e/1000</f>
        <v>0</v>
      </c>
      <c r="W61" s="46">
        <f>'Other Industrial Processes'!X124*N2O_to_CO2e/1000</f>
        <v>0</v>
      </c>
      <c r="X61" s="46">
        <f>'Other Industrial Processes'!Y124*N2O_to_CO2e/1000</f>
        <v>0</v>
      </c>
      <c r="Y61" s="46">
        <f>'Other Industrial Processes'!Z124*N2O_to_CO2e/1000</f>
        <v>0</v>
      </c>
      <c r="Z61" s="46">
        <f>'Other Industrial Processes'!AA124*N2O_to_CO2e/1000</f>
        <v>0</v>
      </c>
      <c r="AA61" s="46">
        <f>'Other Industrial Processes'!AB124*N2O_to_CO2e/1000</f>
        <v>0</v>
      </c>
      <c r="AB61" s="46">
        <f>'Other Industrial Processes'!AC124*N2O_to_CO2e/1000</f>
        <v>0</v>
      </c>
      <c r="AC61" s="46">
        <f>'Other Industrial Processes'!AD124*N2O_to_CO2e/1000</f>
        <v>0</v>
      </c>
      <c r="AD61" s="46">
        <f>'Other Industrial Processes'!AE124*N2O_to_CO2e/1000</f>
        <v>0</v>
      </c>
      <c r="AE61" s="46">
        <f>'Other Industrial Processes'!AF124*N2O_to_CO2e/1000</f>
        <v>0</v>
      </c>
      <c r="AF61" s="46">
        <f>'Other Industrial Processes'!AG124*N2O_to_CO2e/1000</f>
        <v>0</v>
      </c>
      <c r="AG61" s="46">
        <f>'Other Industrial Processes'!AH124*N2O_to_CO2e/1000</f>
        <v>0</v>
      </c>
      <c r="AH61" s="46">
        <f>'Other Industrial Processes'!AI124*N2O_to_CO2e/1000</f>
        <v>0</v>
      </c>
      <c r="AI61" s="46">
        <f>'Other Industrial Processes'!AJ124*N2O_to_CO2e/1000</f>
        <v>0</v>
      </c>
      <c r="AJ61" s="46">
        <f>'Other Industrial Processes'!AK124*N2O_to_CO2e/1000</f>
        <v>0</v>
      </c>
      <c r="AK61" s="46">
        <f>'Other Industrial Processes'!AL124*N2O_to_CO2e/1000</f>
        <v>0</v>
      </c>
    </row>
    <row r="62" spans="1:37" x14ac:dyDescent="0.25">
      <c r="A62" s="69" t="s">
        <v>241</v>
      </c>
      <c r="B62" s="46">
        <f>'Other Industrial Processes'!C122/1000</f>
        <v>2.6763514213340698</v>
      </c>
      <c r="C62" s="46">
        <f>'Other Industrial Processes'!D122/1000</f>
        <v>2.8107435856304477</v>
      </c>
      <c r="D62" s="46">
        <f>'Other Industrial Processes'!E122/1000</f>
        <v>2.9451357499268256</v>
      </c>
      <c r="E62" s="46">
        <f>'Other Industrial Processes'!F122/1000</f>
        <v>3.0795279142232035</v>
      </c>
      <c r="F62" s="46">
        <f>'Other Industrial Processes'!G122/1000</f>
        <v>3.2139200785195814</v>
      </c>
      <c r="G62" s="46">
        <f>'Other Industrial Processes'!H122/1000</f>
        <v>3.3483122428159589</v>
      </c>
      <c r="H62" s="46">
        <f>'Other Industrial Processes'!I122/1000</f>
        <v>3.4827044071123368</v>
      </c>
      <c r="I62" s="46">
        <f>'Other Industrial Processes'!J122/1000</f>
        <v>3.6170965714087147</v>
      </c>
      <c r="J62" s="46">
        <f>'Other Industrial Processes'!K122/1000</f>
        <v>3.7514887357050926</v>
      </c>
      <c r="K62" s="46">
        <f>'Other Industrial Processes'!L122/1000</f>
        <v>3.8858809000014705</v>
      </c>
      <c r="L62" s="46">
        <f>'Other Industrial Processes'!M122/1000</f>
        <v>4.0202730642978484</v>
      </c>
      <c r="M62" s="46">
        <f>'Other Industrial Processes'!N122/1000</f>
        <v>4.1546652285942258</v>
      </c>
      <c r="N62" s="46">
        <f>'Other Industrial Processes'!O122/1000</f>
        <v>4.2890573928906033</v>
      </c>
      <c r="O62" s="46">
        <f>'Other Industrial Processes'!P122/1000</f>
        <v>4.4234495571869807</v>
      </c>
      <c r="P62" s="46">
        <f>'Other Industrial Processes'!Q122/1000</f>
        <v>4.5578417214833591</v>
      </c>
      <c r="Q62" s="46">
        <f>'Other Industrial Processes'!R122/1000</f>
        <v>4.6922338857797365</v>
      </c>
      <c r="R62" s="46">
        <f>'Other Industrial Processes'!S122/1000</f>
        <v>4.8266260500761149</v>
      </c>
      <c r="S62" s="46">
        <f>'Other Industrial Processes'!T122/1000</f>
        <v>4.9610182143724924</v>
      </c>
      <c r="T62" s="46">
        <f>'Other Industrial Processes'!U122/1000</f>
        <v>5.0954103786688698</v>
      </c>
      <c r="U62" s="46">
        <f>'Other Industrial Processes'!V122/1000</f>
        <v>5.2298025429652482</v>
      </c>
      <c r="V62" s="46">
        <f>'Other Industrial Processes'!W122/1000</f>
        <v>5.3641947072616256</v>
      </c>
      <c r="W62" s="46">
        <f>'Other Industrial Processes'!X122/1000</f>
        <v>5.498586871558004</v>
      </c>
      <c r="X62" s="46">
        <f>'Other Industrial Processes'!Y122/1000</f>
        <v>5.6329790358543814</v>
      </c>
      <c r="Y62" s="46">
        <f>'Other Industrial Processes'!Z122/1000</f>
        <v>5.7673712001507589</v>
      </c>
      <c r="Z62" s="46">
        <f>'Other Industrial Processes'!AA122/1000</f>
        <v>5.9017633644471372</v>
      </c>
      <c r="AA62" s="46">
        <f>'Other Industrial Processes'!AB122/1000</f>
        <v>6.0361555287435147</v>
      </c>
      <c r="AB62" s="46">
        <f>'Other Industrial Processes'!AC122/1000</f>
        <v>6.170547693039893</v>
      </c>
      <c r="AC62" s="46">
        <f>'Other Industrial Processes'!AD122/1000</f>
        <v>6.3049398573362705</v>
      </c>
      <c r="AD62" s="46">
        <f>'Other Industrial Processes'!AE122/1000</f>
        <v>6.439332021632648</v>
      </c>
      <c r="AE62" s="46">
        <f>'Other Industrial Processes'!AF122/1000</f>
        <v>6.5737241859290263</v>
      </c>
      <c r="AF62" s="46">
        <f>'Other Industrial Processes'!AG122/1000</f>
        <v>6.7081163502254038</v>
      </c>
      <c r="AG62" s="46">
        <f>'Other Industrial Processes'!AH122/1000</f>
        <v>6.8425085145217821</v>
      </c>
      <c r="AH62" s="46">
        <f>'Other Industrial Processes'!AI122/1000</f>
        <v>6.9769006788181596</v>
      </c>
      <c r="AI62" s="46">
        <f>'Other Industrial Processes'!AJ122/1000</f>
        <v>7.111292843114537</v>
      </c>
      <c r="AJ62" s="46">
        <f>'Other Industrial Processes'!AK122/1000</f>
        <v>7.2456850074109154</v>
      </c>
      <c r="AK62" s="46">
        <f>'Other Industrial Processes'!AL122/1000</f>
        <v>7.3800771717072928</v>
      </c>
    </row>
    <row r="63" spans="1:37" x14ac:dyDescent="0.25">
      <c r="A63" s="49"/>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row>
    <row r="64" spans="1:37" x14ac:dyDescent="0.25">
      <c r="A64" s="52" t="s">
        <v>141</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row>
    <row r="65" spans="1:37" x14ac:dyDescent="0.25">
      <c r="A65" s="48" t="s">
        <v>142</v>
      </c>
      <c r="B65" s="45">
        <f>SUM(B68,B69,B71,B73,B76)</f>
        <v>1.1584084580887581</v>
      </c>
      <c r="C65" s="45">
        <f t="shared" ref="C65:AK65" si="14">SUM(C68,C69,C71,C73,C76)</f>
        <v>1.1852491427194258</v>
      </c>
      <c r="D65" s="45">
        <f t="shared" si="14"/>
        <v>1.2126866380596804</v>
      </c>
      <c r="E65" s="45">
        <f t="shared" si="14"/>
        <v>1.2407358606933527</v>
      </c>
      <c r="F65" s="45">
        <f t="shared" si="14"/>
        <v>1.2694121000437706</v>
      </c>
      <c r="G65" s="45">
        <f t="shared" si="14"/>
        <v>1.2987310276932116</v>
      </c>
      <c r="H65" s="45">
        <f t="shared" si="14"/>
        <v>1.3287087069353163</v>
      </c>
      <c r="I65" s="45">
        <f t="shared" si="14"/>
        <v>1.3593616025662785</v>
      </c>
      <c r="J65" s="45">
        <f t="shared" si="14"/>
        <v>1.3907065909207821</v>
      </c>
      <c r="K65" s="45">
        <f t="shared" si="14"/>
        <v>1.4227609701588038</v>
      </c>
      <c r="L65" s="45">
        <f t="shared" si="14"/>
        <v>1.455542470809551</v>
      </c>
      <c r="M65" s="45">
        <f t="shared" si="14"/>
        <v>1.489069266578966</v>
      </c>
      <c r="N65" s="45">
        <f t="shared" si="14"/>
        <v>1.5233599854273796</v>
      </c>
      <c r="O65" s="45">
        <f t="shared" si="14"/>
        <v>1.5584337209240724</v>
      </c>
      <c r="P65" s="45">
        <f t="shared" si="14"/>
        <v>1.5943100438856619</v>
      </c>
      <c r="Q65" s="45">
        <f t="shared" si="14"/>
        <v>1.6310090143054137</v>
      </c>
      <c r="R65" s="45">
        <f t="shared" si="14"/>
        <v>1.6685511935807451</v>
      </c>
      <c r="S65" s="45">
        <f t="shared" si="14"/>
        <v>1.7069576570463783</v>
      </c>
      <c r="T65" s="45">
        <f t="shared" si="14"/>
        <v>1.7462500068207831</v>
      </c>
      <c r="U65" s="45">
        <f t="shared" si="14"/>
        <v>1.7864503849737401</v>
      </c>
      <c r="V65" s="45">
        <f t="shared" si="14"/>
        <v>1.8275814870230507</v>
      </c>
      <c r="W65" s="45">
        <f t="shared" si="14"/>
        <v>1.8696665757686231</v>
      </c>
      <c r="X65" s="45">
        <f t="shared" si="14"/>
        <v>1.9127294954723664</v>
      </c>
      <c r="Y65" s="45">
        <f t="shared" si="14"/>
        <v>1.9567946863925416</v>
      </c>
      <c r="Z65" s="45">
        <f t="shared" si="14"/>
        <v>2.0018871996814216</v>
      </c>
      <c r="AA65" s="45">
        <f t="shared" si="14"/>
        <v>2.048032712655349</v>
      </c>
      <c r="AB65" s="45">
        <f t="shared" si="14"/>
        <v>2.0952575444465014</v>
      </c>
      <c r="AC65" s="45">
        <f t="shared" si="14"/>
        <v>2.1435886720458974</v>
      </c>
      <c r="AD65" s="45">
        <f t="shared" si="14"/>
        <v>2.1930537467474345</v>
      </c>
      <c r="AE65" s="45">
        <f t="shared" si="14"/>
        <v>2.243681111002974</v>
      </c>
      <c r="AF65" s="45">
        <f t="shared" si="14"/>
        <v>2.2954998156987569</v>
      </c>
      <c r="AG65" s="45">
        <f t="shared" si="14"/>
        <v>2.3485396378636754</v>
      </c>
      <c r="AH65" s="45">
        <f t="shared" si="14"/>
        <v>2.402831098820196</v>
      </c>
      <c r="AI65" s="45">
        <f t="shared" si="14"/>
        <v>2.4584054827890092</v>
      </c>
      <c r="AJ65" s="45">
        <f t="shared" si="14"/>
        <v>2.5152948559587345</v>
      </c>
      <c r="AK65" s="45">
        <f t="shared" si="14"/>
        <v>2.5735320860323121</v>
      </c>
    </row>
    <row r="66" spans="1:37" x14ac:dyDescent="0.25">
      <c r="A66" s="48" t="s">
        <v>143</v>
      </c>
      <c r="B66" s="57">
        <f>SUM(B70,B72,B74)</f>
        <v>5.076577144672461</v>
      </c>
      <c r="C66" s="57">
        <f t="shared" ref="C66:AK66" si="15">SUM(C70,C72,C74)</f>
        <v>5.2056174107471778</v>
      </c>
      <c r="D66" s="57">
        <f t="shared" si="15"/>
        <v>5.3378151080718954</v>
      </c>
      <c r="E66" s="57">
        <f t="shared" si="15"/>
        <v>5.4732491724278631</v>
      </c>
      <c r="F66" s="57">
        <f t="shared" si="15"/>
        <v>5.6120005129908614</v>
      </c>
      <c r="G66" s="57">
        <f t="shared" si="15"/>
        <v>5.7541520616660673</v>
      </c>
      <c r="H66" s="57">
        <f t="shared" si="15"/>
        <v>5.8997888236562845</v>
      </c>
      <c r="I66" s="57">
        <f t="shared" si="15"/>
        <v>6.0489979292943898</v>
      </c>
      <c r="J66" s="57">
        <f t="shared" si="15"/>
        <v>6.2018686871715802</v>
      </c>
      <c r="K66" s="57">
        <f t="shared" si="15"/>
        <v>6.3584926385938312</v>
      </c>
      <c r="L66" s="57">
        <f t="shared" si="15"/>
        <v>6.5189636133997713</v>
      </c>
      <c r="M66" s="57">
        <f t="shared" si="15"/>
        <v>6.6833777871739919</v>
      </c>
      <c r="N66" s="57">
        <f t="shared" si="15"/>
        <v>6.8518337398906999</v>
      </c>
      <c r="O66" s="57">
        <f t="shared" si="15"/>
        <v>7.0244325160234578</v>
      </c>
      <c r="P66" s="57">
        <f t="shared" si="15"/>
        <v>7.2012776861576668</v>
      </c>
      <c r="Q66" s="57">
        <f t="shared" si="15"/>
        <v>7.3824754101433623</v>
      </c>
      <c r="R66" s="57">
        <f t="shared" si="15"/>
        <v>7.5681345018268331</v>
      </c>
      <c r="S66" s="57">
        <f t="shared" si="15"/>
        <v>7.758366495400522</v>
      </c>
      <c r="T66" s="57">
        <f t="shared" si="15"/>
        <v>7.9532857134116863</v>
      </c>
      <c r="U66" s="57">
        <f t="shared" si="15"/>
        <v>8.1530093364712606</v>
      </c>
      <c r="V66" s="57">
        <f t="shared" si="15"/>
        <v>8.3576574747054568</v>
      </c>
      <c r="W66" s="57">
        <f t="shared" si="15"/>
        <v>8.5673532409936399</v>
      </c>
      <c r="X66" s="57">
        <f t="shared" si="15"/>
        <v>8.7822228260371613</v>
      </c>
      <c r="Y66" s="57">
        <f t="shared" si="15"/>
        <v>9.0023955753049005</v>
      </c>
      <c r="Z66" s="57">
        <f t="shared" si="15"/>
        <v>9.2280040679024644</v>
      </c>
      <c r="AA66" s="57">
        <f t="shared" si="15"/>
        <v>9.4591841974131015</v>
      </c>
      <c r="AB66" s="57">
        <f t="shared" si="15"/>
        <v>9.6960752547596361</v>
      </c>
      <c r="AC66" s="57">
        <f t="shared" si="15"/>
        <v>9.9388200131379651</v>
      </c>
      <c r="AD66" s="57">
        <f t="shared" si="15"/>
        <v>10.187564815073886</v>
      </c>
      <c r="AE66" s="57">
        <f t="shared" si="15"/>
        <v>10.442459661656335</v>
      </c>
      <c r="AF66" s="57">
        <f t="shared" si="15"/>
        <v>10.703658304001477</v>
      </c>
      <c r="AG66" s="57">
        <f t="shared" si="15"/>
        <v>10.971318337003382</v>
      </c>
      <c r="AH66" s="57">
        <f t="shared" si="15"/>
        <v>11.245601295428465</v>
      </c>
      <c r="AI66" s="57">
        <f t="shared" si="15"/>
        <v>11.526672752412306</v>
      </c>
      <c r="AJ66" s="57">
        <f t="shared" si="15"/>
        <v>11.814702420418877</v>
      </c>
      <c r="AK66" s="57">
        <f t="shared" si="15"/>
        <v>12.109864254723746</v>
      </c>
    </row>
    <row r="67" spans="1:37" x14ac:dyDescent="0.25">
      <c r="A67" s="48" t="s">
        <v>178</v>
      </c>
      <c r="B67" s="45">
        <f>B75</f>
        <v>0.22498773735037192</v>
      </c>
      <c r="C67" s="45">
        <f t="shared" ref="C67:AK67" si="16">C75</f>
        <v>0</v>
      </c>
      <c r="D67" s="45">
        <f t="shared" si="16"/>
        <v>0</v>
      </c>
      <c r="E67" s="45">
        <f t="shared" si="16"/>
        <v>0</v>
      </c>
      <c r="F67" s="45">
        <f t="shared" si="16"/>
        <v>0</v>
      </c>
      <c r="G67" s="45">
        <f t="shared" si="16"/>
        <v>0</v>
      </c>
      <c r="H67" s="45">
        <f t="shared" si="16"/>
        <v>0</v>
      </c>
      <c r="I67" s="45">
        <f t="shared" si="16"/>
        <v>0</v>
      </c>
      <c r="J67" s="45">
        <f t="shared" si="16"/>
        <v>0</v>
      </c>
      <c r="K67" s="45">
        <f t="shared" si="16"/>
        <v>0</v>
      </c>
      <c r="L67" s="45">
        <f t="shared" si="16"/>
        <v>0</v>
      </c>
      <c r="M67" s="45">
        <f t="shared" si="16"/>
        <v>0</v>
      </c>
      <c r="N67" s="45">
        <f t="shared" si="16"/>
        <v>0</v>
      </c>
      <c r="O67" s="45">
        <f t="shared" si="16"/>
        <v>0</v>
      </c>
      <c r="P67" s="45">
        <f t="shared" si="16"/>
        <v>0</v>
      </c>
      <c r="Q67" s="45">
        <f t="shared" si="16"/>
        <v>0</v>
      </c>
      <c r="R67" s="45">
        <f t="shared" si="16"/>
        <v>0</v>
      </c>
      <c r="S67" s="45">
        <f t="shared" si="16"/>
        <v>0</v>
      </c>
      <c r="T67" s="45">
        <f t="shared" si="16"/>
        <v>0</v>
      </c>
      <c r="U67" s="45">
        <f t="shared" si="16"/>
        <v>0</v>
      </c>
      <c r="V67" s="45">
        <f t="shared" si="16"/>
        <v>0</v>
      </c>
      <c r="W67" s="45">
        <f t="shared" si="16"/>
        <v>0</v>
      </c>
      <c r="X67" s="45">
        <f t="shared" si="16"/>
        <v>0</v>
      </c>
      <c r="Y67" s="45">
        <f t="shared" si="16"/>
        <v>0</v>
      </c>
      <c r="Z67" s="45">
        <f t="shared" si="16"/>
        <v>0</v>
      </c>
      <c r="AA67" s="45">
        <f t="shared" si="16"/>
        <v>0</v>
      </c>
      <c r="AB67" s="45">
        <f t="shared" si="16"/>
        <v>0</v>
      </c>
      <c r="AC67" s="45">
        <f t="shared" si="16"/>
        <v>0</v>
      </c>
      <c r="AD67" s="45">
        <f t="shared" si="16"/>
        <v>0</v>
      </c>
      <c r="AE67" s="45">
        <f t="shared" si="16"/>
        <v>0</v>
      </c>
      <c r="AF67" s="45">
        <f t="shared" si="16"/>
        <v>0</v>
      </c>
      <c r="AG67" s="45">
        <f t="shared" si="16"/>
        <v>0</v>
      </c>
      <c r="AH67" s="45">
        <f t="shared" si="16"/>
        <v>0</v>
      </c>
      <c r="AI67" s="45">
        <f t="shared" si="16"/>
        <v>0</v>
      </c>
      <c r="AJ67" s="45">
        <f t="shared" si="16"/>
        <v>0</v>
      </c>
      <c r="AK67" s="45">
        <f t="shared" si="16"/>
        <v>0</v>
      </c>
    </row>
    <row r="68" spans="1:37" x14ac:dyDescent="0.25">
      <c r="A68" s="38" t="s">
        <v>144</v>
      </c>
      <c r="B68" s="39">
        <f>'Other - Semiconductor Mfg'!B7</f>
        <v>1.92121793628864E-3</v>
      </c>
      <c r="C68" s="39">
        <f>'Other - Semiconductor Mfg'!C7</f>
        <v>1.9603842390179178E-3</v>
      </c>
      <c r="D68" s="39">
        <f>'Other - Semiconductor Mfg'!D7</f>
        <v>2.0003489932088996E-3</v>
      </c>
      <c r="E68" s="39">
        <f>'Other - Semiconductor Mfg'!E7</f>
        <v>2.0411284762401546E-3</v>
      </c>
      <c r="F68" s="39">
        <f>'Other - Semiconductor Mfg'!F7</f>
        <v>2.0827392973238909E-3</v>
      </c>
      <c r="G68" s="39">
        <f>'Other - Semiconductor Mfg'!G7</f>
        <v>2.1251984042707749E-3</v>
      </c>
      <c r="H68" s="39">
        <f>'Other - Semiconductor Mfg'!H7</f>
        <v>2.1685230903926633E-3</v>
      </c>
      <c r="I68" s="39">
        <f>'Other - Semiconductor Mfg'!I7</f>
        <v>2.2127310015460535E-3</v>
      </c>
      <c r="J68" s="39">
        <f>'Other - Semiconductor Mfg'!J7</f>
        <v>2.2578401433191245E-3</v>
      </c>
      <c r="K68" s="39">
        <f>'Other - Semiconductor Mfg'!K7</f>
        <v>2.3038688883652916E-3</v>
      </c>
      <c r="L68" s="39">
        <f>'Other - Semiconductor Mfg'!L7</f>
        <v>2.3508359838862671E-3</v>
      </c>
      <c r="M68" s="39">
        <f>'Other - Semiconductor Mfg'!M7</f>
        <v>2.3987605592676706E-3</v>
      </c>
      <c r="N68" s="39">
        <f>'Other - Semiconductor Mfg'!N7</f>
        <v>2.4476621338703005E-3</v>
      </c>
      <c r="O68" s="39">
        <f>'Other - Semiconductor Mfg'!O7</f>
        <v>2.4975606249802397E-3</v>
      </c>
      <c r="P68" s="39">
        <f>'Other - Semiconductor Mfg'!P7</f>
        <v>2.548476355921034E-3</v>
      </c>
      <c r="Q68" s="39">
        <f>'Other - Semiconductor Mfg'!Q7</f>
        <v>2.6004300643312464E-3</v>
      </c>
      <c r="R68" s="39">
        <f>'Other - Semiconductor Mfg'!R7</f>
        <v>2.6534429106107593E-3</v>
      </c>
      <c r="S68" s="39">
        <f>'Other - Semiconductor Mfg'!S7</f>
        <v>2.7075364865392654E-3</v>
      </c>
      <c r="T68" s="39">
        <f>'Other - Semiconductor Mfg'!T7</f>
        <v>2.7627328240704546E-3</v>
      </c>
      <c r="U68" s="39">
        <f>'Other - Semiconductor Mfg'!U7</f>
        <v>2.8190544043054828E-3</v>
      </c>
      <c r="V68" s="39">
        <f>'Other - Semiconductor Mfg'!V7</f>
        <v>2.8765241666493758E-3</v>
      </c>
      <c r="W68" s="39">
        <f>'Other - Semiconductor Mfg'!W7</f>
        <v>2.9351655181540947E-3</v>
      </c>
      <c r="X68" s="39">
        <f>'Other - Semiconductor Mfg'!X7</f>
        <v>2.9950023430520742E-3</v>
      </c>
      <c r="Y68" s="39">
        <f>'Other - Semiconductor Mfg'!Y7</f>
        <v>3.0560590124841104E-3</v>
      </c>
      <c r="Z68" s="39">
        <f>'Other - Semiconductor Mfg'!Z7</f>
        <v>3.1183603944255644E-3</v>
      </c>
      <c r="AA68" s="39">
        <f>'Other - Semiconductor Mfg'!AA7</f>
        <v>3.1819318638149239E-3</v>
      </c>
      <c r="AB68" s="39">
        <f>'Other - Semiconductor Mfg'!AB7</f>
        <v>3.2467993128888466E-3</v>
      </c>
      <c r="AC68" s="39">
        <f>'Other - Semiconductor Mfg'!AC7</f>
        <v>3.3129891617278964E-3</v>
      </c>
      <c r="AD68" s="39">
        <f>'Other - Semiconductor Mfg'!AD7</f>
        <v>3.3805283690172649E-3</v>
      </c>
      <c r="AE68" s="39">
        <f>'Other - Semiconductor Mfg'!AE7</f>
        <v>3.4494444430268668E-3</v>
      </c>
      <c r="AF68" s="39">
        <f>'Other - Semiconductor Mfg'!AF7</f>
        <v>3.5197654528152733E-3</v>
      </c>
      <c r="AG68" s="39">
        <f>'Other - Semiconductor Mfg'!AG7</f>
        <v>3.5915200396620544E-3</v>
      </c>
      <c r="AH68" s="39">
        <f>'Other - Semiconductor Mfg'!AH7</f>
        <v>3.6647374287331808E-3</v>
      </c>
      <c r="AI68" s="39">
        <f>'Other - Semiconductor Mfg'!AI7</f>
        <v>3.7394474409842399E-3</v>
      </c>
      <c r="AJ68" s="39">
        <f>'Other - Semiconductor Mfg'!AJ7</f>
        <v>3.815680505306313E-3</v>
      </c>
      <c r="AK68" s="39">
        <f>'Other - Semiconductor Mfg'!AK7</f>
        <v>3.8934676709194587E-3</v>
      </c>
    </row>
    <row r="69" spans="1:37" x14ac:dyDescent="0.25">
      <c r="A69" s="38" t="s">
        <v>145</v>
      </c>
      <c r="B69" s="39">
        <f>'Other - Aluminum'!B4</f>
        <v>0.95361961299999998</v>
      </c>
      <c r="C69" s="39">
        <f>'Other - Aluminum'!C4</f>
        <v>0.97746010332499988</v>
      </c>
      <c r="D69" s="39">
        <f>'Other - Aluminum'!D4</f>
        <v>1.0018966059081249</v>
      </c>
      <c r="E69" s="39">
        <f>'Other - Aluminum'!E4</f>
        <v>1.0269440210558278</v>
      </c>
      <c r="F69" s="39">
        <f>'Other - Aluminum'!F4</f>
        <v>1.0526176215822234</v>
      </c>
      <c r="G69" s="39">
        <f>'Other - Aluminum'!G4</f>
        <v>1.078933062121779</v>
      </c>
      <c r="H69" s="39">
        <f>'Other - Aluminum'!H4</f>
        <v>1.1059063886748233</v>
      </c>
      <c r="I69" s="39">
        <f>'Other - Aluminum'!I4</f>
        <v>1.1335540483916937</v>
      </c>
      <c r="J69" s="39">
        <f>'Other - Aluminum'!J4</f>
        <v>1.1618928996014859</v>
      </c>
      <c r="K69" s="39">
        <f>'Other - Aluminum'!K4</f>
        <v>1.1909402220915228</v>
      </c>
      <c r="L69" s="39">
        <f>'Other - Aluminum'!L4</f>
        <v>1.2207137276438107</v>
      </c>
      <c r="M69" s="39">
        <f>'Other - Aluminum'!M4</f>
        <v>1.2512315708349058</v>
      </c>
      <c r="N69" s="39">
        <f>'Other - Aluminum'!N4</f>
        <v>1.2825123601057784</v>
      </c>
      <c r="O69" s="39">
        <f>'Other - Aluminum'!O4</f>
        <v>1.3145751691084226</v>
      </c>
      <c r="P69" s="39">
        <f>'Other - Aluminum'!P4</f>
        <v>1.347439548336133</v>
      </c>
      <c r="Q69" s="39">
        <f>'Other - Aluminum'!Q4</f>
        <v>1.3811255370445361</v>
      </c>
      <c r="R69" s="39">
        <f>'Other - Aluminum'!R4</f>
        <v>1.4156536754706495</v>
      </c>
      <c r="S69" s="39">
        <f>'Other - Aluminum'!S4</f>
        <v>1.4510450173574156</v>
      </c>
      <c r="T69" s="39">
        <f>'Other - Aluminum'!T4</f>
        <v>1.4873211427913509</v>
      </c>
      <c r="U69" s="39">
        <f>'Other - Aluminum'!U4</f>
        <v>1.5245041713611345</v>
      </c>
      <c r="V69" s="39">
        <f>'Other - Aluminum'!V4</f>
        <v>1.5626167756451628</v>
      </c>
      <c r="W69" s="39">
        <f>'Other - Aluminum'!W4</f>
        <v>1.6016821950362916</v>
      </c>
      <c r="X69" s="39">
        <f>'Other - Aluminum'!X4</f>
        <v>1.6417242499121987</v>
      </c>
      <c r="Y69" s="39">
        <f>'Other - Aluminum'!Y4</f>
        <v>1.6827673561600034</v>
      </c>
      <c r="Z69" s="39">
        <f>'Other - Aluminum'!Z4</f>
        <v>1.7248365400640033</v>
      </c>
      <c r="AA69" s="39">
        <f>'Other - Aluminum'!AA4</f>
        <v>1.7679574535656033</v>
      </c>
      <c r="AB69" s="39">
        <f>'Other - Aluminum'!AB4</f>
        <v>1.8121563899047433</v>
      </c>
      <c r="AC69" s="39">
        <f>'Other - Aluminum'!AC4</f>
        <v>1.8574602996523617</v>
      </c>
      <c r="AD69" s="39">
        <f>'Other - Aluminum'!AD4</f>
        <v>1.9038968071436706</v>
      </c>
      <c r="AE69" s="39">
        <f>'Other - Aluminum'!AE4</f>
        <v>1.9514942273222622</v>
      </c>
      <c r="AF69" s="39">
        <f>'Other - Aluminum'!AF4</f>
        <v>2.0002815830053184</v>
      </c>
      <c r="AG69" s="39">
        <f>'Other - Aluminum'!AG4</f>
        <v>2.0502886225804513</v>
      </c>
      <c r="AH69" s="39">
        <f>'Other - Aluminum'!AH4</f>
        <v>2.1015458381449625</v>
      </c>
      <c r="AI69" s="39">
        <f>'Other - Aluminum'!AI4</f>
        <v>2.1540844840985862</v>
      </c>
      <c r="AJ69" s="39">
        <f>'Other - Aluminum'!AJ4</f>
        <v>2.2079365962010509</v>
      </c>
      <c r="AK69" s="39">
        <f>'Other - Aluminum'!AK4</f>
        <v>2.2631350111060771</v>
      </c>
    </row>
    <row r="70" spans="1:37" x14ac:dyDescent="0.25">
      <c r="A70" s="38" t="s">
        <v>176</v>
      </c>
      <c r="B70" s="39">
        <f>'Other - Aluminum'!B3</f>
        <v>5.0518900000000002</v>
      </c>
      <c r="C70" s="39">
        <f>'Other - Aluminum'!C3</f>
        <v>5.1781872499999997</v>
      </c>
      <c r="D70" s="39">
        <f>'Other - Aluminum'!D3</f>
        <v>5.3076419312499992</v>
      </c>
      <c r="E70" s="39">
        <f>'Other - Aluminum'!E3</f>
        <v>5.4403329795312487</v>
      </c>
      <c r="F70" s="39">
        <f>'Other - Aluminum'!F3</f>
        <v>5.5763413040195298</v>
      </c>
      <c r="G70" s="39">
        <f>'Other - Aluminum'!G3</f>
        <v>5.7157498366200175</v>
      </c>
      <c r="H70" s="39">
        <f>'Other - Aluminum'!H3</f>
        <v>5.8586435825355174</v>
      </c>
      <c r="I70" s="39">
        <f>'Other - Aluminum'!I3</f>
        <v>6.0051096720989046</v>
      </c>
      <c r="J70" s="39">
        <f>'Other - Aluminum'!J3</f>
        <v>6.1552374139013768</v>
      </c>
      <c r="K70" s="39">
        <f>'Other - Aluminum'!K3</f>
        <v>6.3091183492489105</v>
      </c>
      <c r="L70" s="39">
        <f>'Other - Aluminum'!L3</f>
        <v>6.4668463079801324</v>
      </c>
      <c r="M70" s="39">
        <f>'Other - Aluminum'!M3</f>
        <v>6.6285174656796348</v>
      </c>
      <c r="N70" s="39">
        <f>'Other - Aluminum'!N3</f>
        <v>6.7942304023216256</v>
      </c>
      <c r="O70" s="39">
        <f>'Other - Aluminum'!O3</f>
        <v>6.9640861623796653</v>
      </c>
      <c r="P70" s="39">
        <f>'Other - Aluminum'!P3</f>
        <v>7.1381883164391562</v>
      </c>
      <c r="Q70" s="39">
        <f>'Other - Aluminum'!Q3</f>
        <v>7.3166430243501344</v>
      </c>
      <c r="R70" s="39">
        <f>'Other - Aluminum'!R3</f>
        <v>7.499559099958887</v>
      </c>
      <c r="S70" s="39">
        <f>'Other - Aluminum'!S3</f>
        <v>7.6870480774578587</v>
      </c>
      <c r="T70" s="39">
        <f>'Other - Aluminum'!T3</f>
        <v>7.8792242793943048</v>
      </c>
      <c r="U70" s="39">
        <f>'Other - Aluminum'!U3</f>
        <v>8.0762048863791609</v>
      </c>
      <c r="V70" s="39">
        <f>'Other - Aluminum'!V3</f>
        <v>8.2781100085386399</v>
      </c>
      <c r="W70" s="39">
        <f>'Other - Aluminum'!W3</f>
        <v>8.4850627587521057</v>
      </c>
      <c r="X70" s="39">
        <f>'Other - Aluminum'!X3</f>
        <v>8.697189327720908</v>
      </c>
      <c r="Y70" s="39">
        <f>'Other - Aluminum'!Y3</f>
        <v>8.91461906091393</v>
      </c>
      <c r="Z70" s="39">
        <f>'Other - Aluminum'!Z3</f>
        <v>9.1374845374367766</v>
      </c>
      <c r="AA70" s="39">
        <f>'Other - Aluminum'!AA3</f>
        <v>9.3659216508726946</v>
      </c>
      <c r="AB70" s="39">
        <f>'Other - Aluminum'!AB3</f>
        <v>9.6000696921445119</v>
      </c>
      <c r="AC70" s="39">
        <f>'Other - Aluminum'!AC3</f>
        <v>9.8400714344481237</v>
      </c>
      <c r="AD70" s="39">
        <f>'Other - Aluminum'!AD3</f>
        <v>10.086073220309325</v>
      </c>
      <c r="AE70" s="39">
        <f>'Other - Aluminum'!AE3</f>
        <v>10.338225050817057</v>
      </c>
      <c r="AF70" s="39">
        <f>'Other - Aluminum'!AF3</f>
        <v>10.596680677087482</v>
      </c>
      <c r="AG70" s="39">
        <f>'Other - Aluminum'!AG3</f>
        <v>10.861597694014668</v>
      </c>
      <c r="AH70" s="39">
        <f>'Other - Aluminum'!AH3</f>
        <v>11.133137636365033</v>
      </c>
      <c r="AI70" s="39">
        <f>'Other - Aluminum'!AI3</f>
        <v>11.411466077274158</v>
      </c>
      <c r="AJ70" s="39">
        <f>'Other - Aluminum'!AJ3</f>
        <v>11.696752729206011</v>
      </c>
      <c r="AK70" s="39">
        <f>'Other - Aluminum'!AK3</f>
        <v>11.989171547436161</v>
      </c>
    </row>
    <row r="71" spans="1:37" x14ac:dyDescent="0.25">
      <c r="A71" s="38" t="s">
        <v>146</v>
      </c>
      <c r="B71" s="39">
        <f>'Other - Magnesium'!B4</f>
        <v>0</v>
      </c>
      <c r="C71" s="39">
        <f>'Other - Magnesium'!C4</f>
        <v>0</v>
      </c>
      <c r="D71" s="39">
        <f>'Other - Magnesium'!D4</f>
        <v>0</v>
      </c>
      <c r="E71" s="39">
        <f>'Other - Magnesium'!E4</f>
        <v>0</v>
      </c>
      <c r="F71" s="39">
        <f>'Other - Magnesium'!F4</f>
        <v>0</v>
      </c>
      <c r="G71" s="39">
        <f>'Other - Magnesium'!G4</f>
        <v>0</v>
      </c>
      <c r="H71" s="39">
        <f>'Other - Magnesium'!H4</f>
        <v>0</v>
      </c>
      <c r="I71" s="39">
        <f>'Other - Magnesium'!I4</f>
        <v>0</v>
      </c>
      <c r="J71" s="39">
        <f>'Other - Magnesium'!J4</f>
        <v>0</v>
      </c>
      <c r="K71" s="39">
        <f>'Other - Magnesium'!K4</f>
        <v>0</v>
      </c>
      <c r="L71" s="39">
        <f>'Other - Magnesium'!L4</f>
        <v>0</v>
      </c>
      <c r="M71" s="39">
        <f>'Other - Magnesium'!M4</f>
        <v>0</v>
      </c>
      <c r="N71" s="39">
        <f>'Other - Magnesium'!N4</f>
        <v>0</v>
      </c>
      <c r="O71" s="39">
        <f>'Other - Magnesium'!O4</f>
        <v>0</v>
      </c>
      <c r="P71" s="39">
        <f>'Other - Magnesium'!P4</f>
        <v>0</v>
      </c>
      <c r="Q71" s="39">
        <f>'Other - Magnesium'!Q4</f>
        <v>0</v>
      </c>
      <c r="R71" s="39">
        <f>'Other - Magnesium'!R4</f>
        <v>0</v>
      </c>
      <c r="S71" s="39">
        <f>'Other - Magnesium'!S4</f>
        <v>0</v>
      </c>
      <c r="T71" s="39">
        <f>'Other - Magnesium'!T4</f>
        <v>0</v>
      </c>
      <c r="U71" s="39">
        <f>'Other - Magnesium'!U4</f>
        <v>0</v>
      </c>
      <c r="V71" s="39">
        <f>'Other - Magnesium'!V4</f>
        <v>0</v>
      </c>
      <c r="W71" s="39">
        <f>'Other - Magnesium'!W4</f>
        <v>0</v>
      </c>
      <c r="X71" s="39">
        <f>'Other - Magnesium'!X4</f>
        <v>0</v>
      </c>
      <c r="Y71" s="39">
        <f>'Other - Magnesium'!Y4</f>
        <v>0</v>
      </c>
      <c r="Z71" s="39">
        <f>'Other - Magnesium'!Z4</f>
        <v>0</v>
      </c>
      <c r="AA71" s="39">
        <f>'Other - Magnesium'!AA4</f>
        <v>0</v>
      </c>
      <c r="AB71" s="39">
        <f>'Other - Magnesium'!AB4</f>
        <v>0</v>
      </c>
      <c r="AC71" s="39">
        <f>'Other - Magnesium'!AC4</f>
        <v>0</v>
      </c>
      <c r="AD71" s="39">
        <f>'Other - Magnesium'!AD4</f>
        <v>0</v>
      </c>
      <c r="AE71" s="39">
        <f>'Other - Magnesium'!AE4</f>
        <v>0</v>
      </c>
      <c r="AF71" s="39">
        <f>'Other - Magnesium'!AF4</f>
        <v>0</v>
      </c>
      <c r="AG71" s="39">
        <f>'Other - Magnesium'!AG4</f>
        <v>0</v>
      </c>
      <c r="AH71" s="39">
        <f>'Other - Magnesium'!AH4</f>
        <v>0</v>
      </c>
      <c r="AI71" s="39">
        <f>'Other - Magnesium'!AI4</f>
        <v>0</v>
      </c>
      <c r="AJ71" s="39">
        <f>'Other - Magnesium'!AJ4</f>
        <v>0</v>
      </c>
      <c r="AK71" s="39">
        <f>'Other - Magnesium'!AK4</f>
        <v>0</v>
      </c>
    </row>
    <row r="72" spans="1:37" x14ac:dyDescent="0.25">
      <c r="A72" s="38" t="s">
        <v>177</v>
      </c>
      <c r="B72" s="39">
        <f>'Other - Magnesium'!B3</f>
        <v>0</v>
      </c>
      <c r="C72" s="39">
        <f>'Other - Magnesium'!C3</f>
        <v>0</v>
      </c>
      <c r="D72" s="39">
        <f>'Other - Magnesium'!D3</f>
        <v>0</v>
      </c>
      <c r="E72" s="39">
        <f>'Other - Magnesium'!E3</f>
        <v>0</v>
      </c>
      <c r="F72" s="39">
        <f>'Other - Magnesium'!F3</f>
        <v>0</v>
      </c>
      <c r="G72" s="39">
        <f>'Other - Magnesium'!G3</f>
        <v>0</v>
      </c>
      <c r="H72" s="39">
        <f>'Other - Magnesium'!H3</f>
        <v>0</v>
      </c>
      <c r="I72" s="39">
        <f>'Other - Magnesium'!I3</f>
        <v>0</v>
      </c>
      <c r="J72" s="39">
        <f>'Other - Magnesium'!J3</f>
        <v>0</v>
      </c>
      <c r="K72" s="39">
        <f>'Other - Magnesium'!K3</f>
        <v>0</v>
      </c>
      <c r="L72" s="39">
        <f>'Other - Magnesium'!L3</f>
        <v>0</v>
      </c>
      <c r="M72" s="39">
        <f>'Other - Magnesium'!M3</f>
        <v>0</v>
      </c>
      <c r="N72" s="39">
        <f>'Other - Magnesium'!N3</f>
        <v>0</v>
      </c>
      <c r="O72" s="39">
        <f>'Other - Magnesium'!O3</f>
        <v>0</v>
      </c>
      <c r="P72" s="39">
        <f>'Other - Magnesium'!P3</f>
        <v>0</v>
      </c>
      <c r="Q72" s="39">
        <f>'Other - Magnesium'!Q3</f>
        <v>0</v>
      </c>
      <c r="R72" s="39">
        <f>'Other - Magnesium'!R3</f>
        <v>0</v>
      </c>
      <c r="S72" s="39">
        <f>'Other - Magnesium'!S3</f>
        <v>0</v>
      </c>
      <c r="T72" s="39">
        <f>'Other - Magnesium'!T3</f>
        <v>0</v>
      </c>
      <c r="U72" s="39">
        <f>'Other - Magnesium'!U3</f>
        <v>0</v>
      </c>
      <c r="V72" s="39">
        <f>'Other - Magnesium'!V3</f>
        <v>0</v>
      </c>
      <c r="W72" s="39">
        <f>'Other - Magnesium'!W3</f>
        <v>0</v>
      </c>
      <c r="X72" s="39">
        <f>'Other - Magnesium'!X3</f>
        <v>0</v>
      </c>
      <c r="Y72" s="39">
        <f>'Other - Magnesium'!Y3</f>
        <v>0</v>
      </c>
      <c r="Z72" s="39">
        <f>'Other - Magnesium'!Z3</f>
        <v>0</v>
      </c>
      <c r="AA72" s="39">
        <f>'Other - Magnesium'!AA3</f>
        <v>0</v>
      </c>
      <c r="AB72" s="39">
        <f>'Other - Magnesium'!AB3</f>
        <v>0</v>
      </c>
      <c r="AC72" s="39">
        <f>'Other - Magnesium'!AC3</f>
        <v>0</v>
      </c>
      <c r="AD72" s="39">
        <f>'Other - Magnesium'!AD3</f>
        <v>0</v>
      </c>
      <c r="AE72" s="39">
        <f>'Other - Magnesium'!AE3</f>
        <v>0</v>
      </c>
      <c r="AF72" s="39">
        <f>'Other - Magnesium'!AF3</f>
        <v>0</v>
      </c>
      <c r="AG72" s="39">
        <f>'Other - Magnesium'!AG3</f>
        <v>0</v>
      </c>
      <c r="AH72" s="39">
        <f>'Other - Magnesium'!AH3</f>
        <v>0</v>
      </c>
      <c r="AI72" s="39">
        <f>'Other - Magnesium'!AI3</f>
        <v>0</v>
      </c>
      <c r="AJ72" s="39">
        <f>'Other - Magnesium'!AJ3</f>
        <v>0</v>
      </c>
      <c r="AK72" s="39">
        <f>'Other - Magnesium'!AK3</f>
        <v>0</v>
      </c>
    </row>
    <row r="73" spans="1:37" x14ac:dyDescent="0.25">
      <c r="A73" s="38" t="s">
        <v>147</v>
      </c>
      <c r="B73" s="39">
        <f>'Other - Elec Trans and Dist'!B1</f>
        <v>0</v>
      </c>
      <c r="C73" s="39">
        <f>'Other - Elec Trans and Dist'!C1</f>
        <v>0</v>
      </c>
      <c r="D73" s="39">
        <f>'Other - Elec Trans and Dist'!D1</f>
        <v>0</v>
      </c>
      <c r="E73" s="39">
        <f>'Other - Elec Trans and Dist'!E1</f>
        <v>0</v>
      </c>
      <c r="F73" s="39">
        <f>'Other - Elec Trans and Dist'!F1</f>
        <v>0</v>
      </c>
      <c r="G73" s="39">
        <f>'Other - Elec Trans and Dist'!G1</f>
        <v>0</v>
      </c>
      <c r="H73" s="39">
        <f>'Other - Elec Trans and Dist'!H1</f>
        <v>0</v>
      </c>
      <c r="I73" s="39">
        <f>'Other - Elec Trans and Dist'!I1</f>
        <v>0</v>
      </c>
      <c r="J73" s="39">
        <f>'Other - Elec Trans and Dist'!J1</f>
        <v>0</v>
      </c>
      <c r="K73" s="39">
        <f>'Other - Elec Trans and Dist'!K1</f>
        <v>0</v>
      </c>
      <c r="L73" s="39">
        <f>'Other - Elec Trans and Dist'!L1</f>
        <v>0</v>
      </c>
      <c r="M73" s="39">
        <f>'Other - Elec Trans and Dist'!M1</f>
        <v>0</v>
      </c>
      <c r="N73" s="39">
        <f>'Other - Elec Trans and Dist'!N1</f>
        <v>0</v>
      </c>
      <c r="O73" s="39">
        <f>'Other - Elec Trans and Dist'!O1</f>
        <v>0</v>
      </c>
      <c r="P73" s="39">
        <f>'Other - Elec Trans and Dist'!P1</f>
        <v>0</v>
      </c>
      <c r="Q73" s="39">
        <f>'Other - Elec Trans and Dist'!Q1</f>
        <v>0</v>
      </c>
      <c r="R73" s="39">
        <f>'Other - Elec Trans and Dist'!R1</f>
        <v>0</v>
      </c>
      <c r="S73" s="39">
        <f>'Other - Elec Trans and Dist'!S1</f>
        <v>0</v>
      </c>
      <c r="T73" s="39">
        <f>'Other - Elec Trans and Dist'!T1</f>
        <v>0</v>
      </c>
      <c r="U73" s="39">
        <f>'Other - Elec Trans and Dist'!U1</f>
        <v>0</v>
      </c>
      <c r="V73" s="39">
        <f>'Other - Elec Trans and Dist'!V1</f>
        <v>0</v>
      </c>
      <c r="W73" s="39">
        <f>'Other - Elec Trans and Dist'!W1</f>
        <v>0</v>
      </c>
      <c r="X73" s="39">
        <f>'Other - Elec Trans and Dist'!X1</f>
        <v>0</v>
      </c>
      <c r="Y73" s="39">
        <f>'Other - Elec Trans and Dist'!Y1</f>
        <v>0</v>
      </c>
      <c r="Z73" s="39">
        <f>'Other - Elec Trans and Dist'!Z1</f>
        <v>0</v>
      </c>
      <c r="AA73" s="39">
        <f>'Other - Elec Trans and Dist'!AA1</f>
        <v>0</v>
      </c>
      <c r="AB73" s="39">
        <f>'Other - Elec Trans and Dist'!AB1</f>
        <v>0</v>
      </c>
      <c r="AC73" s="39">
        <f>'Other - Elec Trans and Dist'!AC1</f>
        <v>0</v>
      </c>
      <c r="AD73" s="39">
        <f>'Other - Elec Trans and Dist'!AD1</f>
        <v>0</v>
      </c>
      <c r="AE73" s="39">
        <f>'Other - Elec Trans and Dist'!AE1</f>
        <v>0</v>
      </c>
      <c r="AF73" s="39">
        <f>'Other - Elec Trans and Dist'!AF1</f>
        <v>0</v>
      </c>
      <c r="AG73" s="39">
        <f>'Other - Elec Trans and Dist'!AG1</f>
        <v>0</v>
      </c>
      <c r="AH73" s="39">
        <f>'Other - Elec Trans and Dist'!AH1</f>
        <v>0</v>
      </c>
      <c r="AI73" s="39">
        <f>'Other - Elec Trans and Dist'!AI1</f>
        <v>0</v>
      </c>
      <c r="AJ73" s="39">
        <f>'Other - Elec Trans and Dist'!AJ1</f>
        <v>0</v>
      </c>
      <c r="AK73" s="39">
        <f>'Other - Elec Trans and Dist'!AK1</f>
        <v>0</v>
      </c>
    </row>
    <row r="74" spans="1:37" x14ac:dyDescent="0.25">
      <c r="A74" s="38" t="s">
        <v>243</v>
      </c>
      <c r="B74" s="39">
        <f>'Other Industrial Processes'!C127/1000</f>
        <v>2.4687144672460502E-2</v>
      </c>
      <c r="C74" s="39">
        <f>'Other Industrial Processes'!D127/1000</f>
        <v>2.7430160747178335E-2</v>
      </c>
      <c r="D74" s="39">
        <f>'Other Industrial Processes'!E127/1000</f>
        <v>3.0173176821896165E-2</v>
      </c>
      <c r="E74" s="39">
        <f>'Other Industrial Processes'!F127/1000</f>
        <v>3.2916192896614002E-2</v>
      </c>
      <c r="F74" s="39">
        <f>'Other Industrial Processes'!G127/1000</f>
        <v>3.5659208971331839E-2</v>
      </c>
      <c r="G74" s="39">
        <f>'Other Industrial Processes'!H127/1000</f>
        <v>3.8402225046049669E-2</v>
      </c>
      <c r="H74" s="39">
        <f>'Other Industrial Processes'!I127/1000</f>
        <v>4.1145241120767506E-2</v>
      </c>
      <c r="I74" s="39">
        <f>'Other Industrial Processes'!J127/1000</f>
        <v>4.3888257195485343E-2</v>
      </c>
      <c r="J74" s="39">
        <f>'Other Industrial Processes'!K127/1000</f>
        <v>4.663127327020318E-2</v>
      </c>
      <c r="K74" s="39">
        <f>'Other Industrial Processes'!L127/1000</f>
        <v>4.9374289344921017E-2</v>
      </c>
      <c r="L74" s="39">
        <f>'Other Industrial Processes'!M127/1000</f>
        <v>5.2117305419638854E-2</v>
      </c>
      <c r="M74" s="39">
        <f>'Other Industrial Processes'!N127/1000</f>
        <v>5.4860321494356691E-2</v>
      </c>
      <c r="N74" s="39">
        <f>'Other Industrial Processes'!O127/1000</f>
        <v>5.7603337569074528E-2</v>
      </c>
      <c r="O74" s="39">
        <f>'Other Industrial Processes'!P127/1000</f>
        <v>6.0346353643792365E-2</v>
      </c>
      <c r="P74" s="39">
        <f>'Other Industrial Processes'!Q127/1000</f>
        <v>6.3089369718510202E-2</v>
      </c>
      <c r="Q74" s="39">
        <f>'Other Industrial Processes'!R127/1000</f>
        <v>6.5832385793228032E-2</v>
      </c>
      <c r="R74" s="39">
        <f>'Other Industrial Processes'!S127/1000</f>
        <v>6.8575401867945862E-2</v>
      </c>
      <c r="S74" s="39">
        <f>'Other Industrial Processes'!T127/1000</f>
        <v>7.1318417942663692E-2</v>
      </c>
      <c r="T74" s="39">
        <f>'Other Industrial Processes'!U127/1000</f>
        <v>7.4061434017381508E-2</v>
      </c>
      <c r="U74" s="39">
        <f>'Other Industrial Processes'!V127/1000</f>
        <v>7.6804450092099338E-2</v>
      </c>
      <c r="V74" s="39">
        <f>'Other Industrial Processes'!W127/1000</f>
        <v>7.9547466166817168E-2</v>
      </c>
      <c r="W74" s="39">
        <f>'Other Industrial Processes'!X127/1000</f>
        <v>8.2290482241534998E-2</v>
      </c>
      <c r="X74" s="39">
        <f>'Other Industrial Processes'!Y127/1000</f>
        <v>8.5033498316252829E-2</v>
      </c>
      <c r="Y74" s="39">
        <f>'Other Industrial Processes'!Z127/1000</f>
        <v>8.7776514390970659E-2</v>
      </c>
      <c r="Z74" s="39">
        <f>'Other Industrial Processes'!AA127/1000</f>
        <v>9.0519530465688489E-2</v>
      </c>
      <c r="AA74" s="39">
        <f>'Other Industrial Processes'!AB127/1000</f>
        <v>9.3262546540406319E-2</v>
      </c>
      <c r="AB74" s="39">
        <f>'Other Industrial Processes'!AC127/1000</f>
        <v>9.6005562615124149E-2</v>
      </c>
      <c r="AC74" s="39">
        <f>'Other Industrial Processes'!AD127/1000</f>
        <v>9.8748578689841979E-2</v>
      </c>
      <c r="AD74" s="39">
        <f>'Other Industrial Processes'!AE127/1000</f>
        <v>0.10149159476455981</v>
      </c>
      <c r="AE74" s="39">
        <f>'Other Industrial Processes'!AF127/1000</f>
        <v>0.10423461083927764</v>
      </c>
      <c r="AF74" s="39">
        <f>'Other Industrial Processes'!AG127/1000</f>
        <v>0.10697762691399547</v>
      </c>
      <c r="AG74" s="39">
        <f>'Other Industrial Processes'!AH127/1000</f>
        <v>0.1097206429887133</v>
      </c>
      <c r="AH74" s="39">
        <f>'Other Industrial Processes'!AI127/1000</f>
        <v>0.11246365906343113</v>
      </c>
      <c r="AI74" s="39">
        <f>'Other Industrial Processes'!AJ127/1000</f>
        <v>0.11520667513814896</v>
      </c>
      <c r="AJ74" s="39">
        <f>'Other Industrial Processes'!AK127/1000</f>
        <v>0.11794969121286678</v>
      </c>
      <c r="AK74" s="39">
        <f>'Other Industrial Processes'!AL127/1000</f>
        <v>0.12069270728758461</v>
      </c>
    </row>
    <row r="75" spans="1:37" x14ac:dyDescent="0.25">
      <c r="A75" s="54" t="s">
        <v>264</v>
      </c>
      <c r="B75" s="39">
        <f>'Other Industrial Processes'!C128*N2O_to_CO2e/1000</f>
        <v>0.22498773735037192</v>
      </c>
      <c r="C75" s="39">
        <f>'Other Industrial Processes'!D128*N2O_to_CO2e/1000</f>
        <v>0</v>
      </c>
      <c r="D75" s="39">
        <f>'Other Industrial Processes'!E128*N2O_to_CO2e/1000</f>
        <v>0</v>
      </c>
      <c r="E75" s="39">
        <f>'Other Industrial Processes'!F128*N2O_to_CO2e/1000</f>
        <v>0</v>
      </c>
      <c r="F75" s="39">
        <f>'Other Industrial Processes'!G128*N2O_to_CO2e/1000</f>
        <v>0</v>
      </c>
      <c r="G75" s="39">
        <f>'Other Industrial Processes'!H128*N2O_to_CO2e/1000</f>
        <v>0</v>
      </c>
      <c r="H75" s="39">
        <f>'Other Industrial Processes'!I128*N2O_to_CO2e/1000</f>
        <v>0</v>
      </c>
      <c r="I75" s="39">
        <f>'Other Industrial Processes'!J128*N2O_to_CO2e/1000</f>
        <v>0</v>
      </c>
      <c r="J75" s="39">
        <f>'Other Industrial Processes'!K128*N2O_to_CO2e/1000</f>
        <v>0</v>
      </c>
      <c r="K75" s="39">
        <f>'Other Industrial Processes'!L128*N2O_to_CO2e/1000</f>
        <v>0</v>
      </c>
      <c r="L75" s="39">
        <f>'Other Industrial Processes'!M128*N2O_to_CO2e/1000</f>
        <v>0</v>
      </c>
      <c r="M75" s="39">
        <f>'Other Industrial Processes'!N128*N2O_to_CO2e/1000</f>
        <v>0</v>
      </c>
      <c r="N75" s="39">
        <f>'Other Industrial Processes'!O128*N2O_to_CO2e/1000</f>
        <v>0</v>
      </c>
      <c r="O75" s="39">
        <f>'Other Industrial Processes'!P128*N2O_to_CO2e/1000</f>
        <v>0</v>
      </c>
      <c r="P75" s="39">
        <f>'Other Industrial Processes'!Q128*N2O_to_CO2e/1000</f>
        <v>0</v>
      </c>
      <c r="Q75" s="39">
        <f>'Other Industrial Processes'!R128*N2O_to_CO2e/1000</f>
        <v>0</v>
      </c>
      <c r="R75" s="39">
        <f>'Other Industrial Processes'!S128*N2O_to_CO2e/1000</f>
        <v>0</v>
      </c>
      <c r="S75" s="39">
        <f>'Other Industrial Processes'!T128*N2O_to_CO2e/1000</f>
        <v>0</v>
      </c>
      <c r="T75" s="39">
        <f>'Other Industrial Processes'!U128*N2O_to_CO2e/1000</f>
        <v>0</v>
      </c>
      <c r="U75" s="39">
        <f>'Other Industrial Processes'!V128*N2O_to_CO2e/1000</f>
        <v>0</v>
      </c>
      <c r="V75" s="39">
        <f>'Other Industrial Processes'!W128*N2O_to_CO2e/1000</f>
        <v>0</v>
      </c>
      <c r="W75" s="39">
        <f>'Other Industrial Processes'!X128*N2O_to_CO2e/1000</f>
        <v>0</v>
      </c>
      <c r="X75" s="39">
        <f>'Other Industrial Processes'!Y128*N2O_to_CO2e/1000</f>
        <v>0</v>
      </c>
      <c r="Y75" s="39">
        <f>'Other Industrial Processes'!Z128*N2O_to_CO2e/1000</f>
        <v>0</v>
      </c>
      <c r="Z75" s="39">
        <f>'Other Industrial Processes'!AA128*N2O_to_CO2e/1000</f>
        <v>0</v>
      </c>
      <c r="AA75" s="39">
        <f>'Other Industrial Processes'!AB128*N2O_to_CO2e/1000</f>
        <v>0</v>
      </c>
      <c r="AB75" s="39">
        <f>'Other Industrial Processes'!AC128*N2O_to_CO2e/1000</f>
        <v>0</v>
      </c>
      <c r="AC75" s="39">
        <f>'Other Industrial Processes'!AD128*N2O_to_CO2e/1000</f>
        <v>0</v>
      </c>
      <c r="AD75" s="39">
        <f>'Other Industrial Processes'!AE128*N2O_to_CO2e/1000</f>
        <v>0</v>
      </c>
      <c r="AE75" s="39">
        <f>'Other Industrial Processes'!AF128*N2O_to_CO2e/1000</f>
        <v>0</v>
      </c>
      <c r="AF75" s="39">
        <f>'Other Industrial Processes'!AG128*N2O_to_CO2e/1000</f>
        <v>0</v>
      </c>
      <c r="AG75" s="39">
        <f>'Other Industrial Processes'!AH128*N2O_to_CO2e/1000</f>
        <v>0</v>
      </c>
      <c r="AH75" s="39">
        <f>'Other Industrial Processes'!AI128*N2O_to_CO2e/1000</f>
        <v>0</v>
      </c>
      <c r="AI75" s="39">
        <f>'Other Industrial Processes'!AJ128*N2O_to_CO2e/1000</f>
        <v>0</v>
      </c>
      <c r="AJ75" s="39">
        <f>'Other Industrial Processes'!AK128*N2O_to_CO2e/1000</f>
        <v>0</v>
      </c>
      <c r="AK75" s="39">
        <f>'Other Industrial Processes'!AL128*N2O_to_CO2e/1000</f>
        <v>0</v>
      </c>
    </row>
    <row r="76" spans="1:37" x14ac:dyDescent="0.25">
      <c r="A76" s="54" t="s">
        <v>851</v>
      </c>
      <c r="B76" s="58">
        <f>SUM('Other Industrial Processes'!C129:C130)/10^3</f>
        <v>0.20286762715246948</v>
      </c>
      <c r="C76" s="58">
        <f>SUM('Other Industrial Processes'!D129:D130)/10^3</f>
        <v>0.20582865515540794</v>
      </c>
      <c r="D76" s="58">
        <f>SUM('Other Industrial Processes'!E129:E130)/10^3</f>
        <v>0.2087896831583464</v>
      </c>
      <c r="E76" s="58">
        <f>SUM('Other Industrial Processes'!F129:F130)/10^3</f>
        <v>0.21175071116128488</v>
      </c>
      <c r="F76" s="58">
        <f>SUM('Other Industrial Processes'!G129:G130)/10^3</f>
        <v>0.21471173916422334</v>
      </c>
      <c r="G76" s="58">
        <f>SUM('Other Industrial Processes'!H129:H130)/10^3</f>
        <v>0.2176727671671618</v>
      </c>
      <c r="H76" s="58">
        <f>SUM('Other Industrial Processes'!I129:I130)/10^3</f>
        <v>0.22063379517010026</v>
      </c>
      <c r="I76" s="58">
        <f>SUM('Other Industrial Processes'!J129:J130)/10^3</f>
        <v>0.22359482317303869</v>
      </c>
      <c r="J76" s="58">
        <f>SUM('Other Industrial Processes'!K129:K130)/10^3</f>
        <v>0.22655585117597715</v>
      </c>
      <c r="K76" s="58">
        <f>SUM('Other Industrial Processes'!L129:L130)/10^3</f>
        <v>0.22951687917891561</v>
      </c>
      <c r="L76" s="58">
        <f>SUM('Other Industrial Processes'!M129:M130)/10^3</f>
        <v>0.23247790718185407</v>
      </c>
      <c r="M76" s="58">
        <f>SUM('Other Industrial Processes'!N129:N130)/10^3</f>
        <v>0.23543893518479253</v>
      </c>
      <c r="N76" s="58">
        <f>SUM('Other Industrial Processes'!O129:O130)/10^3</f>
        <v>0.23839996318773099</v>
      </c>
      <c r="O76" s="58">
        <f>SUM('Other Industrial Processes'!P129:P130)/10^3</f>
        <v>0.24136099119066948</v>
      </c>
      <c r="P76" s="58">
        <f>SUM('Other Industrial Processes'!Q129:Q130)/10^3</f>
        <v>0.24432201919360791</v>
      </c>
      <c r="Q76" s="58">
        <f>SUM('Other Industrial Processes'!R129:R130)/10^3</f>
        <v>0.24728304719654637</v>
      </c>
      <c r="R76" s="58">
        <f>SUM('Other Industrial Processes'!S129:S130)/10^3</f>
        <v>0.25024407519948483</v>
      </c>
      <c r="S76" s="58">
        <f>SUM('Other Industrial Processes'!T129:T130)/10^3</f>
        <v>0.25320510320242329</v>
      </c>
      <c r="T76" s="58">
        <f>SUM('Other Industrial Processes'!U129:U130)/10^3</f>
        <v>0.25616613120536175</v>
      </c>
      <c r="U76" s="58">
        <f>SUM('Other Industrial Processes'!V129:V130)/10^3</f>
        <v>0.25912715920830021</v>
      </c>
      <c r="V76" s="58">
        <f>SUM('Other Industrial Processes'!W129:W130)/10^3</f>
        <v>0.26208818721123867</v>
      </c>
      <c r="W76" s="58">
        <f>SUM('Other Industrial Processes'!X129:X130)/10^3</f>
        <v>0.26504921521417713</v>
      </c>
      <c r="X76" s="58">
        <f>SUM('Other Industrial Processes'!Y129:Y130)/10^3</f>
        <v>0.26801024321711558</v>
      </c>
      <c r="Y76" s="58">
        <f>SUM('Other Industrial Processes'!Z129:Z130)/10^3</f>
        <v>0.27097127122005404</v>
      </c>
      <c r="Z76" s="58">
        <f>SUM('Other Industrial Processes'!AA129:AA130)/10^3</f>
        <v>0.2739322992229925</v>
      </c>
      <c r="AA76" s="58">
        <f>SUM('Other Industrial Processes'!AB129:AB130)/10^3</f>
        <v>0.27689332722593096</v>
      </c>
      <c r="AB76" s="58">
        <f>SUM('Other Industrial Processes'!AC129:AC130)/10^3</f>
        <v>0.27985435522886937</v>
      </c>
      <c r="AC76" s="58">
        <f>SUM('Other Industrial Processes'!AD129:AD130)/10^3</f>
        <v>0.28281538323180788</v>
      </c>
      <c r="AD76" s="58">
        <f>SUM('Other Industrial Processes'!AE129:AE130)/10^3</f>
        <v>0.28577641123474634</v>
      </c>
      <c r="AE76" s="58">
        <f>SUM('Other Industrial Processes'!AF129:AF130)/10^3</f>
        <v>0.2887374392376848</v>
      </c>
      <c r="AF76" s="58">
        <f>SUM('Other Industrial Processes'!AG129:AG130)/10^3</f>
        <v>0.29169846724062326</v>
      </c>
      <c r="AG76" s="58">
        <f>SUM('Other Industrial Processes'!AH129:AH130)/10^3</f>
        <v>0.29465949524356172</v>
      </c>
      <c r="AH76" s="58">
        <f>SUM('Other Industrial Processes'!AI129:AI130)/10^3</f>
        <v>0.29762052324650023</v>
      </c>
      <c r="AI76" s="58">
        <f>SUM('Other Industrial Processes'!AJ129:AJ130)/10^3</f>
        <v>0.30058155124943869</v>
      </c>
      <c r="AJ76" s="58">
        <f>SUM('Other Industrial Processes'!AK129:AK130)/10^3</f>
        <v>0.30354257925237721</v>
      </c>
      <c r="AK76" s="58">
        <f>SUM('Other Industrial Processes'!AL129:AL130)/10^3</f>
        <v>0.30650360725531567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theme="3"/>
  </sheetPr>
  <dimension ref="A1:I37"/>
  <sheetViews>
    <sheetView workbookViewId="0">
      <selection activeCell="B2" sqref="B2:I37"/>
    </sheetView>
  </sheetViews>
  <sheetFormatPr defaultColWidth="10.28515625" defaultRowHeight="15" x14ac:dyDescent="0.25"/>
  <cols>
    <col min="1" max="1" width="10.28515625" style="28"/>
    <col min="2" max="9" width="20.140625" style="28" customWidth="1"/>
    <col min="10" max="16384" width="10.28515625" style="26"/>
  </cols>
  <sheetData>
    <row r="1" spans="1:9" x14ac:dyDescent="0.25">
      <c r="A1" s="28" t="s">
        <v>5</v>
      </c>
      <c r="B1" s="28" t="s">
        <v>148</v>
      </c>
      <c r="C1" s="28" t="s">
        <v>149</v>
      </c>
      <c r="D1" s="28" t="s">
        <v>150</v>
      </c>
      <c r="E1" s="28" t="s">
        <v>151</v>
      </c>
      <c r="F1" s="28" t="s">
        <v>152</v>
      </c>
      <c r="G1" s="28" t="s">
        <v>153</v>
      </c>
      <c r="H1" s="28" t="s">
        <v>154</v>
      </c>
      <c r="I1" s="28" t="s">
        <v>155</v>
      </c>
    </row>
    <row r="2" spans="1:9" x14ac:dyDescent="0.25">
      <c r="A2" s="28">
        <v>2015</v>
      </c>
      <c r="B2" s="82">
        <f>INDEX('Combined Data'!$B$4:$AK$4,1,MATCH('BPEiC-CO2'!$A2,'Combined Data'!$B$2:$AK$2))*10^12</f>
        <v>8036361379041.001</v>
      </c>
      <c r="C2" s="82">
        <f>INDEX('Combined Data'!$B$10:$AK$10,1,MATCH('BPEiC-CO2'!$A2,'Combined Data'!$B$2:$AK$2))*10^12</f>
        <v>11449002785239.336</v>
      </c>
      <c r="D2" s="82">
        <f>INDEX('Combined Data'!$B$19:$AK$19,1,MATCH('BPEiC-CO2'!$A2,'Combined Data'!$B$2:$AK$2))*10^12</f>
        <v>18790297602805.012</v>
      </c>
      <c r="E2" s="82">
        <f>INDEX('Combined Data'!$B$28:$AK$28,1,MATCH('BPEiC-CO2'!$A2,'Combined Data'!$B$2:$AK$2))*10^12</f>
        <v>5309992064421.7402</v>
      </c>
      <c r="F2" s="82">
        <v>0</v>
      </c>
      <c r="G2" s="82">
        <v>0</v>
      </c>
      <c r="H2" s="82">
        <f>INDEX('Combined Data'!$B$50:$AK$50,1,MATCH('BPEiC-CO2'!$A2,'Combined Data'!$B$2:$AK$2))*10^12</f>
        <v>2676351421334.0698</v>
      </c>
      <c r="I2" s="82">
        <f>INDEX('Combined Data'!$B$66:$AK$66,1,MATCH('BPEiC-CO2'!$A2,'Combined Data'!$B$2:$AK$2))*10^12</f>
        <v>5076577144672.4609</v>
      </c>
    </row>
    <row r="3" spans="1:9" x14ac:dyDescent="0.25">
      <c r="A3" s="28">
        <v>2016</v>
      </c>
      <c r="B3" s="82">
        <f>INDEX('Combined Data'!$B$4:$AK$4,1,MATCH('BPEiC-CO2'!$A3,'Combined Data'!$B$2:$AK$2))*10^12</f>
        <v>8083634093035.3604</v>
      </c>
      <c r="C3" s="82">
        <f>INDEX('Combined Data'!$B$10:$AK$10,1,MATCH('BPEiC-CO2'!$A3,'Combined Data'!$B$2:$AK$2))*10^12</f>
        <v>11978929640026.203</v>
      </c>
      <c r="D3" s="82">
        <f>INDEX('Combined Data'!$B$19:$AK$19,1,MATCH('BPEiC-CO2'!$A3,'Combined Data'!$B$2:$AK$2))*10^12</f>
        <v>19059662731438.602</v>
      </c>
      <c r="E3" s="82">
        <f>INDEX('Combined Data'!$B$28:$AK$28,1,MATCH('BPEiC-CO2'!$A3,'Combined Data'!$B$2:$AK$2))*10^12</f>
        <v>5091478208673.998</v>
      </c>
      <c r="F3" s="82">
        <v>0</v>
      </c>
      <c r="G3" s="82">
        <v>0</v>
      </c>
      <c r="H3" s="82">
        <f>INDEX('Combined Data'!$B$50:$AK$50,1,MATCH('BPEiC-CO2'!$A3,'Combined Data'!$B$2:$AK$2))*10^12</f>
        <v>2810743585630.4478</v>
      </c>
      <c r="I3" s="82">
        <f>INDEX('Combined Data'!$B$66:$AK$66,1,MATCH('BPEiC-CO2'!$A3,'Combined Data'!$B$2:$AK$2))*10^12</f>
        <v>5205617410747.1777</v>
      </c>
    </row>
    <row r="4" spans="1:9" x14ac:dyDescent="0.25">
      <c r="A4" s="28">
        <v>2017</v>
      </c>
      <c r="B4" s="82">
        <f>INDEX('Combined Data'!$B$4:$AK$4,1,MATCH('BPEiC-CO2'!$A4,'Combined Data'!$B$2:$AK$2))*10^12</f>
        <v>8131184881817.9209</v>
      </c>
      <c r="C4" s="82">
        <f>INDEX('Combined Data'!$B$10:$AK$10,1,MATCH('BPEiC-CO2'!$A4,'Combined Data'!$B$2:$AK$2))*10^12</f>
        <v>12112077050332.654</v>
      </c>
      <c r="D4" s="82">
        <f>INDEX('Combined Data'!$B$19:$AK$19,1,MATCH('BPEiC-CO2'!$A4,'Combined Data'!$B$2:$AK$2))*10^12</f>
        <v>19210470573229.172</v>
      </c>
      <c r="E4" s="82">
        <f>INDEX('Combined Data'!$B$28:$AK$28,1,MATCH('BPEiC-CO2'!$A4,'Combined Data'!$B$2:$AK$2))*10^12</f>
        <v>5108224725769.751</v>
      </c>
      <c r="F4" s="82">
        <v>0</v>
      </c>
      <c r="G4" s="82">
        <v>0</v>
      </c>
      <c r="H4" s="82">
        <f>INDEX('Combined Data'!$B$50:$AK$50,1,MATCH('BPEiC-CO2'!$A4,'Combined Data'!$B$2:$AK$2))*10^12</f>
        <v>2945135749926.8257</v>
      </c>
      <c r="I4" s="82">
        <f>INDEX('Combined Data'!$B$66:$AK$66,1,MATCH('BPEiC-CO2'!$A4,'Combined Data'!$B$2:$AK$2))*10^12</f>
        <v>5337815108071.8955</v>
      </c>
    </row>
    <row r="5" spans="1:9" x14ac:dyDescent="0.25">
      <c r="A5" s="28">
        <v>2018</v>
      </c>
      <c r="B5" s="82">
        <f>INDEX('Combined Data'!$B$4:$AK$4,1,MATCH('BPEiC-CO2'!$A5,'Combined Data'!$B$2:$AK$2))*10^12</f>
        <v>8179015381122.7314</v>
      </c>
      <c r="C5" s="82">
        <f>INDEX('Combined Data'!$B$10:$AK$10,1,MATCH('BPEiC-CO2'!$A5,'Combined Data'!$B$2:$AK$2))*10^12</f>
        <v>12157801749354.287</v>
      </c>
      <c r="D5" s="82">
        <f>INDEX('Combined Data'!$B$19:$AK$19,1,MATCH('BPEiC-CO2'!$A5,'Combined Data'!$B$2:$AK$2))*10^12</f>
        <v>19319623152074.898</v>
      </c>
      <c r="E5" s="82">
        <f>INDEX('Combined Data'!$B$28:$AK$28,1,MATCH('BPEiC-CO2'!$A5,'Combined Data'!$B$2:$AK$2))*10^12</f>
        <v>5125009212726.9658</v>
      </c>
      <c r="F5" s="82">
        <v>0</v>
      </c>
      <c r="G5" s="82">
        <v>0</v>
      </c>
      <c r="H5" s="82">
        <f>INDEX('Combined Data'!$B$50:$AK$50,1,MATCH('BPEiC-CO2'!$A5,'Combined Data'!$B$2:$AK$2))*10^12</f>
        <v>3079527914223.2036</v>
      </c>
      <c r="I5" s="82">
        <f>INDEX('Combined Data'!$B$66:$AK$66,1,MATCH('BPEiC-CO2'!$A5,'Combined Data'!$B$2:$AK$2))*10^12</f>
        <v>5473249172427.8633</v>
      </c>
    </row>
    <row r="6" spans="1:9" x14ac:dyDescent="0.25">
      <c r="A6" s="28">
        <v>2019</v>
      </c>
      <c r="B6" s="82">
        <f>INDEX('Combined Data'!$B$4:$AK$4,1,MATCH('BPEiC-CO2'!$A6,'Combined Data'!$B$2:$AK$2))*10^12</f>
        <v>8227127236305.8066</v>
      </c>
      <c r="C6" s="82">
        <f>INDEX('Combined Data'!$B$10:$AK$10,1,MATCH('BPEiC-CO2'!$A6,'Combined Data'!$B$2:$AK$2))*10^12</f>
        <v>12285328412200.791</v>
      </c>
      <c r="D6" s="82">
        <f>INDEX('Combined Data'!$B$19:$AK$19,1,MATCH('BPEiC-CO2'!$A6,'Combined Data'!$B$2:$AK$2))*10^12</f>
        <v>19409662261694.188</v>
      </c>
      <c r="E6" s="82">
        <f>INDEX('Combined Data'!$B$28:$AK$28,1,MATCH('BPEiC-CO2'!$A6,'Combined Data'!$B$2:$AK$2))*10^12</f>
        <v>5141831826113.7646</v>
      </c>
      <c r="F6" s="82">
        <v>0</v>
      </c>
      <c r="G6" s="82">
        <v>0</v>
      </c>
      <c r="H6" s="82">
        <f>INDEX('Combined Data'!$B$50:$AK$50,1,MATCH('BPEiC-CO2'!$A6,'Combined Data'!$B$2:$AK$2))*10^12</f>
        <v>3213920078519.5815</v>
      </c>
      <c r="I6" s="82">
        <f>INDEX('Combined Data'!$B$66:$AK$66,1,MATCH('BPEiC-CO2'!$A6,'Combined Data'!$B$2:$AK$2))*10^12</f>
        <v>5612000512990.8613</v>
      </c>
    </row>
    <row r="7" spans="1:9" x14ac:dyDescent="0.25">
      <c r="A7" s="28">
        <v>2020</v>
      </c>
      <c r="B7" s="82">
        <f>INDEX('Combined Data'!$B$4:$AK$4,1,MATCH('BPEiC-CO2'!$A7,'Combined Data'!$B$2:$AK$2))*10^12</f>
        <v>8275522102401.7236</v>
      </c>
      <c r="C7" s="82">
        <f>INDEX('Combined Data'!$B$10:$AK$10,1,MATCH('BPEiC-CO2'!$A7,'Combined Data'!$B$2:$AK$2))*10^12</f>
        <v>12358195003023.553</v>
      </c>
      <c r="D7" s="82">
        <f>INDEX('Combined Data'!$B$19:$AK$19,1,MATCH('BPEiC-CO2'!$A7,'Combined Data'!$B$2:$AK$2))*10^12</f>
        <v>19570844706359.133</v>
      </c>
      <c r="E7" s="82">
        <f>INDEX('Combined Data'!$B$28:$AK$28,1,MATCH('BPEiC-CO2'!$A7,'Combined Data'!$B$2:$AK$2))*10^12</f>
        <v>5158692723143.873</v>
      </c>
      <c r="F7" s="82">
        <v>0</v>
      </c>
      <c r="G7" s="82">
        <v>0</v>
      </c>
      <c r="H7" s="82">
        <f>INDEX('Combined Data'!$B$50:$AK$50,1,MATCH('BPEiC-CO2'!$A7,'Combined Data'!$B$2:$AK$2))*10^12</f>
        <v>3348312242815.959</v>
      </c>
      <c r="I7" s="82">
        <f>INDEX('Combined Data'!$B$66:$AK$66,1,MATCH('BPEiC-CO2'!$A7,'Combined Data'!$B$2:$AK$2))*10^12</f>
        <v>5754152061666.0674</v>
      </c>
    </row>
    <row r="8" spans="1:9" x14ac:dyDescent="0.25">
      <c r="A8" s="28">
        <v>2021</v>
      </c>
      <c r="B8" s="82">
        <f>INDEX('Combined Data'!$B$4:$AK$4,1,MATCH('BPEiC-CO2'!$A8,'Combined Data'!$B$2:$AK$2))*10^12</f>
        <v>8324201644180.5566</v>
      </c>
      <c r="C8" s="82">
        <f>INDEX('Combined Data'!$B$10:$AK$10,1,MATCH('BPEiC-CO2'!$A8,'Combined Data'!$B$2:$AK$2))*10^12</f>
        <v>12505739366921.43</v>
      </c>
      <c r="D8" s="82">
        <f>INDEX('Combined Data'!$B$19:$AK$19,1,MATCH('BPEiC-CO2'!$A8,'Combined Data'!$B$2:$AK$2))*10^12</f>
        <v>19674171374303.484</v>
      </c>
      <c r="E8" s="82">
        <f>INDEX('Combined Data'!$B$28:$AK$28,1,MATCH('BPEiC-CO2'!$A8,'Combined Data'!$B$2:$AK$2))*10^12</f>
        <v>5175592061679.2832</v>
      </c>
      <c r="F8" s="82">
        <v>0</v>
      </c>
      <c r="G8" s="82">
        <v>0</v>
      </c>
      <c r="H8" s="82">
        <f>INDEX('Combined Data'!$B$50:$AK$50,1,MATCH('BPEiC-CO2'!$A8,'Combined Data'!$B$2:$AK$2))*10^12</f>
        <v>3482704407112.3369</v>
      </c>
      <c r="I8" s="82">
        <f>INDEX('Combined Data'!$B$66:$AK$66,1,MATCH('BPEiC-CO2'!$A8,'Combined Data'!$B$2:$AK$2))*10^12</f>
        <v>5899788823656.2842</v>
      </c>
    </row>
    <row r="9" spans="1:9" x14ac:dyDescent="0.25">
      <c r="A9" s="28">
        <v>2022</v>
      </c>
      <c r="B9" s="82">
        <f>INDEX('Combined Data'!$B$4:$AK$4,1,MATCH('BPEiC-CO2'!$A9,'Combined Data'!$B$2:$AK$2))*10^12</f>
        <v>8373167536205.1484</v>
      </c>
      <c r="C9" s="82">
        <f>INDEX('Combined Data'!$B$10:$AK$10,1,MATCH('BPEiC-CO2'!$A9,'Combined Data'!$B$2:$AK$2))*10^12</f>
        <v>12617008437761.08</v>
      </c>
      <c r="D9" s="82">
        <f>INDEX('Combined Data'!$B$19:$AK$19,1,MATCH('BPEiC-CO2'!$A9,'Combined Data'!$B$2:$AK$2))*10^12</f>
        <v>19786662648242.695</v>
      </c>
      <c r="E9" s="82">
        <f>INDEX('Combined Data'!$B$28:$AK$28,1,MATCH('BPEiC-CO2'!$A9,'Combined Data'!$B$2:$AK$2))*10^12</f>
        <v>5192530000232.9316</v>
      </c>
      <c r="F9" s="82">
        <v>0</v>
      </c>
      <c r="G9" s="82">
        <v>0</v>
      </c>
      <c r="H9" s="82">
        <f>INDEX('Combined Data'!$B$50:$AK$50,1,MATCH('BPEiC-CO2'!$A9,'Combined Data'!$B$2:$AK$2))*10^12</f>
        <v>3617096571408.7148</v>
      </c>
      <c r="I9" s="82">
        <f>INDEX('Combined Data'!$B$66:$AK$66,1,MATCH('BPEiC-CO2'!$A9,'Combined Data'!$B$2:$AK$2))*10^12</f>
        <v>6048997929294.3896</v>
      </c>
    </row>
    <row r="10" spans="1:9" x14ac:dyDescent="0.25">
      <c r="A10" s="28">
        <v>2023</v>
      </c>
      <c r="B10" s="82">
        <f>INDEX('Combined Data'!$B$4:$AK$4,1,MATCH('BPEiC-CO2'!$A10,'Combined Data'!$B$2:$AK$2))*10^12</f>
        <v>8422421462888.707</v>
      </c>
      <c r="C10" s="82">
        <f>INDEX('Combined Data'!$B$10:$AK$10,1,MATCH('BPEiC-CO2'!$A10,'Combined Data'!$B$2:$AK$2))*10^12</f>
        <v>12715430558993.521</v>
      </c>
      <c r="D10" s="82">
        <f>INDEX('Combined Data'!$B$19:$AK$19,1,MATCH('BPEiC-CO2'!$A10,'Combined Data'!$B$2:$AK$2))*10^12</f>
        <v>19908901119266.902</v>
      </c>
      <c r="E10" s="82">
        <f>INDEX('Combined Data'!$B$28:$AK$28,1,MATCH('BPEiC-CO2'!$A10,'Combined Data'!$B$2:$AK$2))*10^12</f>
        <v>5209506697971.3789</v>
      </c>
      <c r="F10" s="82">
        <v>0</v>
      </c>
      <c r="G10" s="82">
        <v>0</v>
      </c>
      <c r="H10" s="82">
        <f>INDEX('Combined Data'!$B$50:$AK$50,1,MATCH('BPEiC-CO2'!$A10,'Combined Data'!$B$2:$AK$2))*10^12</f>
        <v>3751488735705.0928</v>
      </c>
      <c r="I10" s="82">
        <f>INDEX('Combined Data'!$B$66:$AK$66,1,MATCH('BPEiC-CO2'!$A10,'Combined Data'!$B$2:$AK$2))*10^12</f>
        <v>6201868687171.5801</v>
      </c>
    </row>
    <row r="11" spans="1:9" x14ac:dyDescent="0.25">
      <c r="A11" s="28">
        <v>2024</v>
      </c>
      <c r="B11" s="82">
        <f>INDEX('Combined Data'!$B$4:$AK$4,1,MATCH('BPEiC-CO2'!$A11,'Combined Data'!$B$2:$AK$2))*10^12</f>
        <v>8471965118552.7578</v>
      </c>
      <c r="C11" s="82">
        <f>INDEX('Combined Data'!$B$10:$AK$10,1,MATCH('BPEiC-CO2'!$A11,'Combined Data'!$B$2:$AK$2))*10^12</f>
        <v>12756340969235.904</v>
      </c>
      <c r="D11" s="82">
        <f>INDEX('Combined Data'!$B$19:$AK$19,1,MATCH('BPEiC-CO2'!$A11,'Combined Data'!$B$2:$AK$2))*10^12</f>
        <v>20087180371692.426</v>
      </c>
      <c r="E11" s="82">
        <f>INDEX('Combined Data'!$B$28:$AK$28,1,MATCH('BPEiC-CO2'!$A11,'Combined Data'!$B$2:$AK$2))*10^12</f>
        <v>5226522314717.5059</v>
      </c>
      <c r="F11" s="82">
        <v>0</v>
      </c>
      <c r="G11" s="82">
        <v>0</v>
      </c>
      <c r="H11" s="82">
        <f>INDEX('Combined Data'!$B$50:$AK$50,1,MATCH('BPEiC-CO2'!$A11,'Combined Data'!$B$2:$AK$2))*10^12</f>
        <v>3885880900001.4707</v>
      </c>
      <c r="I11" s="82">
        <f>INDEX('Combined Data'!$B$66:$AK$66,1,MATCH('BPEiC-CO2'!$A11,'Combined Data'!$B$2:$AK$2))*10^12</f>
        <v>6358492638593.8311</v>
      </c>
    </row>
    <row r="12" spans="1:9" x14ac:dyDescent="0.25">
      <c r="A12" s="28">
        <v>2025</v>
      </c>
      <c r="B12" s="82">
        <f>INDEX('Combined Data'!$B$4:$AK$4,1,MATCH('BPEiC-CO2'!$A12,'Combined Data'!$B$2:$AK$2))*10^12</f>
        <v>8521800207485.4219</v>
      </c>
      <c r="C12" s="82">
        <f>INDEX('Combined Data'!$B$10:$AK$10,1,MATCH('BPEiC-CO2'!$A12,'Combined Data'!$B$2:$AK$2))*10^12</f>
        <v>12809073862154.867</v>
      </c>
      <c r="D12" s="82">
        <f>INDEX('Combined Data'!$B$19:$AK$19,1,MATCH('BPEiC-CO2'!$A12,'Combined Data'!$B$2:$AK$2))*10^12</f>
        <v>20254076690510.645</v>
      </c>
      <c r="E12" s="82">
        <f>INDEX('Combined Data'!$B$28:$AK$28,1,MATCH('BPEiC-CO2'!$A12,'Combined Data'!$B$2:$AK$2))*10^12</f>
        <v>5243577010953.2236</v>
      </c>
      <c r="F12" s="82">
        <v>0</v>
      </c>
      <c r="G12" s="82">
        <v>0</v>
      </c>
      <c r="H12" s="82">
        <f>INDEX('Combined Data'!$B$50:$AK$50,1,MATCH('BPEiC-CO2'!$A12,'Combined Data'!$B$2:$AK$2))*10^12</f>
        <v>4020273064297.8481</v>
      </c>
      <c r="I12" s="82">
        <f>INDEX('Combined Data'!$B$66:$AK$66,1,MATCH('BPEiC-CO2'!$A12,'Combined Data'!$B$2:$AK$2))*10^12</f>
        <v>6518963613399.7715</v>
      </c>
    </row>
    <row r="13" spans="1:9" x14ac:dyDescent="0.25">
      <c r="A13" s="28">
        <v>2026</v>
      </c>
      <c r="B13" s="82">
        <f>INDEX('Combined Data'!$B$4:$AK$4,1,MATCH('BPEiC-CO2'!$A13,'Combined Data'!$B$2:$AK$2))*10^12</f>
        <v>8571928444000.042</v>
      </c>
      <c r="C13" s="82">
        <f>INDEX('Combined Data'!$B$10:$AK$10,1,MATCH('BPEiC-CO2'!$A13,'Combined Data'!$B$2:$AK$2))*10^12</f>
        <v>12812585085392.775</v>
      </c>
      <c r="D13" s="82">
        <f>INDEX('Combined Data'!$B$19:$AK$19,1,MATCH('BPEiC-CO2'!$A13,'Combined Data'!$B$2:$AK$2))*10^12</f>
        <v>20436030748273.965</v>
      </c>
      <c r="E13" s="82">
        <f>INDEX('Combined Data'!$B$28:$AK$28,1,MATCH('BPEiC-CO2'!$A13,'Combined Data'!$B$2:$AK$2))*10^12</f>
        <v>5260670947822.1836</v>
      </c>
      <c r="F13" s="82">
        <v>0</v>
      </c>
      <c r="G13" s="82">
        <v>0</v>
      </c>
      <c r="H13" s="82">
        <f>INDEX('Combined Data'!$B$50:$AK$50,1,MATCH('BPEiC-CO2'!$A13,'Combined Data'!$B$2:$AK$2))*10^12</f>
        <v>4154665228594.2256</v>
      </c>
      <c r="I13" s="82">
        <f>INDEX('Combined Data'!$B$66:$AK$66,1,MATCH('BPEiC-CO2'!$A13,'Combined Data'!$B$2:$AK$2))*10^12</f>
        <v>6683377787173.9922</v>
      </c>
    </row>
    <row r="14" spans="1:9" x14ac:dyDescent="0.25">
      <c r="A14" s="28">
        <v>2027</v>
      </c>
      <c r="B14" s="82">
        <f>INDEX('Combined Data'!$B$4:$AK$4,1,MATCH('BPEiC-CO2'!$A14,'Combined Data'!$B$2:$AK$2))*10^12</f>
        <v>8622351552494.1592</v>
      </c>
      <c r="C14" s="82">
        <f>INDEX('Combined Data'!$B$10:$AK$10,1,MATCH('BPEiC-CO2'!$A14,'Combined Data'!$B$2:$AK$2))*10^12</f>
        <v>12826174169017.217</v>
      </c>
      <c r="D14" s="82">
        <f>INDEX('Combined Data'!$B$19:$AK$19,1,MATCH('BPEiC-CO2'!$A14,'Combined Data'!$B$2:$AK$2))*10^12</f>
        <v>20608394460399.621</v>
      </c>
      <c r="E14" s="82">
        <f>INDEX('Combined Data'!$B$28:$AK$28,1,MATCH('BPEiC-CO2'!$A14,'Combined Data'!$B$2:$AK$2))*10^12</f>
        <v>5277804287132.5117</v>
      </c>
      <c r="F14" s="82">
        <v>0</v>
      </c>
      <c r="G14" s="82">
        <v>0</v>
      </c>
      <c r="H14" s="82">
        <f>INDEX('Combined Data'!$B$50:$AK$50,1,MATCH('BPEiC-CO2'!$A14,'Combined Data'!$B$2:$AK$2))*10^12</f>
        <v>4289057392890.6035</v>
      </c>
      <c r="I14" s="82">
        <f>INDEX('Combined Data'!$B$66:$AK$66,1,MATCH('BPEiC-CO2'!$A14,'Combined Data'!$B$2:$AK$2))*10^12</f>
        <v>6851833739890.7002</v>
      </c>
    </row>
    <row r="15" spans="1:9" x14ac:dyDescent="0.25">
      <c r="A15" s="28">
        <v>2028</v>
      </c>
      <c r="B15" s="82">
        <f>INDEX('Combined Data'!$B$4:$AK$4,1,MATCH('BPEiC-CO2'!$A15,'Combined Data'!$B$2:$AK$2))*10^12</f>
        <v>8673071267508.8311</v>
      </c>
      <c r="C15" s="82">
        <f>INDEX('Combined Data'!$B$10:$AK$10,1,MATCH('BPEiC-CO2'!$A15,'Combined Data'!$B$2:$AK$2))*10^12</f>
        <v>12781169799991.805</v>
      </c>
      <c r="D15" s="82">
        <f>INDEX('Combined Data'!$B$19:$AK$19,1,MATCH('BPEiC-CO2'!$A15,'Combined Data'!$B$2:$AK$2))*10^12</f>
        <v>20778203734668.535</v>
      </c>
      <c r="E15" s="82">
        <f>INDEX('Combined Data'!$B$28:$AK$28,1,MATCH('BPEiC-CO2'!$A15,'Combined Data'!$B$2:$AK$2))*10^12</f>
        <v>5294977191359.5527</v>
      </c>
      <c r="F15" s="82">
        <v>0</v>
      </c>
      <c r="G15" s="82">
        <v>0</v>
      </c>
      <c r="H15" s="82">
        <f>INDEX('Combined Data'!$B$50:$AK$50,1,MATCH('BPEiC-CO2'!$A15,'Combined Data'!$B$2:$AK$2))*10^12</f>
        <v>4423449557186.9805</v>
      </c>
      <c r="I15" s="82">
        <f>INDEX('Combined Data'!$B$66:$AK$66,1,MATCH('BPEiC-CO2'!$A15,'Combined Data'!$B$2:$AK$2))*10^12</f>
        <v>7024432516023.458</v>
      </c>
    </row>
    <row r="16" spans="1:9" x14ac:dyDescent="0.25">
      <c r="A16" s="28">
        <v>2029</v>
      </c>
      <c r="B16" s="82">
        <f>INDEX('Combined Data'!$B$4:$AK$4,1,MATCH('BPEiC-CO2'!$A16,'Combined Data'!$B$2:$AK$2))*10^12</f>
        <v>8724089333788.2939</v>
      </c>
      <c r="C16" s="82">
        <f>INDEX('Combined Data'!$B$10:$AK$10,1,MATCH('BPEiC-CO2'!$A16,'Combined Data'!$B$2:$AK$2))*10^12</f>
        <v>12808917165114.15</v>
      </c>
      <c r="D16" s="82">
        <f>INDEX('Combined Data'!$B$19:$AK$19,1,MATCH('BPEiC-CO2'!$A16,'Combined Data'!$B$2:$AK$2))*10^12</f>
        <v>20951038001136.234</v>
      </c>
      <c r="E16" s="82">
        <f>INDEX('Combined Data'!$B$28:$AK$28,1,MATCH('BPEiC-CO2'!$A16,'Combined Data'!$B$2:$AK$2))*10^12</f>
        <v>5312189823648.6055</v>
      </c>
      <c r="F16" s="82">
        <v>0</v>
      </c>
      <c r="G16" s="82">
        <v>0</v>
      </c>
      <c r="H16" s="82">
        <f>INDEX('Combined Data'!$B$50:$AK$50,1,MATCH('BPEiC-CO2'!$A16,'Combined Data'!$B$2:$AK$2))*10^12</f>
        <v>4557841721483.3594</v>
      </c>
      <c r="I16" s="82">
        <f>INDEX('Combined Data'!$B$66:$AK$66,1,MATCH('BPEiC-CO2'!$A16,'Combined Data'!$B$2:$AK$2))*10^12</f>
        <v>7201277686157.667</v>
      </c>
    </row>
    <row r="17" spans="1:9" x14ac:dyDescent="0.25">
      <c r="A17" s="28">
        <v>2030</v>
      </c>
      <c r="B17" s="82">
        <f>INDEX('Combined Data'!$B$4:$AK$4,1,MATCH('BPEiC-CO2'!$A17,'Combined Data'!$B$2:$AK$2))*10^12</f>
        <v>8775407506339.9883</v>
      </c>
      <c r="C17" s="82">
        <f>INDEX('Combined Data'!$B$10:$AK$10,1,MATCH('BPEiC-CO2'!$A17,'Combined Data'!$B$2:$AK$2))*10^12</f>
        <v>12824642577800.789</v>
      </c>
      <c r="D17" s="82">
        <f>INDEX('Combined Data'!$B$19:$AK$19,1,MATCH('BPEiC-CO2'!$A17,'Combined Data'!$B$2:$AK$2))*10^12</f>
        <v>21133686686737.793</v>
      </c>
      <c r="E17" s="82">
        <f>INDEX('Combined Data'!$B$28:$AK$28,1,MATCH('BPEiC-CO2'!$A17,'Combined Data'!$B$2:$AK$2))*10^12</f>
        <v>5329442347817.7041</v>
      </c>
      <c r="F17" s="82">
        <v>0</v>
      </c>
      <c r="G17" s="82">
        <v>0</v>
      </c>
      <c r="H17" s="82">
        <f>INDEX('Combined Data'!$B$50:$AK$50,1,MATCH('BPEiC-CO2'!$A17,'Combined Data'!$B$2:$AK$2))*10^12</f>
        <v>4692233885779.7363</v>
      </c>
      <c r="I17" s="82">
        <f>INDEX('Combined Data'!$B$66:$AK$66,1,MATCH('BPEiC-CO2'!$A17,'Combined Data'!$B$2:$AK$2))*10^12</f>
        <v>7382475410143.3623</v>
      </c>
    </row>
    <row r="18" spans="1:9" x14ac:dyDescent="0.25">
      <c r="A18" s="28">
        <v>2031</v>
      </c>
      <c r="B18" s="82">
        <f>INDEX('Combined Data'!$B$4:$AK$4,1,MATCH('BPEiC-CO2'!$A18,'Combined Data'!$B$2:$AK$2))*10^12</f>
        <v>8827027550494.9297</v>
      </c>
      <c r="C18" s="82">
        <f>INDEX('Combined Data'!$B$10:$AK$10,1,MATCH('BPEiC-CO2'!$A18,'Combined Data'!$B$2:$AK$2))*10^12</f>
        <v>12849010392388.791</v>
      </c>
      <c r="D18" s="82">
        <f>INDEX('Combined Data'!$B$19:$AK$19,1,MATCH('BPEiC-CO2'!$A18,'Combined Data'!$B$2:$AK$2))*10^12</f>
        <v>21313601675685.629</v>
      </c>
      <c r="E18" s="82">
        <f>INDEX('Combined Data'!$B$28:$AK$28,1,MATCH('BPEiC-CO2'!$A18,'Combined Data'!$B$2:$AK$2))*10^12</f>
        <v>5346734928360.3799</v>
      </c>
      <c r="F18" s="82">
        <v>0</v>
      </c>
      <c r="G18" s="82">
        <v>0</v>
      </c>
      <c r="H18" s="82">
        <f>INDEX('Combined Data'!$B$50:$AK$50,1,MATCH('BPEiC-CO2'!$A18,'Combined Data'!$B$2:$AK$2))*10^12</f>
        <v>4826626050076.1152</v>
      </c>
      <c r="I18" s="82">
        <f>INDEX('Combined Data'!$B$66:$AK$66,1,MATCH('BPEiC-CO2'!$A18,'Combined Data'!$B$2:$AK$2))*10^12</f>
        <v>7568134501826.833</v>
      </c>
    </row>
    <row r="19" spans="1:9" x14ac:dyDescent="0.25">
      <c r="A19" s="28">
        <v>2032</v>
      </c>
      <c r="B19" s="82">
        <f>INDEX('Combined Data'!$B$4:$AK$4,1,MATCH('BPEiC-CO2'!$A19,'Combined Data'!$B$2:$AK$2))*10^12</f>
        <v>8878951241968.4277</v>
      </c>
      <c r="C19" s="82">
        <f>INDEX('Combined Data'!$B$10:$AK$10,1,MATCH('BPEiC-CO2'!$A19,'Combined Data'!$B$2:$AK$2))*10^12</f>
        <v>12847698968691.131</v>
      </c>
      <c r="D19" s="82">
        <f>INDEX('Combined Data'!$B$19:$AK$19,1,MATCH('BPEiC-CO2'!$A19,'Combined Data'!$B$2:$AK$2))*10^12</f>
        <v>21481864842830.711</v>
      </c>
      <c r="E19" s="82">
        <f>INDEX('Combined Data'!$B$28:$AK$28,1,MATCH('BPEiC-CO2'!$A19,'Combined Data'!$B$2:$AK$2))*10^12</f>
        <v>5364067730448.4541</v>
      </c>
      <c r="F19" s="82">
        <v>0</v>
      </c>
      <c r="G19" s="82">
        <v>0</v>
      </c>
      <c r="H19" s="82">
        <f>INDEX('Combined Data'!$B$50:$AK$50,1,MATCH('BPEiC-CO2'!$A19,'Combined Data'!$B$2:$AK$2))*10^12</f>
        <v>4961018214372.4922</v>
      </c>
      <c r="I19" s="82">
        <f>INDEX('Combined Data'!$B$66:$AK$66,1,MATCH('BPEiC-CO2'!$A19,'Combined Data'!$B$2:$AK$2))*10^12</f>
        <v>7758366495400.5225</v>
      </c>
    </row>
    <row r="20" spans="1:9" x14ac:dyDescent="0.25">
      <c r="A20" s="28">
        <v>2033</v>
      </c>
      <c r="B20" s="82">
        <f>INDEX('Combined Data'!$B$4:$AK$4,1,MATCH('BPEiC-CO2'!$A20,'Combined Data'!$B$2:$AK$2))*10^12</f>
        <v>8931180366921.1836</v>
      </c>
      <c r="C20" s="82">
        <f>INDEX('Combined Data'!$B$10:$AK$10,1,MATCH('BPEiC-CO2'!$A20,'Combined Data'!$B$2:$AK$2))*10^12</f>
        <v>12898157872436.09</v>
      </c>
      <c r="D20" s="82">
        <f>INDEX('Combined Data'!$B$19:$AK$19,1,MATCH('BPEiC-CO2'!$A20,'Combined Data'!$B$2:$AK$2))*10^12</f>
        <v>21647797645615.242</v>
      </c>
      <c r="E20" s="82">
        <f>INDEX('Combined Data'!$B$28:$AK$28,1,MATCH('BPEiC-CO2'!$A20,'Combined Data'!$B$2:$AK$2))*10^12</f>
        <v>5381440919934.8281</v>
      </c>
      <c r="F20" s="82">
        <v>0</v>
      </c>
      <c r="G20" s="82">
        <v>0</v>
      </c>
      <c r="H20" s="82">
        <f>INDEX('Combined Data'!$B$50:$AK$50,1,MATCH('BPEiC-CO2'!$A20,'Combined Data'!$B$2:$AK$2))*10^12</f>
        <v>5095410378668.8701</v>
      </c>
      <c r="I20" s="82">
        <f>INDEX('Combined Data'!$B$66:$AK$66,1,MATCH('BPEiC-CO2'!$A20,'Combined Data'!$B$2:$AK$2))*10^12</f>
        <v>7953285713411.6865</v>
      </c>
    </row>
    <row r="21" spans="1:9" x14ac:dyDescent="0.25">
      <c r="A21" s="28">
        <v>2034</v>
      </c>
      <c r="B21" s="82">
        <f>INDEX('Combined Data'!$B$4:$AK$4,1,MATCH('BPEiC-CO2'!$A21,'Combined Data'!$B$2:$AK$2))*10^12</f>
        <v>8983716722020.7207</v>
      </c>
      <c r="C21" s="82">
        <f>INDEX('Combined Data'!$B$10:$AK$10,1,MATCH('BPEiC-CO2'!$A21,'Combined Data'!$B$2:$AK$2))*10^12</f>
        <v>12917896158154.719</v>
      </c>
      <c r="D21" s="82">
        <f>INDEX('Combined Data'!$B$19:$AK$19,1,MATCH('BPEiC-CO2'!$A21,'Combined Data'!$B$2:$AK$2))*10^12</f>
        <v>21803154179378.809</v>
      </c>
      <c r="E21" s="82">
        <f>INDEX('Combined Data'!$B$28:$AK$28,1,MATCH('BPEiC-CO2'!$A21,'Combined Data'!$B$2:$AK$2))*10^12</f>
        <v>5398854663356.2939</v>
      </c>
      <c r="F21" s="82">
        <v>0</v>
      </c>
      <c r="G21" s="82">
        <v>0</v>
      </c>
      <c r="H21" s="82">
        <f>INDEX('Combined Data'!$B$50:$AK$50,1,MATCH('BPEiC-CO2'!$A21,'Combined Data'!$B$2:$AK$2))*10^12</f>
        <v>5229802542965.248</v>
      </c>
      <c r="I21" s="82">
        <f>INDEX('Combined Data'!$B$66:$AK$66,1,MATCH('BPEiC-CO2'!$A21,'Combined Data'!$B$2:$AK$2))*10^12</f>
        <v>8153009336471.2607</v>
      </c>
    </row>
    <row r="22" spans="1:9" x14ac:dyDescent="0.25">
      <c r="A22" s="28">
        <v>2035</v>
      </c>
      <c r="B22" s="82">
        <f>INDEX('Combined Data'!$B$4:$AK$4,1,MATCH('BPEiC-CO2'!$A22,'Combined Data'!$B$2:$AK$2))*10^12</f>
        <v>9036562114503.1953</v>
      </c>
      <c r="C22" s="82">
        <f>INDEX('Combined Data'!$B$10:$AK$10,1,MATCH('BPEiC-CO2'!$A22,'Combined Data'!$B$2:$AK$2))*10^12</f>
        <v>12936781570268.213</v>
      </c>
      <c r="D22" s="82">
        <f>INDEX('Combined Data'!$B$19:$AK$19,1,MATCH('BPEiC-CO2'!$A22,'Combined Data'!$B$2:$AK$2))*10^12</f>
        <v>21952774431639.488</v>
      </c>
      <c r="E22" s="82">
        <f>INDEX('Combined Data'!$B$28:$AK$28,1,MATCH('BPEiC-CO2'!$A22,'Combined Data'!$B$2:$AK$2))*10^12</f>
        <v>5416309127936.3633</v>
      </c>
      <c r="F22" s="82">
        <v>0</v>
      </c>
      <c r="G22" s="82">
        <v>0</v>
      </c>
      <c r="H22" s="82">
        <f>INDEX('Combined Data'!$B$50:$AK$50,1,MATCH('BPEiC-CO2'!$A22,'Combined Data'!$B$2:$AK$2))*10^12</f>
        <v>5364194707261.626</v>
      </c>
      <c r="I22" s="82">
        <f>INDEX('Combined Data'!$B$66:$AK$66,1,MATCH('BPEiC-CO2'!$A22,'Combined Data'!$B$2:$AK$2))*10^12</f>
        <v>8357657474705.457</v>
      </c>
    </row>
    <row r="23" spans="1:9" x14ac:dyDescent="0.25">
      <c r="A23" s="28">
        <v>2036</v>
      </c>
      <c r="B23" s="82">
        <f>INDEX('Combined Data'!$B$4:$AK$4,1,MATCH('BPEiC-CO2'!$A23,'Combined Data'!$B$2:$AK$2))*10^12</f>
        <v>9089718362235.5664</v>
      </c>
      <c r="C23" s="82">
        <f>INDEX('Combined Data'!$B$10:$AK$10,1,MATCH('BPEiC-CO2'!$A23,'Combined Data'!$B$2:$AK$2))*10^12</f>
        <v>12964804212798.967</v>
      </c>
      <c r="D23" s="82">
        <f>INDEX('Combined Data'!$B$19:$AK$19,1,MATCH('BPEiC-CO2'!$A23,'Combined Data'!$B$2:$AK$2))*10^12</f>
        <v>22101655241362.68</v>
      </c>
      <c r="E23" s="82">
        <f>INDEX('Combined Data'!$B$28:$AK$28,1,MATCH('BPEiC-CO2'!$A23,'Combined Data'!$B$2:$AK$2))*10^12</f>
        <v>5433804481588.0781</v>
      </c>
      <c r="F23" s="82">
        <v>0</v>
      </c>
      <c r="G23" s="82">
        <v>0</v>
      </c>
      <c r="H23" s="82">
        <f>INDEX('Combined Data'!$B$50:$AK$50,1,MATCH('BPEiC-CO2'!$A23,'Combined Data'!$B$2:$AK$2))*10^12</f>
        <v>5498586871558.0039</v>
      </c>
      <c r="I23" s="82">
        <f>INDEX('Combined Data'!$B$66:$AK$66,1,MATCH('BPEiC-CO2'!$A23,'Combined Data'!$B$2:$AK$2))*10^12</f>
        <v>8567353240993.6396</v>
      </c>
    </row>
    <row r="24" spans="1:9" x14ac:dyDescent="0.25">
      <c r="A24" s="28">
        <v>2037</v>
      </c>
      <c r="B24" s="82">
        <f>INDEX('Combined Data'!$B$4:$AK$4,1,MATCH('BPEiC-CO2'!$A24,'Combined Data'!$B$2:$AK$2))*10^12</f>
        <v>9143187293778.1289</v>
      </c>
      <c r="C24" s="82">
        <f>INDEX('Combined Data'!$B$10:$AK$10,1,MATCH('BPEiC-CO2'!$A24,'Combined Data'!$B$2:$AK$2))*10^12</f>
        <v>13037466202751.59</v>
      </c>
      <c r="D24" s="82">
        <f>INDEX('Combined Data'!$B$19:$AK$19,1,MATCH('BPEiC-CO2'!$A24,'Combined Data'!$B$2:$AK$2))*10^12</f>
        <v>22250558458435.492</v>
      </c>
      <c r="E24" s="82">
        <f>INDEX('Combined Data'!$B$28:$AK$28,1,MATCH('BPEiC-CO2'!$A24,'Combined Data'!$B$2:$AK$2))*10^12</f>
        <v>5451340892916.8809</v>
      </c>
      <c r="F24" s="82">
        <v>0</v>
      </c>
      <c r="G24" s="82">
        <v>0</v>
      </c>
      <c r="H24" s="82">
        <f>INDEX('Combined Data'!$B$50:$AK$50,1,MATCH('BPEiC-CO2'!$A24,'Combined Data'!$B$2:$AK$2))*10^12</f>
        <v>5632979035854.3818</v>
      </c>
      <c r="I24" s="82">
        <f>INDEX('Combined Data'!$B$66:$AK$66,1,MATCH('BPEiC-CO2'!$A24,'Combined Data'!$B$2:$AK$2))*10^12</f>
        <v>8782222826037.1611</v>
      </c>
    </row>
    <row r="25" spans="1:9" x14ac:dyDescent="0.25">
      <c r="A25" s="28">
        <v>2038</v>
      </c>
      <c r="B25" s="82">
        <f>INDEX('Combined Data'!$B$4:$AK$4,1,MATCH('BPEiC-CO2'!$A25,'Combined Data'!$B$2:$AK$2))*10^12</f>
        <v>9196970748447.4102</v>
      </c>
      <c r="C25" s="82">
        <f>INDEX('Combined Data'!$B$10:$AK$10,1,MATCH('BPEiC-CO2'!$A25,'Combined Data'!$B$2:$AK$2))*10^12</f>
        <v>13086816484221.223</v>
      </c>
      <c r="D25" s="82">
        <f>INDEX('Combined Data'!$B$19:$AK$19,1,MATCH('BPEiC-CO2'!$A25,'Combined Data'!$B$2:$AK$2))*10^12</f>
        <v>22405175549661.582</v>
      </c>
      <c r="E25" s="82">
        <f>INDEX('Combined Data'!$B$28:$AK$28,1,MATCH('BPEiC-CO2'!$A25,'Combined Data'!$B$2:$AK$2))*10^12</f>
        <v>5468918531223.4443</v>
      </c>
      <c r="F25" s="82">
        <v>0</v>
      </c>
      <c r="G25" s="82">
        <v>0</v>
      </c>
      <c r="H25" s="82">
        <f>INDEX('Combined Data'!$B$50:$AK$50,1,MATCH('BPEiC-CO2'!$A25,'Combined Data'!$B$2:$AK$2))*10^12</f>
        <v>5767371200150.7588</v>
      </c>
      <c r="I25" s="82">
        <f>INDEX('Combined Data'!$B$66:$AK$66,1,MATCH('BPEiC-CO2'!$A25,'Combined Data'!$B$2:$AK$2))*10^12</f>
        <v>9002395575304.9004</v>
      </c>
    </row>
    <row r="26" spans="1:9" x14ac:dyDescent="0.25">
      <c r="A26" s="28">
        <v>2039</v>
      </c>
      <c r="B26" s="82">
        <f>INDEX('Combined Data'!$B$4:$AK$4,1,MATCH('BPEiC-CO2'!$A26,'Combined Data'!$B$2:$AK$2))*10^12</f>
        <v>9251070576379.4551</v>
      </c>
      <c r="C26" s="82">
        <f>INDEX('Combined Data'!$B$10:$AK$10,1,MATCH('BPEiC-CO2'!$A26,'Combined Data'!$B$2:$AK$2))*10^12</f>
        <v>13135771238536.354</v>
      </c>
      <c r="D26" s="82">
        <f>INDEX('Combined Data'!$B$19:$AK$19,1,MATCH('BPEiC-CO2'!$A26,'Combined Data'!$B$2:$AK$2))*10^12</f>
        <v>22565528922390.563</v>
      </c>
      <c r="E26" s="82">
        <f>INDEX('Combined Data'!$B$28:$AK$28,1,MATCH('BPEiC-CO2'!$A26,'Combined Data'!$B$2:$AK$2))*10^12</f>
        <v>5486537566506.5605</v>
      </c>
      <c r="F26" s="82">
        <v>0</v>
      </c>
      <c r="G26" s="82">
        <v>0</v>
      </c>
      <c r="H26" s="82">
        <f>INDEX('Combined Data'!$B$50:$AK$50,1,MATCH('BPEiC-CO2'!$A26,'Combined Data'!$B$2:$AK$2))*10^12</f>
        <v>5901763364447.1377</v>
      </c>
      <c r="I26" s="82">
        <f>INDEX('Combined Data'!$B$66:$AK$66,1,MATCH('BPEiC-CO2'!$A26,'Combined Data'!$B$2:$AK$2))*10^12</f>
        <v>9228004067902.4648</v>
      </c>
    </row>
    <row r="27" spans="1:9" x14ac:dyDescent="0.25">
      <c r="A27" s="28">
        <v>2040</v>
      </c>
      <c r="B27" s="82">
        <f>INDEX('Combined Data'!$B$4:$AK$4,1,MATCH('BPEiC-CO2'!$A27,'Combined Data'!$B$2:$AK$2))*10^12</f>
        <v>9305488638593.4531</v>
      </c>
      <c r="C27" s="82">
        <f>INDEX('Combined Data'!$B$10:$AK$10,1,MATCH('BPEiC-CO2'!$A27,'Combined Data'!$B$2:$AK$2))*10^12</f>
        <v>13170077843173.502</v>
      </c>
      <c r="D27" s="82">
        <f>INDEX('Combined Data'!$B$19:$AK$19,1,MATCH('BPEiC-CO2'!$A27,'Combined Data'!$B$2:$AK$2))*10^12</f>
        <v>22732425241208.781</v>
      </c>
      <c r="E27" s="82">
        <f>INDEX('Combined Data'!$B$28:$AK$28,1,MATCH('BPEiC-CO2'!$A27,'Combined Data'!$B$2:$AK$2))*10^12</f>
        <v>5504198169466.001</v>
      </c>
      <c r="F27" s="82">
        <v>0</v>
      </c>
      <c r="G27" s="82">
        <v>0</v>
      </c>
      <c r="H27" s="82">
        <f>INDEX('Combined Data'!$B$50:$AK$50,1,MATCH('BPEiC-CO2'!$A27,'Combined Data'!$B$2:$AK$2))*10^12</f>
        <v>6036155528743.5146</v>
      </c>
      <c r="I27" s="82">
        <f>INDEX('Combined Data'!$B$66:$AK$66,1,MATCH('BPEiC-CO2'!$A27,'Combined Data'!$B$2:$AK$2))*10^12</f>
        <v>9459184197413.1016</v>
      </c>
    </row>
    <row r="28" spans="1:9" x14ac:dyDescent="0.25">
      <c r="A28" s="28">
        <v>2041</v>
      </c>
      <c r="B28" s="82">
        <f>INDEX('Combined Data'!$B$4:$AK$4,1,MATCH('BPEiC-CO2'!$A28,'Combined Data'!$B$2:$AK$2))*10^12</f>
        <v>9360226807055.7656</v>
      </c>
      <c r="C28" s="82">
        <f>INDEX('Combined Data'!$B$10:$AK$10,1,MATCH('BPEiC-CO2'!$A28,'Combined Data'!$B$2:$AK$2))*10^12</f>
        <v>13203151264324.451</v>
      </c>
      <c r="D28" s="82">
        <f>INDEX('Combined Data'!$B$19:$AK$19,1,MATCH('BPEiC-CO2'!$A28,'Combined Data'!$B$2:$AK$2))*10^12</f>
        <v>22887326561211.52</v>
      </c>
      <c r="E28" s="82">
        <f>INDEX('Combined Data'!$B$28:$AK$28,1,MATCH('BPEiC-CO2'!$A28,'Combined Data'!$B$2:$AK$2))*10^12</f>
        <v>5521900511505.417</v>
      </c>
      <c r="F28" s="82">
        <v>0</v>
      </c>
      <c r="G28" s="82">
        <v>0</v>
      </c>
      <c r="H28" s="82">
        <f>INDEX('Combined Data'!$B$50:$AK$50,1,MATCH('BPEiC-CO2'!$A28,'Combined Data'!$B$2:$AK$2))*10^12</f>
        <v>6170547693039.8926</v>
      </c>
      <c r="I28" s="82">
        <f>INDEX('Combined Data'!$B$66:$AK$66,1,MATCH('BPEiC-CO2'!$A28,'Combined Data'!$B$2:$AK$2))*10^12</f>
        <v>9696075254759.6367</v>
      </c>
    </row>
    <row r="29" spans="1:9" x14ac:dyDescent="0.25">
      <c r="A29" s="28">
        <v>2042</v>
      </c>
      <c r="B29" s="82">
        <f>INDEX('Combined Data'!$B$4:$AK$4,1,MATCH('BPEiC-CO2'!$A29,'Combined Data'!$B$2:$AK$2))*10^12</f>
        <v>9415286964744.3281</v>
      </c>
      <c r="C29" s="82">
        <f>INDEX('Combined Data'!$B$10:$AK$10,1,MATCH('BPEiC-CO2'!$A29,'Combined Data'!$B$2:$AK$2))*10^12</f>
        <v>13236324505356.197</v>
      </c>
      <c r="D29" s="82">
        <f>INDEX('Combined Data'!$B$19:$AK$19,1,MATCH('BPEiC-CO2'!$A29,'Combined Data'!$B$2:$AK$2))*10^12</f>
        <v>23042551855649.039</v>
      </c>
      <c r="E29" s="82">
        <f>INDEX('Combined Data'!$B$28:$AK$28,1,MATCH('BPEiC-CO2'!$A29,'Combined Data'!$B$2:$AK$2))*10^12</f>
        <v>5539644764735.2393</v>
      </c>
      <c r="F29" s="82">
        <v>0</v>
      </c>
      <c r="G29" s="82">
        <v>0</v>
      </c>
      <c r="H29" s="82">
        <f>INDEX('Combined Data'!$B$50:$AK$50,1,MATCH('BPEiC-CO2'!$A29,'Combined Data'!$B$2:$AK$2))*10^12</f>
        <v>6304939857336.2705</v>
      </c>
      <c r="I29" s="82">
        <f>INDEX('Combined Data'!$B$66:$AK$66,1,MATCH('BPEiC-CO2'!$A29,'Combined Data'!$B$2:$AK$2))*10^12</f>
        <v>9938820013137.9648</v>
      </c>
    </row>
    <row r="30" spans="1:9" x14ac:dyDescent="0.25">
      <c r="A30" s="28">
        <v>2043</v>
      </c>
      <c r="B30" s="82">
        <f>INDEX('Combined Data'!$B$4:$AK$4,1,MATCH('BPEiC-CO2'!$A30,'Combined Data'!$B$2:$AK$2))*10^12</f>
        <v>9470671005713.4141</v>
      </c>
      <c r="C30" s="82">
        <f>INDEX('Combined Data'!$B$10:$AK$10,1,MATCH('BPEiC-CO2'!$A30,'Combined Data'!$B$2:$AK$2))*10^12</f>
        <v>13269597892075.172</v>
      </c>
      <c r="D30" s="82">
        <f>INDEX('Combined Data'!$B$19:$AK$19,1,MATCH('BPEiC-CO2'!$A30,'Combined Data'!$B$2:$AK$2))*10^12</f>
        <v>23198103021949.656</v>
      </c>
      <c r="E30" s="82">
        <f>INDEX('Combined Data'!$B$28:$AK$28,1,MATCH('BPEiC-CO2'!$A30,'Combined Data'!$B$2:$AK$2))*10^12</f>
        <v>5557431101975.5986</v>
      </c>
      <c r="F30" s="82">
        <v>0</v>
      </c>
      <c r="G30" s="82">
        <v>0</v>
      </c>
      <c r="H30" s="82">
        <f>INDEX('Combined Data'!$B$50:$AK$50,1,MATCH('BPEiC-CO2'!$A30,'Combined Data'!$B$2:$AK$2))*10^12</f>
        <v>6439332021632.6484</v>
      </c>
      <c r="I30" s="82">
        <f>INDEX('Combined Data'!$B$66:$AK$66,1,MATCH('BPEiC-CO2'!$A30,'Combined Data'!$B$2:$AK$2))*10^12</f>
        <v>10187564815073.887</v>
      </c>
    </row>
    <row r="31" spans="1:9" x14ac:dyDescent="0.25">
      <c r="A31" s="28">
        <v>2044</v>
      </c>
      <c r="B31" s="82">
        <f>INDEX('Combined Data'!$B$4:$AK$4,1,MATCH('BPEiC-CO2'!$A31,'Combined Data'!$B$2:$AK$2))*10^12</f>
        <v>9526380835158.7871</v>
      </c>
      <c r="C31" s="82">
        <f>INDEX('Combined Data'!$B$10:$AK$10,1,MATCH('BPEiC-CO2'!$A31,'Combined Data'!$B$2:$AK$2))*10^12</f>
        <v>13302971751381.576</v>
      </c>
      <c r="D31" s="82">
        <f>INDEX('Combined Data'!$B$19:$AK$19,1,MATCH('BPEiC-CO2'!$A31,'Combined Data'!$B$2:$AK$2))*10^12</f>
        <v>23353981968654.418</v>
      </c>
      <c r="E31" s="82">
        <f>INDEX('Combined Data'!$B$28:$AK$28,1,MATCH('BPEiC-CO2'!$A31,'Combined Data'!$B$2:$AK$2))*10^12</f>
        <v>5575259696759.2412</v>
      </c>
      <c r="F31" s="82">
        <v>0</v>
      </c>
      <c r="G31" s="82">
        <v>0</v>
      </c>
      <c r="H31" s="82">
        <f>INDEX('Combined Data'!$B$50:$AK$50,1,MATCH('BPEiC-CO2'!$A31,'Combined Data'!$B$2:$AK$2))*10^12</f>
        <v>6573724185929.0264</v>
      </c>
      <c r="I31" s="82">
        <f>INDEX('Combined Data'!$B$66:$AK$66,1,MATCH('BPEiC-CO2'!$A31,'Combined Data'!$B$2:$AK$2))*10^12</f>
        <v>10442459661656.334</v>
      </c>
    </row>
    <row r="32" spans="1:9" x14ac:dyDescent="0.25">
      <c r="A32" s="28">
        <v>2045</v>
      </c>
      <c r="B32" s="82">
        <f>INDEX('Combined Data'!$B$4:$AK$4,1,MATCH('BPEiC-CO2'!$A32,'Combined Data'!$B$2:$AK$2))*10^12</f>
        <v>9582418369483.25</v>
      </c>
      <c r="C32" s="82">
        <f>INDEX('Combined Data'!$B$10:$AK$10,1,MATCH('BPEiC-CO2'!$A32,'Combined Data'!$B$2:$AK$2))*10^12</f>
        <v>13336446411273.094</v>
      </c>
      <c r="D32" s="82">
        <f>INDEX('Combined Data'!$B$19:$AK$19,1,MATCH('BPEiC-CO2'!$A32,'Combined Data'!$B$2:$AK$2))*10^12</f>
        <v>23510190615482.148</v>
      </c>
      <c r="E32" s="82">
        <f>INDEX('Combined Data'!$B$28:$AK$28,1,MATCH('BPEiC-CO2'!$A32,'Combined Data'!$B$2:$AK$2))*10^12</f>
        <v>5593130723334.4746</v>
      </c>
      <c r="F32" s="82">
        <v>0</v>
      </c>
      <c r="G32" s="82">
        <v>0</v>
      </c>
      <c r="H32" s="82">
        <f>INDEX('Combined Data'!$B$50:$AK$50,1,MATCH('BPEiC-CO2'!$A32,'Combined Data'!$B$2:$AK$2))*10^12</f>
        <v>6708116350225.4033</v>
      </c>
      <c r="I32" s="82">
        <f>INDEX('Combined Data'!$B$66:$AK$66,1,MATCH('BPEiC-CO2'!$A32,'Combined Data'!$B$2:$AK$2))*10^12</f>
        <v>10703658304001.477</v>
      </c>
    </row>
    <row r="33" spans="1:9" x14ac:dyDescent="0.25">
      <c r="A33" s="28">
        <v>2046</v>
      </c>
      <c r="B33" s="82">
        <f>INDEX('Combined Data'!$B$4:$AK$4,1,MATCH('BPEiC-CO2'!$A33,'Combined Data'!$B$2:$AK$2))*10^12</f>
        <v>9638785536362.5625</v>
      </c>
      <c r="C33" s="82">
        <f>INDEX('Combined Data'!$B$10:$AK$10,1,MATCH('BPEiC-CO2'!$A33,'Combined Data'!$B$2:$AK$2))*10^12</f>
        <v>13370022200848.6</v>
      </c>
      <c r="D33" s="82">
        <f>INDEX('Combined Data'!$B$19:$AK$19,1,MATCH('BPEiC-CO2'!$A33,'Combined Data'!$B$2:$AK$2))*10^12</f>
        <v>23666730893394.941</v>
      </c>
      <c r="E33" s="82">
        <f>INDEX('Combined Data'!$B$28:$AK$28,1,MATCH('BPEiC-CO2'!$A33,'Combined Data'!$B$2:$AK$2))*10^12</f>
        <v>5611044356668.1133</v>
      </c>
      <c r="F33" s="82">
        <v>0</v>
      </c>
      <c r="G33" s="82">
        <v>0</v>
      </c>
      <c r="H33" s="82">
        <f>INDEX('Combined Data'!$B$50:$AK$50,1,MATCH('BPEiC-CO2'!$A33,'Combined Data'!$B$2:$AK$2))*10^12</f>
        <v>6842508514521.7822</v>
      </c>
      <c r="I33" s="82">
        <f>INDEX('Combined Data'!$B$66:$AK$66,1,MATCH('BPEiC-CO2'!$A33,'Combined Data'!$B$2:$AK$2))*10^12</f>
        <v>10971318337003.381</v>
      </c>
    </row>
    <row r="34" spans="1:9" x14ac:dyDescent="0.25">
      <c r="A34" s="28">
        <v>2047</v>
      </c>
      <c r="B34" s="82">
        <f>INDEX('Combined Data'!$B$4:$AK$4,1,MATCH('BPEiC-CO2'!$A34,'Combined Data'!$B$2:$AK$2))*10^12</f>
        <v>9695484274811.7539</v>
      </c>
      <c r="C34" s="82">
        <f>INDEX('Combined Data'!$B$10:$AK$10,1,MATCH('BPEiC-CO2'!$A34,'Combined Data'!$B$2:$AK$2))*10^12</f>
        <v>13403699450311.912</v>
      </c>
      <c r="D34" s="82">
        <f>INDEX('Combined Data'!$B$19:$AK$19,1,MATCH('BPEiC-CO2'!$A34,'Combined Data'!$B$2:$AK$2))*10^12</f>
        <v>23823604744663.988</v>
      </c>
      <c r="E34" s="82">
        <f>INDEX('Combined Data'!$B$28:$AK$28,1,MATCH('BPEiC-CO2'!$A34,'Combined Data'!$B$2:$AK$2))*10^12</f>
        <v>5629000772448.4492</v>
      </c>
      <c r="F34" s="82">
        <v>0</v>
      </c>
      <c r="G34" s="82">
        <v>0</v>
      </c>
      <c r="H34" s="82">
        <f>INDEX('Combined Data'!$B$50:$AK$50,1,MATCH('BPEiC-CO2'!$A34,'Combined Data'!$B$2:$AK$2))*10^12</f>
        <v>6976900678818.1592</v>
      </c>
      <c r="I34" s="82">
        <f>INDEX('Combined Data'!$B$66:$AK$66,1,MATCH('BPEiC-CO2'!$A34,'Combined Data'!$B$2:$AK$2))*10^12</f>
        <v>11245601295428.465</v>
      </c>
    </row>
    <row r="35" spans="1:9" x14ac:dyDescent="0.25">
      <c r="A35" s="28">
        <v>2048</v>
      </c>
      <c r="B35" s="82">
        <f>INDEX('Combined Data'!$B$4:$AK$4,1,MATCH('BPEiC-CO2'!$A35,'Combined Data'!$B$2:$AK$2))*10^12</f>
        <v>9752516535251.8223</v>
      </c>
      <c r="C35" s="82">
        <f>INDEX('Combined Data'!$B$10:$AK$10,1,MATCH('BPEiC-CO2'!$A35,'Combined Data'!$B$2:$AK$2))*10^12</f>
        <v>13437478490975.52</v>
      </c>
      <c r="D35" s="82">
        <f>INDEX('Combined Data'!$B$19:$AK$19,1,MATCH('BPEiC-CO2'!$A35,'Combined Data'!$B$2:$AK$2))*10^12</f>
        <v>23980814122935.844</v>
      </c>
      <c r="E35" s="82">
        <f>INDEX('Combined Data'!$B$28:$AK$28,1,MATCH('BPEiC-CO2'!$A35,'Combined Data'!$B$2:$AK$2))*10^12</f>
        <v>5647000147088.2227</v>
      </c>
      <c r="F35" s="82">
        <v>0</v>
      </c>
      <c r="G35" s="82">
        <v>0</v>
      </c>
      <c r="H35" s="82">
        <f>INDEX('Combined Data'!$B$50:$AK$50,1,MATCH('BPEiC-CO2'!$A35,'Combined Data'!$B$2:$AK$2))*10^12</f>
        <v>7111292843114.5371</v>
      </c>
      <c r="I35" s="82">
        <f>INDEX('Combined Data'!$B$66:$AK$66,1,MATCH('BPEiC-CO2'!$A35,'Combined Data'!$B$2:$AK$2))*10^12</f>
        <v>11526672752412.307</v>
      </c>
    </row>
    <row r="36" spans="1:9" x14ac:dyDescent="0.25">
      <c r="A36" s="28">
        <v>2049</v>
      </c>
      <c r="B36" s="82">
        <f>INDEX('Combined Data'!$B$4:$AK$4,1,MATCH('BPEiC-CO2'!$A36,'Combined Data'!$B$2:$AK$2))*10^12</f>
        <v>9809884279576.834</v>
      </c>
      <c r="C36" s="82">
        <f>INDEX('Combined Data'!$B$10:$AK$10,1,MATCH('BPEiC-CO2'!$A36,'Combined Data'!$B$2:$AK$2))*10^12</f>
        <v>13471359655264.365</v>
      </c>
      <c r="D36" s="82">
        <f>INDEX('Combined Data'!$B$19:$AK$19,1,MATCH('BPEiC-CO2'!$A36,'Combined Data'!$B$2:$AK$2))*10^12</f>
        <v>24138360993299.008</v>
      </c>
      <c r="E36" s="82">
        <f>INDEX('Combined Data'!$B$28:$AK$28,1,MATCH('BPEiC-CO2'!$A36,'Combined Data'!$B$2:$AK$2))*10^12</f>
        <v>5665042657727.6045</v>
      </c>
      <c r="F36" s="82">
        <v>0</v>
      </c>
      <c r="G36" s="82">
        <v>0</v>
      </c>
      <c r="H36" s="82">
        <f>INDEX('Combined Data'!$B$50:$AK$50,1,MATCH('BPEiC-CO2'!$A36,'Combined Data'!$B$2:$AK$2))*10^12</f>
        <v>7245685007410.915</v>
      </c>
      <c r="I36" s="82">
        <f>INDEX('Combined Data'!$B$66:$AK$66,1,MATCH('BPEiC-CO2'!$A36,'Combined Data'!$B$2:$AK$2))*10^12</f>
        <v>11814702420418.877</v>
      </c>
    </row>
    <row r="37" spans="1:9" x14ac:dyDescent="0.25">
      <c r="A37" s="28">
        <v>2050</v>
      </c>
      <c r="B37" s="82">
        <f>INDEX('Combined Data'!$B$4:$AK$4,1,MATCH('BPEiC-CO2'!$A37,'Combined Data'!$B$2:$AK$2))*10^12</f>
        <v>9867589481221.4004</v>
      </c>
      <c r="C37" s="82">
        <f>INDEX('Combined Data'!$B$10:$AK$10,1,MATCH('BPEiC-CO2'!$A37,'Combined Data'!$B$2:$AK$2))*10^12</f>
        <v>13505343276719.594</v>
      </c>
      <c r="D37" s="82">
        <f>INDEX('Combined Data'!$B$19:$AK$19,1,MATCH('BPEiC-CO2'!$A37,'Combined Data'!$B$2:$AK$2))*10^12</f>
        <v>24296247332350.965</v>
      </c>
      <c r="E37" s="82">
        <f>INDEX('Combined Data'!$B$28:$AK$28,1,MATCH('BPEiC-CO2'!$A37,'Combined Data'!$B$2:$AK$2))*10^12</f>
        <v>5683128482237.2041</v>
      </c>
      <c r="F37" s="82">
        <v>0</v>
      </c>
      <c r="G37" s="82">
        <v>0</v>
      </c>
      <c r="H37" s="82">
        <f>INDEX('Combined Data'!$B$50:$AK$50,1,MATCH('BPEiC-CO2'!$A37,'Combined Data'!$B$2:$AK$2))*10^12</f>
        <v>7380077171707.293</v>
      </c>
      <c r="I37" s="82">
        <f>INDEX('Combined Data'!$B$66:$AK$66,1,MATCH('BPEiC-CO2'!$A37,'Combined Data'!$B$2:$AK$2))*10^12</f>
        <v>12109864254723.746</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3"/>
  </sheetPr>
  <dimension ref="A1:I37"/>
  <sheetViews>
    <sheetView workbookViewId="0">
      <selection activeCell="I37" sqref="B2:I37"/>
    </sheetView>
  </sheetViews>
  <sheetFormatPr defaultColWidth="10.28515625" defaultRowHeight="15" x14ac:dyDescent="0.25"/>
  <cols>
    <col min="1" max="1" width="10.28515625" style="28"/>
    <col min="2" max="9" width="20.140625" style="28" customWidth="1"/>
    <col min="10" max="16384" width="10.28515625" style="26"/>
  </cols>
  <sheetData>
    <row r="1" spans="1:9" x14ac:dyDescent="0.25">
      <c r="A1" s="28" t="s">
        <v>5</v>
      </c>
      <c r="B1" s="28" t="s">
        <v>148</v>
      </c>
      <c r="C1" s="28" t="s">
        <v>149</v>
      </c>
      <c r="D1" s="28" t="s">
        <v>150</v>
      </c>
      <c r="E1" s="28" t="s">
        <v>151</v>
      </c>
      <c r="F1" s="28" t="s">
        <v>152</v>
      </c>
      <c r="G1" s="28" t="s">
        <v>153</v>
      </c>
      <c r="H1" s="28" t="s">
        <v>154</v>
      </c>
      <c r="I1" s="28" t="s">
        <v>155</v>
      </c>
    </row>
    <row r="2" spans="1:9" x14ac:dyDescent="0.25">
      <c r="A2" s="28">
        <v>2015</v>
      </c>
      <c r="B2" s="82">
        <v>0</v>
      </c>
      <c r="C2" s="82">
        <f>INDEX('Combined Data'!$B$9:$AK$9,1,MATCH('BPEiC-CO2'!$A2,'Combined Data'!$B$2:$AK$2))*10^12</f>
        <v>113348682979957.14</v>
      </c>
      <c r="D2" s="82">
        <f>INDEX('Combined Data'!$B$20:$AK$20,1,MATCH('BPEiC-CO2'!$A2,'Combined Data'!$B$2:$AK$2))*10^12</f>
        <v>1964340000.0000002</v>
      </c>
      <c r="E2" s="82">
        <v>0</v>
      </c>
      <c r="F2" s="82">
        <f>INDEX('Combined Data'!$B$36:$AK$36,1,MATCH('BPEiC-CO2'!$A2,'Combined Data'!$B$2:$AK$2))*10^12</f>
        <v>1351884727940.8752</v>
      </c>
      <c r="G2" s="82">
        <f>INDEX('Combined Data'!$B$42:$AK$42,1,MATCH('BPEiC-CO2'!$A2,'Combined Data'!$B$2:$AK$2))*10^12</f>
        <v>25858312968036.641</v>
      </c>
      <c r="H2" s="82">
        <f>INDEX('Combined Data'!$B$52:$AK$52,1,MATCH('BPEiC-CO2'!$A2,'Combined Data'!$B$2:$AK$2))*10^12</f>
        <v>32256032168809.93</v>
      </c>
      <c r="I2" s="82">
        <v>0</v>
      </c>
    </row>
    <row r="3" spans="1:9" x14ac:dyDescent="0.25">
      <c r="A3" s="28">
        <v>2016</v>
      </c>
      <c r="B3" s="82">
        <v>0</v>
      </c>
      <c r="C3" s="82">
        <f>INDEX('Combined Data'!$B$9:$AK$9,1,MATCH('BPEiC-CO2'!$A3,'Combined Data'!$B$2:$AK$2))*10^12</f>
        <v>115350018209863.5</v>
      </c>
      <c r="D3" s="82">
        <f>INDEX('Combined Data'!$B$20:$AK$20,1,MATCH('BPEiC-CO2'!$A3,'Combined Data'!$B$2:$AK$2))*10^12</f>
        <v>2006067562.2529364</v>
      </c>
      <c r="E3" s="82">
        <v>0</v>
      </c>
      <c r="F3" s="82">
        <f>INDEX('Combined Data'!$B$36:$AK$36,1,MATCH('BPEiC-CO2'!$A3,'Combined Data'!$B$2:$AK$2))*10^12</f>
        <v>1345175474850.4285</v>
      </c>
      <c r="G3" s="82">
        <f>INDEX('Combined Data'!$B$42:$AK$42,1,MATCH('BPEiC-CO2'!$A3,'Combined Data'!$B$2:$AK$2))*10^12</f>
        <v>26105315818559.918</v>
      </c>
      <c r="H3" s="82">
        <f>INDEX('Combined Data'!$B$52:$AK$52,1,MATCH('BPEiC-CO2'!$A3,'Combined Data'!$B$2:$AK$2))*10^12</f>
        <v>32767568912344.273</v>
      </c>
      <c r="I3" s="82">
        <v>0</v>
      </c>
    </row>
    <row r="4" spans="1:9" x14ac:dyDescent="0.25">
      <c r="A4" s="28">
        <v>2017</v>
      </c>
      <c r="B4" s="82">
        <v>0</v>
      </c>
      <c r="C4" s="82">
        <f>INDEX('Combined Data'!$B$9:$AK$9,1,MATCH('BPEiC-CO2'!$A4,'Combined Data'!$B$2:$AK$2))*10^12</f>
        <v>117054501878153.77</v>
      </c>
      <c r="D4" s="82">
        <f>INDEX('Combined Data'!$B$20:$AK$20,1,MATCH('BPEiC-CO2'!$A4,'Combined Data'!$B$2:$AK$2))*10^12</f>
        <v>2018656872.970927</v>
      </c>
      <c r="E4" s="82">
        <v>0</v>
      </c>
      <c r="F4" s="82">
        <f>INDEX('Combined Data'!$B$36:$AK$36,1,MATCH('BPEiC-CO2'!$A4,'Combined Data'!$B$2:$AK$2))*10^12</f>
        <v>1327640574169.6177</v>
      </c>
      <c r="G4" s="82">
        <f>INDEX('Combined Data'!$B$42:$AK$42,1,MATCH('BPEiC-CO2'!$A4,'Combined Data'!$B$2:$AK$2))*10^12</f>
        <v>26356169101241.703</v>
      </c>
      <c r="H4" s="82">
        <f>INDEX('Combined Data'!$B$52:$AK$52,1,MATCH('BPEiC-CO2'!$A4,'Combined Data'!$B$2:$AK$2))*10^12</f>
        <v>33279105655878.617</v>
      </c>
      <c r="I4" s="82">
        <v>0</v>
      </c>
    </row>
    <row r="5" spans="1:9" x14ac:dyDescent="0.25">
      <c r="A5" s="28">
        <v>2018</v>
      </c>
      <c r="B5" s="82">
        <v>0</v>
      </c>
      <c r="C5" s="82">
        <f>INDEX('Combined Data'!$B$9:$AK$9,1,MATCH('BPEiC-CO2'!$A5,'Combined Data'!$B$2:$AK$2))*10^12</f>
        <v>118287951361897.2</v>
      </c>
      <c r="D5" s="82">
        <f>INDEX('Combined Data'!$B$20:$AK$20,1,MATCH('BPEiC-CO2'!$A5,'Combined Data'!$B$2:$AK$2))*10^12</f>
        <v>2021008419.6360984</v>
      </c>
      <c r="E5" s="82">
        <v>0</v>
      </c>
      <c r="F5" s="82">
        <f>INDEX('Combined Data'!$B$36:$AK$36,1,MATCH('BPEiC-CO2'!$A5,'Combined Data'!$B$2:$AK$2))*10^12</f>
        <v>1243073478668.583</v>
      </c>
      <c r="G5" s="82">
        <f>INDEX('Combined Data'!$B$42:$AK$42,1,MATCH('BPEiC-CO2'!$A5,'Combined Data'!$B$2:$AK$2))*10^12</f>
        <v>26604964705295.219</v>
      </c>
      <c r="H5" s="82">
        <f>INDEX('Combined Data'!$B$52:$AK$52,1,MATCH('BPEiC-CO2'!$A5,'Combined Data'!$B$2:$AK$2))*10^12</f>
        <v>33790642399412.953</v>
      </c>
      <c r="I5" s="82">
        <v>0</v>
      </c>
    </row>
    <row r="6" spans="1:9" x14ac:dyDescent="0.25">
      <c r="A6" s="28">
        <v>2019</v>
      </c>
      <c r="B6" s="82">
        <v>0</v>
      </c>
      <c r="C6" s="82">
        <f>INDEX('Combined Data'!$B$9:$AK$9,1,MATCH('BPEiC-CO2'!$A6,'Combined Data'!$B$2:$AK$2))*10^12</f>
        <v>120105363381929.8</v>
      </c>
      <c r="D6" s="82">
        <f>INDEX('Combined Data'!$B$20:$AK$20,1,MATCH('BPEiC-CO2'!$A6,'Combined Data'!$B$2:$AK$2))*10^12</f>
        <v>2018662380.1059742</v>
      </c>
      <c r="E6" s="82">
        <v>0</v>
      </c>
      <c r="F6" s="82">
        <f>INDEX('Combined Data'!$B$36:$AK$36,1,MATCH('BPEiC-CO2'!$A6,'Combined Data'!$B$2:$AK$2))*10^12</f>
        <v>1264335277543.1077</v>
      </c>
      <c r="G6" s="82">
        <f>INDEX('Combined Data'!$B$42:$AK$42,1,MATCH('BPEiC-CO2'!$A6,'Combined Data'!$B$2:$AK$2))*10^12</f>
        <v>26852781676568.02</v>
      </c>
      <c r="H6" s="82">
        <f>INDEX('Combined Data'!$B$52:$AK$52,1,MATCH('BPEiC-CO2'!$A6,'Combined Data'!$B$2:$AK$2))*10^12</f>
        <v>34302179142947.289</v>
      </c>
      <c r="I6" s="82">
        <v>0</v>
      </c>
    </row>
    <row r="7" spans="1:9" x14ac:dyDescent="0.25">
      <c r="A7" s="28">
        <v>2020</v>
      </c>
      <c r="B7" s="82">
        <v>0</v>
      </c>
      <c r="C7" s="82">
        <f>INDEX('Combined Data'!$B$9:$AK$9,1,MATCH('BPEiC-CO2'!$A7,'Combined Data'!$B$2:$AK$2))*10^12</f>
        <v>122325210171221.92</v>
      </c>
      <c r="D7" s="82">
        <f>INDEX('Combined Data'!$B$20:$AK$20,1,MATCH('BPEiC-CO2'!$A7,'Combined Data'!$B$2:$AK$2))*10^12</f>
        <v>2033801494.3508368</v>
      </c>
      <c r="E7" s="82">
        <v>0</v>
      </c>
      <c r="F7" s="82">
        <f>INDEX('Combined Data'!$B$36:$AK$36,1,MATCH('BPEiC-CO2'!$A7,'Combined Data'!$B$2:$AK$2))*10^12</f>
        <v>1226692331361.0559</v>
      </c>
      <c r="G7" s="82">
        <f>INDEX('Combined Data'!$B$42:$AK$42,1,MATCH('BPEiC-CO2'!$A7,'Combined Data'!$B$2:$AK$2))*10^12</f>
        <v>27101059285677.184</v>
      </c>
      <c r="H7" s="82">
        <f>INDEX('Combined Data'!$B$52:$AK$52,1,MATCH('BPEiC-CO2'!$A7,'Combined Data'!$B$2:$AK$2))*10^12</f>
        <v>34797662387576.281</v>
      </c>
      <c r="I7" s="82">
        <v>0</v>
      </c>
    </row>
    <row r="8" spans="1:9" x14ac:dyDescent="0.25">
      <c r="A8" s="28">
        <v>2021</v>
      </c>
      <c r="B8" s="82">
        <v>0</v>
      </c>
      <c r="C8" s="82">
        <f>INDEX('Combined Data'!$B$9:$AK$9,1,MATCH('BPEiC-CO2'!$A8,'Combined Data'!$B$2:$AK$2))*10^12</f>
        <v>125225930891018.73</v>
      </c>
      <c r="D8" s="82">
        <f>INDEX('Combined Data'!$B$20:$AK$20,1,MATCH('BPEiC-CO2'!$A8,'Combined Data'!$B$2:$AK$2))*10^12</f>
        <v>2034721185.9037254</v>
      </c>
      <c r="E8" s="82">
        <v>0</v>
      </c>
      <c r="F8" s="82">
        <f>INDEX('Combined Data'!$B$36:$AK$36,1,MATCH('BPEiC-CO2'!$A8,'Combined Data'!$B$2:$AK$2))*10^12</f>
        <v>1180212438820.7742</v>
      </c>
      <c r="G8" s="82">
        <f>INDEX('Combined Data'!$B$42:$AK$42,1,MATCH('BPEiC-CO2'!$A8,'Combined Data'!$B$2:$AK$2))*10^12</f>
        <v>27348787783483.172</v>
      </c>
      <c r="H8" s="82">
        <f>INDEX('Combined Data'!$B$52:$AK$52,1,MATCH('BPEiC-CO2'!$A8,'Combined Data'!$B$2:$AK$2))*10^12</f>
        <v>35293145632205.281</v>
      </c>
      <c r="I8" s="82">
        <v>0</v>
      </c>
    </row>
    <row r="9" spans="1:9" x14ac:dyDescent="0.25">
      <c r="A9" s="28">
        <v>2022</v>
      </c>
      <c r="B9" s="82">
        <v>0</v>
      </c>
      <c r="C9" s="82">
        <f>INDEX('Combined Data'!$B$9:$AK$9,1,MATCH('BPEiC-CO2'!$A9,'Combined Data'!$B$2:$AK$2))*10^12</f>
        <v>127999850350644.33</v>
      </c>
      <c r="D9" s="82">
        <f>INDEX('Combined Data'!$B$20:$AK$20,1,MATCH('BPEiC-CO2'!$A9,'Combined Data'!$B$2:$AK$2))*10^12</f>
        <v>2037893295.6909356</v>
      </c>
      <c r="E9" s="82">
        <v>0</v>
      </c>
      <c r="F9" s="82">
        <f>INDEX('Combined Data'!$B$36:$AK$36,1,MATCH('BPEiC-CO2'!$A9,'Combined Data'!$B$2:$AK$2))*10^12</f>
        <v>1198838367242.7346</v>
      </c>
      <c r="G9" s="82">
        <f>INDEX('Combined Data'!$B$42:$AK$42,1,MATCH('BPEiC-CO2'!$A9,'Combined Data'!$B$2:$AK$2))*10^12</f>
        <v>27595461703409.641</v>
      </c>
      <c r="H9" s="82">
        <f>INDEX('Combined Data'!$B$52:$AK$52,1,MATCH('BPEiC-CO2'!$A9,'Combined Data'!$B$2:$AK$2))*10^12</f>
        <v>35788628876834.281</v>
      </c>
      <c r="I9" s="82">
        <v>0</v>
      </c>
    </row>
    <row r="10" spans="1:9" x14ac:dyDescent="0.25">
      <c r="A10" s="28">
        <v>2023</v>
      </c>
      <c r="B10" s="82">
        <v>0</v>
      </c>
      <c r="C10" s="82">
        <f>INDEX('Combined Data'!$B$9:$AK$9,1,MATCH('BPEiC-CO2'!$A10,'Combined Data'!$B$2:$AK$2))*10^12</f>
        <v>130337161190184.61</v>
      </c>
      <c r="D10" s="82">
        <f>INDEX('Combined Data'!$B$20:$AK$20,1,MATCH('BPEiC-CO2'!$A10,'Combined Data'!$B$2:$AK$2))*10^12</f>
        <v>2043461009.2236955</v>
      </c>
      <c r="E10" s="82">
        <v>0</v>
      </c>
      <c r="F10" s="82">
        <f>INDEX('Combined Data'!$B$36:$AK$36,1,MATCH('BPEiC-CO2'!$A10,'Combined Data'!$B$2:$AK$2))*10^12</f>
        <v>1190878783218.417</v>
      </c>
      <c r="G10" s="82">
        <f>INDEX('Combined Data'!$B$42:$AK$42,1,MATCH('BPEiC-CO2'!$A10,'Combined Data'!$B$2:$AK$2))*10^12</f>
        <v>27840071413032.809</v>
      </c>
      <c r="H10" s="82">
        <f>INDEX('Combined Data'!$B$52:$AK$52,1,MATCH('BPEiC-CO2'!$A10,'Combined Data'!$B$2:$AK$2))*10^12</f>
        <v>36284112121463.266</v>
      </c>
      <c r="I10" s="82">
        <v>0</v>
      </c>
    </row>
    <row r="11" spans="1:9" x14ac:dyDescent="0.25">
      <c r="A11" s="28">
        <v>2024</v>
      </c>
      <c r="B11" s="82">
        <v>0</v>
      </c>
      <c r="C11" s="82">
        <f>INDEX('Combined Data'!$B$9:$AK$9,1,MATCH('BPEiC-CO2'!$A11,'Combined Data'!$B$2:$AK$2))*10^12</f>
        <v>131896361455479.45</v>
      </c>
      <c r="D11" s="82">
        <f>INDEX('Combined Data'!$B$20:$AK$20,1,MATCH('BPEiC-CO2'!$A11,'Combined Data'!$B$2:$AK$2))*10^12</f>
        <v>2062802067.5096018</v>
      </c>
      <c r="E11" s="82">
        <v>0</v>
      </c>
      <c r="F11" s="82">
        <f>INDEX('Combined Data'!$B$36:$AK$36,1,MATCH('BPEiC-CO2'!$A11,'Combined Data'!$B$2:$AK$2))*10^12</f>
        <v>1158231186902.1223</v>
      </c>
      <c r="G11" s="82">
        <f>INDEX('Combined Data'!$B$42:$AK$42,1,MATCH('BPEiC-CO2'!$A11,'Combined Data'!$B$2:$AK$2))*10^12</f>
        <v>28081895461642.512</v>
      </c>
      <c r="H11" s="82">
        <f>INDEX('Combined Data'!$B$52:$AK$52,1,MATCH('BPEiC-CO2'!$A11,'Combined Data'!$B$2:$AK$2))*10^12</f>
        <v>36779595366092.266</v>
      </c>
      <c r="I11" s="82">
        <v>0</v>
      </c>
    </row>
    <row r="12" spans="1:9" x14ac:dyDescent="0.25">
      <c r="A12" s="28">
        <v>2025</v>
      </c>
      <c r="B12" s="82">
        <v>0</v>
      </c>
      <c r="C12" s="82">
        <f>INDEX('Combined Data'!$B$9:$AK$9,1,MATCH('BPEiC-CO2'!$A12,'Combined Data'!$B$2:$AK$2))*10^12</f>
        <v>132927187312174.53</v>
      </c>
      <c r="D12" s="82">
        <f>INDEX('Combined Data'!$B$20:$AK$20,1,MATCH('BPEiC-CO2'!$A12,'Combined Data'!$B$2:$AK$2))*10^12</f>
        <v>2079345501.1915104</v>
      </c>
      <c r="E12" s="82">
        <v>0</v>
      </c>
      <c r="F12" s="82">
        <f>INDEX('Combined Data'!$B$36:$AK$36,1,MATCH('BPEiC-CO2'!$A12,'Combined Data'!$B$2:$AK$2))*10^12</f>
        <v>1141433660874.6199</v>
      </c>
      <c r="G12" s="82">
        <f>INDEX('Combined Data'!$B$42:$AK$42,1,MATCH('BPEiC-CO2'!$A12,'Combined Data'!$B$2:$AK$2))*10^12</f>
        <v>28320860736919.805</v>
      </c>
      <c r="H12" s="82">
        <f>INDEX('Combined Data'!$B$52:$AK$52,1,MATCH('BPEiC-CO2'!$A12,'Combined Data'!$B$2:$AK$2))*10^12</f>
        <v>37244107850640.234</v>
      </c>
      <c r="I12" s="82">
        <v>0</v>
      </c>
    </row>
    <row r="13" spans="1:9" x14ac:dyDescent="0.25">
      <c r="A13" s="28">
        <v>2026</v>
      </c>
      <c r="B13" s="82">
        <v>0</v>
      </c>
      <c r="C13" s="82">
        <f>INDEX('Combined Data'!$B$9:$AK$9,1,MATCH('BPEiC-CO2'!$A13,'Combined Data'!$B$2:$AK$2))*10^12</f>
        <v>133367946539583.11</v>
      </c>
      <c r="D13" s="82">
        <f>INDEX('Combined Data'!$B$20:$AK$20,1,MATCH('BPEiC-CO2'!$A13,'Combined Data'!$B$2:$AK$2))*10^12</f>
        <v>2099589729.6251643</v>
      </c>
      <c r="E13" s="82">
        <v>0</v>
      </c>
      <c r="F13" s="82">
        <f>INDEX('Combined Data'!$B$36:$AK$36,1,MATCH('BPEiC-CO2'!$A13,'Combined Data'!$B$2:$AK$2))*10^12</f>
        <v>1125323328994.719</v>
      </c>
      <c r="G13" s="82">
        <f>INDEX('Combined Data'!$B$42:$AK$42,1,MATCH('BPEiC-CO2'!$A13,'Combined Data'!$B$2:$AK$2))*10^12</f>
        <v>28557614494393.285</v>
      </c>
      <c r="H13" s="82">
        <f>INDEX('Combined Data'!$B$52:$AK$52,1,MATCH('BPEiC-CO2'!$A13,'Combined Data'!$B$2:$AK$2))*10^12</f>
        <v>37708620335188.164</v>
      </c>
      <c r="I13" s="82">
        <v>0</v>
      </c>
    </row>
    <row r="14" spans="1:9" x14ac:dyDescent="0.25">
      <c r="A14" s="28">
        <v>2027</v>
      </c>
      <c r="B14" s="82">
        <v>0</v>
      </c>
      <c r="C14" s="82">
        <f>INDEX('Combined Data'!$B$9:$AK$9,1,MATCH('BPEiC-CO2'!$A14,'Combined Data'!$B$2:$AK$2))*10^12</f>
        <v>133520739342419.92</v>
      </c>
      <c r="D14" s="82">
        <f>INDEX('Combined Data'!$B$20:$AK$20,1,MATCH('BPEiC-CO2'!$A14,'Combined Data'!$B$2:$AK$2))*10^12</f>
        <v>2117476904.2585995</v>
      </c>
      <c r="E14" s="82">
        <v>0</v>
      </c>
      <c r="F14" s="82">
        <f>INDEX('Combined Data'!$B$36:$AK$36,1,MATCH('BPEiC-CO2'!$A14,'Combined Data'!$B$2:$AK$2))*10^12</f>
        <v>1095393246017.2577</v>
      </c>
      <c r="G14" s="82">
        <f>INDEX('Combined Data'!$B$42:$AK$42,1,MATCH('BPEiC-CO2'!$A14,'Combined Data'!$B$2:$AK$2))*10^12</f>
        <v>28793308259669.031</v>
      </c>
      <c r="H14" s="82">
        <f>INDEX('Combined Data'!$B$52:$AK$52,1,MATCH('BPEiC-CO2'!$A14,'Combined Data'!$B$2:$AK$2))*10^12</f>
        <v>38173132819736.117</v>
      </c>
      <c r="I14" s="82">
        <v>0</v>
      </c>
    </row>
    <row r="15" spans="1:9" x14ac:dyDescent="0.25">
      <c r="A15" s="28">
        <v>2028</v>
      </c>
      <c r="B15" s="82">
        <v>0</v>
      </c>
      <c r="C15" s="82">
        <f>INDEX('Combined Data'!$B$9:$AK$9,1,MATCH('BPEiC-CO2'!$A15,'Combined Data'!$B$2:$AK$2))*10^12</f>
        <v>133204798612669.61</v>
      </c>
      <c r="D15" s="82">
        <f>INDEX('Combined Data'!$B$20:$AK$20,1,MATCH('BPEiC-CO2'!$A15,'Combined Data'!$B$2:$AK$2))*10^12</f>
        <v>2134736265.4966493</v>
      </c>
      <c r="E15" s="82">
        <v>0</v>
      </c>
      <c r="F15" s="82">
        <f>INDEX('Combined Data'!$B$36:$AK$36,1,MATCH('BPEiC-CO2'!$A15,'Combined Data'!$B$2:$AK$2))*10^12</f>
        <v>1088512542865.645</v>
      </c>
      <c r="G15" s="82">
        <f>INDEX('Combined Data'!$B$42:$AK$42,1,MATCH('BPEiC-CO2'!$A15,'Combined Data'!$B$2:$AK$2))*10^12</f>
        <v>29027004680247.191</v>
      </c>
      <c r="H15" s="82">
        <f>INDEX('Combined Data'!$B$52:$AK$52,1,MATCH('BPEiC-CO2'!$A15,'Combined Data'!$B$2:$AK$2))*10^12</f>
        <v>38637645304284.07</v>
      </c>
      <c r="I15" s="82">
        <v>0</v>
      </c>
    </row>
    <row r="16" spans="1:9" x14ac:dyDescent="0.25">
      <c r="A16" s="28">
        <v>2029</v>
      </c>
      <c r="B16" s="82">
        <v>0</v>
      </c>
      <c r="C16" s="82">
        <f>INDEX('Combined Data'!$B$9:$AK$9,1,MATCH('BPEiC-CO2'!$A16,'Combined Data'!$B$2:$AK$2))*10^12</f>
        <v>133183272354471.34</v>
      </c>
      <c r="D16" s="82">
        <f>INDEX('Combined Data'!$B$20:$AK$20,1,MATCH('BPEiC-CO2'!$A16,'Combined Data'!$B$2:$AK$2))*10^12</f>
        <v>2152739089.9660764</v>
      </c>
      <c r="E16" s="82">
        <v>0</v>
      </c>
      <c r="F16" s="82">
        <f>INDEX('Combined Data'!$B$36:$AK$36,1,MATCH('BPEiC-CO2'!$A16,'Combined Data'!$B$2:$AK$2))*10^12</f>
        <v>976259747243.60071</v>
      </c>
      <c r="G16" s="82">
        <f>INDEX('Combined Data'!$B$42:$AK$42,1,MATCH('BPEiC-CO2'!$A16,'Combined Data'!$B$2:$AK$2))*10^12</f>
        <v>29255893618958.195</v>
      </c>
      <c r="H16" s="82">
        <f>INDEX('Combined Data'!$B$52:$AK$52,1,MATCH('BPEiC-CO2'!$A16,'Combined Data'!$B$2:$AK$2))*10^12</f>
        <v>39102157788832.008</v>
      </c>
      <c r="I16" s="82">
        <v>0</v>
      </c>
    </row>
    <row r="17" spans="1:9" x14ac:dyDescent="0.25">
      <c r="A17" s="28">
        <v>2030</v>
      </c>
      <c r="B17" s="82">
        <v>0</v>
      </c>
      <c r="C17" s="82">
        <f>INDEX('Combined Data'!$B$9:$AK$9,1,MATCH('BPEiC-CO2'!$A17,'Combined Data'!$B$2:$AK$2))*10^12</f>
        <v>133322041466301.13</v>
      </c>
      <c r="D17" s="82">
        <f>INDEX('Combined Data'!$B$20:$AK$20,1,MATCH('BPEiC-CO2'!$A17,'Combined Data'!$B$2:$AK$2))*10^12</f>
        <v>2173154039.5861955</v>
      </c>
      <c r="E17" s="82">
        <v>0</v>
      </c>
      <c r="F17" s="82">
        <f>INDEX('Combined Data'!$B$36:$AK$36,1,MATCH('BPEiC-CO2'!$A17,'Combined Data'!$B$2:$AK$2))*10^12</f>
        <v>947344823861.75562</v>
      </c>
      <c r="G17" s="82">
        <f>INDEX('Combined Data'!$B$42:$AK$42,1,MATCH('BPEiC-CO2'!$A17,'Combined Data'!$B$2:$AK$2))*10^12</f>
        <v>29479686093856.957</v>
      </c>
      <c r="H17" s="82">
        <f>INDEX('Combined Data'!$B$52:$AK$52,1,MATCH('BPEiC-CO2'!$A17,'Combined Data'!$B$2:$AK$2))*10^12</f>
        <v>39547412060199.992</v>
      </c>
      <c r="I17" s="82">
        <v>0</v>
      </c>
    </row>
    <row r="18" spans="1:9" x14ac:dyDescent="0.25">
      <c r="A18" s="28">
        <v>2031</v>
      </c>
      <c r="B18" s="82">
        <v>0</v>
      </c>
      <c r="C18" s="82">
        <f>INDEX('Combined Data'!$B$9:$AK$9,1,MATCH('BPEiC-CO2'!$A18,'Combined Data'!$B$2:$AK$2))*10^12</f>
        <v>133602685743738.42</v>
      </c>
      <c r="D18" s="82">
        <f>INDEX('Combined Data'!$B$20:$AK$20,1,MATCH('BPEiC-CO2'!$A18,'Combined Data'!$B$2:$AK$2))*10^12</f>
        <v>2192897118.7305503</v>
      </c>
      <c r="E18" s="82">
        <v>0</v>
      </c>
      <c r="F18" s="82">
        <f>INDEX('Combined Data'!$B$36:$AK$36,1,MATCH('BPEiC-CO2'!$A18,'Combined Data'!$B$2:$AK$2))*10^12</f>
        <v>969164582168.78662</v>
      </c>
      <c r="G18" s="82">
        <f>INDEX('Combined Data'!$B$42:$AK$42,1,MATCH('BPEiC-CO2'!$A18,'Combined Data'!$B$2:$AK$2))*10^12</f>
        <v>29698165193991.441</v>
      </c>
      <c r="H18" s="82">
        <f>INDEX('Combined Data'!$B$52:$AK$52,1,MATCH('BPEiC-CO2'!$A18,'Combined Data'!$B$2:$AK$2))*10^12</f>
        <v>39992666331567.961</v>
      </c>
      <c r="I18" s="82">
        <v>0</v>
      </c>
    </row>
    <row r="19" spans="1:9" x14ac:dyDescent="0.25">
      <c r="A19" s="28">
        <v>2032</v>
      </c>
      <c r="B19" s="82">
        <v>0</v>
      </c>
      <c r="C19" s="82">
        <f>INDEX('Combined Data'!$B$9:$AK$9,1,MATCH('BPEiC-CO2'!$A19,'Combined Data'!$B$2:$AK$2))*10^12</f>
        <v>133909639571696.77</v>
      </c>
      <c r="D19" s="82">
        <f>INDEX('Combined Data'!$B$20:$AK$20,1,MATCH('BPEiC-CO2'!$A19,'Combined Data'!$B$2:$AK$2))*10^12</f>
        <v>2209776487.6503406</v>
      </c>
      <c r="E19" s="82">
        <v>0</v>
      </c>
      <c r="F19" s="82">
        <f>INDEX('Combined Data'!$B$36:$AK$36,1,MATCH('BPEiC-CO2'!$A19,'Combined Data'!$B$2:$AK$2))*10^12</f>
        <v>994386061027.38904</v>
      </c>
      <c r="G19" s="82">
        <f>INDEX('Combined Data'!$B$42:$AK$42,1,MATCH('BPEiC-CO2'!$A19,'Combined Data'!$B$2:$AK$2))*10^12</f>
        <v>29910897950272.875</v>
      </c>
      <c r="H19" s="82">
        <f>INDEX('Combined Data'!$B$52:$AK$52,1,MATCH('BPEiC-CO2'!$A19,'Combined Data'!$B$2:$AK$2))*10^12</f>
        <v>40437920602935.922</v>
      </c>
      <c r="I19" s="82">
        <v>0</v>
      </c>
    </row>
    <row r="20" spans="1:9" x14ac:dyDescent="0.25">
      <c r="A20" s="28">
        <v>2033</v>
      </c>
      <c r="B20" s="82">
        <v>0</v>
      </c>
      <c r="C20" s="82">
        <f>INDEX('Combined Data'!$B$9:$AK$9,1,MATCH('BPEiC-CO2'!$A20,'Combined Data'!$B$2:$AK$2))*10^12</f>
        <v>134297487242882.14</v>
      </c>
      <c r="D20" s="82">
        <f>INDEX('Combined Data'!$B$20:$AK$20,1,MATCH('BPEiC-CO2'!$A20,'Combined Data'!$B$2:$AK$2))*10^12</f>
        <v>2226083114.5252175</v>
      </c>
      <c r="E20" s="82">
        <v>0</v>
      </c>
      <c r="F20" s="82">
        <f>INDEX('Combined Data'!$B$36:$AK$36,1,MATCH('BPEiC-CO2'!$A20,'Combined Data'!$B$2:$AK$2))*10^12</f>
        <v>997323014514.19641</v>
      </c>
      <c r="G20" s="82">
        <f>INDEX('Combined Data'!$B$42:$AK$42,1,MATCH('BPEiC-CO2'!$A20,'Combined Data'!$B$2:$AK$2))*10^12</f>
        <v>30117235333763.707</v>
      </c>
      <c r="H20" s="82">
        <f>INDEX('Combined Data'!$B$52:$AK$52,1,MATCH('BPEiC-CO2'!$A20,'Combined Data'!$B$2:$AK$2))*10^12</f>
        <v>40883174874303.883</v>
      </c>
      <c r="I20" s="82">
        <v>0</v>
      </c>
    </row>
    <row r="21" spans="1:9" x14ac:dyDescent="0.25">
      <c r="A21" s="28">
        <v>2034</v>
      </c>
      <c r="B21" s="82">
        <v>0</v>
      </c>
      <c r="C21" s="82">
        <f>INDEX('Combined Data'!$B$9:$AK$9,1,MATCH('BPEiC-CO2'!$A21,'Combined Data'!$B$2:$AK$2))*10^12</f>
        <v>134532919034054.69</v>
      </c>
      <c r="D21" s="82">
        <f>INDEX('Combined Data'!$B$20:$AK$20,1,MATCH('BPEiC-CO2'!$A21,'Combined Data'!$B$2:$AK$2))*10^12</f>
        <v>2239790373.6577978</v>
      </c>
      <c r="E21" s="82">
        <v>0</v>
      </c>
      <c r="F21" s="82">
        <f>INDEX('Combined Data'!$B$36:$AK$36,1,MATCH('BPEiC-CO2'!$A21,'Combined Data'!$B$2:$AK$2))*10^12</f>
        <v>1045069566565.6029</v>
      </c>
      <c r="G21" s="82">
        <f>INDEX('Combined Data'!$B$42:$AK$42,1,MATCH('BPEiC-CO2'!$A21,'Combined Data'!$B$2:$AK$2))*10^12</f>
        <v>30316312254043.898</v>
      </c>
      <c r="H21" s="82">
        <f>INDEX('Combined Data'!$B$52:$AK$52,1,MATCH('BPEiC-CO2'!$A21,'Combined Data'!$B$2:$AK$2))*10^12</f>
        <v>41328429145671.859</v>
      </c>
      <c r="I21" s="82">
        <v>0</v>
      </c>
    </row>
    <row r="22" spans="1:9" x14ac:dyDescent="0.25">
      <c r="A22" s="28">
        <v>2035</v>
      </c>
      <c r="B22" s="82">
        <v>0</v>
      </c>
      <c r="C22" s="82">
        <f>INDEX('Combined Data'!$B$9:$AK$9,1,MATCH('BPEiC-CO2'!$A22,'Combined Data'!$B$2:$AK$2))*10^12</f>
        <v>134738314782995.02</v>
      </c>
      <c r="D22" s="82">
        <f>INDEX('Combined Data'!$B$20:$AK$20,1,MATCH('BPEiC-CO2'!$A22,'Combined Data'!$B$2:$AK$2))*10^12</f>
        <v>2252087806.2182841</v>
      </c>
      <c r="E22" s="82">
        <v>0</v>
      </c>
      <c r="F22" s="82">
        <f>INDEX('Combined Data'!$B$36:$AK$36,1,MATCH('BPEiC-CO2'!$A22,'Combined Data'!$B$2:$AK$2))*10^12</f>
        <v>1041236930877.7207</v>
      </c>
      <c r="G22" s="82">
        <f>INDEX('Combined Data'!$B$42:$AK$42,1,MATCH('BPEiC-CO2'!$A22,'Combined Data'!$B$2:$AK$2))*10^12</f>
        <v>30507911939658.43</v>
      </c>
      <c r="H22" s="82">
        <f>INDEX('Combined Data'!$B$52:$AK$52,1,MATCH('BPEiC-CO2'!$A22,'Combined Data'!$B$2:$AK$2))*10^12</f>
        <v>41771875788736.578</v>
      </c>
      <c r="I22" s="82">
        <v>0</v>
      </c>
    </row>
    <row r="23" spans="1:9" x14ac:dyDescent="0.25">
      <c r="A23" s="28">
        <v>2036</v>
      </c>
      <c r="B23" s="82">
        <v>0</v>
      </c>
      <c r="C23" s="82">
        <f>INDEX('Combined Data'!$B$9:$AK$9,1,MATCH('BPEiC-CO2'!$A23,'Combined Data'!$B$2:$AK$2))*10^12</f>
        <v>134952058532896.56</v>
      </c>
      <c r="D23" s="82">
        <f>INDEX('Combined Data'!$B$20:$AK$20,1,MATCH('BPEiC-CO2'!$A23,'Combined Data'!$B$2:$AK$2))*10^12</f>
        <v>2264203503.3222122</v>
      </c>
      <c r="E23" s="82">
        <v>0</v>
      </c>
      <c r="F23" s="82">
        <f>INDEX('Combined Data'!$B$36:$AK$36,1,MATCH('BPEiC-CO2'!$A23,'Combined Data'!$B$2:$AK$2))*10^12</f>
        <v>1043296522030.6154</v>
      </c>
      <c r="G23" s="82">
        <f>INDEX('Combined Data'!$B$42:$AK$42,1,MATCH('BPEiC-CO2'!$A23,'Combined Data'!$B$2:$AK$2))*10^12</f>
        <v>30690953268118.957</v>
      </c>
      <c r="H23" s="82">
        <f>INDEX('Combined Data'!$B$52:$AK$52,1,MATCH('BPEiC-CO2'!$A23,'Combined Data'!$B$2:$AK$2))*10^12</f>
        <v>42215322431801.289</v>
      </c>
      <c r="I23" s="82">
        <v>0</v>
      </c>
    </row>
    <row r="24" spans="1:9" x14ac:dyDescent="0.25">
      <c r="A24" s="28">
        <v>2037</v>
      </c>
      <c r="B24" s="82">
        <v>0</v>
      </c>
      <c r="C24" s="82">
        <f>INDEX('Combined Data'!$B$9:$AK$9,1,MATCH('BPEiC-CO2'!$A24,'Combined Data'!$B$2:$AK$2))*10^12</f>
        <v>135231241118856.84</v>
      </c>
      <c r="D24" s="82">
        <f>INDEX('Combined Data'!$B$20:$AK$20,1,MATCH('BPEiC-CO2'!$A24,'Combined Data'!$B$2:$AK$2))*10^12</f>
        <v>2276324707.5611873</v>
      </c>
      <c r="E24" s="82">
        <v>0</v>
      </c>
      <c r="F24" s="82">
        <f>INDEX('Combined Data'!$B$36:$AK$36,1,MATCH('BPEiC-CO2'!$A24,'Combined Data'!$B$2:$AK$2))*10^12</f>
        <v>1019142573692.2362</v>
      </c>
      <c r="G24" s="82">
        <f>INDEX('Combined Data'!$B$42:$AK$42,1,MATCH('BPEiC-CO2'!$A24,'Combined Data'!$B$2:$AK$2))*10^12</f>
        <v>30865723751334.078</v>
      </c>
      <c r="H24" s="82">
        <f>INDEX('Combined Data'!$B$52:$AK$52,1,MATCH('BPEiC-CO2'!$A24,'Combined Data'!$B$2:$AK$2))*10^12</f>
        <v>42658769074866</v>
      </c>
      <c r="I24" s="82">
        <v>0</v>
      </c>
    </row>
    <row r="25" spans="1:9" x14ac:dyDescent="0.25">
      <c r="A25" s="28">
        <v>2038</v>
      </c>
      <c r="B25" s="82">
        <v>0</v>
      </c>
      <c r="C25" s="82">
        <f>INDEX('Combined Data'!$B$9:$AK$9,1,MATCH('BPEiC-CO2'!$A25,'Combined Data'!$B$2:$AK$2))*10^12</f>
        <v>135430668075481.13</v>
      </c>
      <c r="D25" s="82">
        <f>INDEX('Combined Data'!$B$20:$AK$20,1,MATCH('BPEiC-CO2'!$A25,'Combined Data'!$B$2:$AK$2))*10^12</f>
        <v>2289850231.2372084</v>
      </c>
      <c r="E25" s="82">
        <v>0</v>
      </c>
      <c r="F25" s="82">
        <f>INDEX('Combined Data'!$B$36:$AK$36,1,MATCH('BPEiC-CO2'!$A25,'Combined Data'!$B$2:$AK$2))*10^12</f>
        <v>1021912856213.6591</v>
      </c>
      <c r="G25" s="82">
        <f>INDEX('Combined Data'!$B$42:$AK$42,1,MATCH('BPEiC-CO2'!$A25,'Combined Data'!$B$2:$AK$2))*10^12</f>
        <v>31032222802076.551</v>
      </c>
      <c r="H25" s="82">
        <f>INDEX('Combined Data'!$B$52:$AK$52,1,MATCH('BPEiC-CO2'!$A25,'Combined Data'!$B$2:$AK$2))*10^12</f>
        <v>43102215717930.695</v>
      </c>
      <c r="I25" s="82">
        <v>0</v>
      </c>
    </row>
    <row r="26" spans="1:9" x14ac:dyDescent="0.25">
      <c r="A26" s="28">
        <v>2039</v>
      </c>
      <c r="B26" s="82">
        <v>0</v>
      </c>
      <c r="C26" s="82">
        <f>INDEX('Combined Data'!$B$9:$AK$9,1,MATCH('BPEiC-CO2'!$A26,'Combined Data'!$B$2:$AK$2))*10^12</f>
        <v>135618020862082.13</v>
      </c>
      <c r="D26" s="82">
        <f>INDEX('Combined Data'!$B$20:$AK$20,1,MATCH('BPEiC-CO2'!$A26,'Combined Data'!$B$2:$AK$2))*10^12</f>
        <v>2304785581.4853234</v>
      </c>
      <c r="E26" s="82">
        <v>0</v>
      </c>
      <c r="F26" s="82">
        <f>INDEX('Combined Data'!$B$36:$AK$36,1,MATCH('BPEiC-CO2'!$A26,'Combined Data'!$B$2:$AK$2))*10^12</f>
        <v>1022460460938.6383</v>
      </c>
      <c r="G26" s="82">
        <f>INDEX('Combined Data'!$B$42:$AK$42,1,MATCH('BPEiC-CO2'!$A26,'Combined Data'!$B$2:$AK$2))*10^12</f>
        <v>31191242210198.895</v>
      </c>
      <c r="H26" s="82">
        <f>INDEX('Combined Data'!$B$52:$AK$52,1,MATCH('BPEiC-CO2'!$A26,'Combined Data'!$B$2:$AK$2))*10^12</f>
        <v>43545662360995.422</v>
      </c>
      <c r="I26" s="82">
        <v>0</v>
      </c>
    </row>
    <row r="27" spans="1:9" x14ac:dyDescent="0.25">
      <c r="A27" s="28">
        <v>2040</v>
      </c>
      <c r="B27" s="82">
        <v>0</v>
      </c>
      <c r="C27" s="82">
        <f>INDEX('Combined Data'!$B$9:$AK$9,1,MATCH('BPEiC-CO2'!$A27,'Combined Data'!$B$2:$AK$2))*10^12</f>
        <v>135809216715359.3</v>
      </c>
      <c r="D27" s="82">
        <f>INDEX('Combined Data'!$B$20:$AK$20,1,MATCH('BPEiC-CO2'!$A27,'Combined Data'!$B$2:$AK$2))*10^12</f>
        <v>2321329015.167232</v>
      </c>
      <c r="E27" s="82">
        <v>0</v>
      </c>
      <c r="F27" s="82">
        <f>INDEX('Combined Data'!$B$36:$AK$36,1,MATCH('BPEiC-CO2'!$A27,'Combined Data'!$B$2:$AK$2))*10^12</f>
        <v>1025268777097.3232</v>
      </c>
      <c r="G27" s="82">
        <f>INDEX('Combined Data'!$B$42:$AK$42,1,MATCH('BPEiC-CO2'!$A27,'Combined Data'!$B$2:$AK$2))*10^12</f>
        <v>31343645823061.992</v>
      </c>
      <c r="H27" s="82">
        <f>INDEX('Combined Data'!$B$52:$AK$52,1,MATCH('BPEiC-CO2'!$A27,'Combined Data'!$B$2:$AK$2))*10^12</f>
        <v>43993754302909.539</v>
      </c>
      <c r="I27" s="82">
        <v>0</v>
      </c>
    </row>
    <row r="28" spans="1:9" x14ac:dyDescent="0.25">
      <c r="A28" s="28">
        <v>2041</v>
      </c>
      <c r="B28" s="82">
        <v>0</v>
      </c>
      <c r="C28" s="82">
        <f>INDEX('Combined Data'!$B$9:$AK$9,1,MATCH('BPEiC-CO2'!$A28,'Combined Data'!$B$2:$AK$2))*10^12</f>
        <v>136034987279538.88</v>
      </c>
      <c r="D28" s="82">
        <f>INDEX('Combined Data'!$B$20:$AK$20,1,MATCH('BPEiC-CO2'!$A28,'Combined Data'!$B$2:$AK$2))*10^12</f>
        <v>2334924394.7737317</v>
      </c>
      <c r="E28" s="82">
        <v>0</v>
      </c>
      <c r="F28" s="82">
        <f>INDEX('Combined Data'!$B$36:$AK$36,1,MATCH('BPEiC-CO2'!$A28,'Combined Data'!$B$2:$AK$2))*10^12</f>
        <v>1031203979474.9923</v>
      </c>
      <c r="G28" s="82">
        <f>INDEX('Combined Data'!$B$42:$AK$42,1,MATCH('BPEiC-CO2'!$A28,'Combined Data'!$B$2:$AK$2))*10^12</f>
        <v>31501528321863.988</v>
      </c>
      <c r="H28" s="82">
        <f>INDEX('Combined Data'!$B$52:$AK$52,1,MATCH('BPEiC-CO2'!$A28,'Combined Data'!$B$2:$AK$2))*10^12</f>
        <v>44441846244823.664</v>
      </c>
      <c r="I28" s="82">
        <v>0</v>
      </c>
    </row>
    <row r="29" spans="1:9" x14ac:dyDescent="0.25">
      <c r="A29" s="28">
        <v>2042</v>
      </c>
      <c r="B29" s="82">
        <v>0</v>
      </c>
      <c r="C29" s="82">
        <f>INDEX('Combined Data'!$B$9:$AK$9,1,MATCH('BPEiC-CO2'!$A29,'Combined Data'!$B$2:$AK$2))*10^12</f>
        <v>136261284907797.77</v>
      </c>
      <c r="D29" s="82">
        <f>INDEX('Combined Data'!$B$20:$AK$20,1,MATCH('BPEiC-CO2'!$A29,'Combined Data'!$B$2:$AK$2))*10^12</f>
        <v>2348599398.7443085</v>
      </c>
      <c r="E29" s="82">
        <v>0</v>
      </c>
      <c r="F29" s="82">
        <f>INDEX('Combined Data'!$B$36:$AK$36,1,MATCH('BPEiC-CO2'!$A29,'Combined Data'!$B$2:$AK$2))*10^12</f>
        <v>1037173540284.3734</v>
      </c>
      <c r="G29" s="82">
        <f>INDEX('Combined Data'!$B$42:$AK$42,1,MATCH('BPEiC-CO2'!$A29,'Combined Data'!$B$2:$AK$2))*10^12</f>
        <v>31660218721523.922</v>
      </c>
      <c r="H29" s="82">
        <f>INDEX('Combined Data'!$B$52:$AK$52,1,MATCH('BPEiC-CO2'!$A29,'Combined Data'!$B$2:$AK$2))*10^12</f>
        <v>44889938186737.789</v>
      </c>
      <c r="I29" s="82">
        <v>0</v>
      </c>
    </row>
    <row r="30" spans="1:9" x14ac:dyDescent="0.25">
      <c r="A30" s="28">
        <v>2043</v>
      </c>
      <c r="B30" s="82">
        <v>0</v>
      </c>
      <c r="C30" s="82">
        <f>INDEX('Combined Data'!$B$9:$AK$9,1,MATCH('BPEiC-CO2'!$A30,'Combined Data'!$B$2:$AK$2))*10^12</f>
        <v>136488111183560.36</v>
      </c>
      <c r="D30" s="82">
        <f>INDEX('Combined Data'!$B$20:$AK$20,1,MATCH('BPEiC-CO2'!$A30,'Combined Data'!$B$2:$AK$2))*10^12</f>
        <v>2362354493.4167576</v>
      </c>
      <c r="E30" s="82">
        <v>0</v>
      </c>
      <c r="F30" s="82">
        <f>INDEX('Combined Data'!$B$36:$AK$36,1,MATCH('BPEiC-CO2'!$A30,'Combined Data'!$B$2:$AK$2))*10^12</f>
        <v>1043177658423.7939</v>
      </c>
      <c r="G30" s="82">
        <f>INDEX('Combined Data'!$B$42:$AK$42,1,MATCH('BPEiC-CO2'!$A30,'Combined Data'!$B$2:$AK$2))*10^12</f>
        <v>31819720583700.254</v>
      </c>
      <c r="H30" s="82">
        <f>INDEX('Combined Data'!$B$52:$AK$52,1,MATCH('BPEiC-CO2'!$A30,'Combined Data'!$B$2:$AK$2))*10^12</f>
        <v>45338030128651.914</v>
      </c>
      <c r="I30" s="82">
        <v>0</v>
      </c>
    </row>
    <row r="31" spans="1:9" x14ac:dyDescent="0.25">
      <c r="A31" s="28">
        <v>2044</v>
      </c>
      <c r="B31" s="82">
        <v>0</v>
      </c>
      <c r="C31" s="82">
        <f>INDEX('Combined Data'!$B$9:$AK$9,1,MATCH('BPEiC-CO2'!$A31,'Combined Data'!$B$2:$AK$2))*10^12</f>
        <v>136715467695602.25</v>
      </c>
      <c r="D31" s="82">
        <f>INDEX('Combined Data'!$B$20:$AK$20,1,MATCH('BPEiC-CO2'!$A31,'Combined Data'!$B$2:$AK$2))*10^12</f>
        <v>2376190147.8600841</v>
      </c>
      <c r="E31" s="82">
        <v>0</v>
      </c>
      <c r="F31" s="82">
        <f>INDEX('Combined Data'!$B$36:$AK$36,1,MATCH('BPEiC-CO2'!$A31,'Combined Data'!$B$2:$AK$2))*10^12</f>
        <v>1049216533942.9893</v>
      </c>
      <c r="G31" s="82">
        <f>INDEX('Combined Data'!$B$42:$AK$42,1,MATCH('BPEiC-CO2'!$A31,'Combined Data'!$B$2:$AK$2))*10^12</f>
        <v>31980037511656.871</v>
      </c>
      <c r="H31" s="82">
        <f>INDEX('Combined Data'!$B$52:$AK$52,1,MATCH('BPEiC-CO2'!$A31,'Combined Data'!$B$2:$AK$2))*10^12</f>
        <v>45786122070566.023</v>
      </c>
      <c r="I31" s="82">
        <v>0</v>
      </c>
    </row>
    <row r="32" spans="1:9" x14ac:dyDescent="0.25">
      <c r="A32" s="28">
        <v>2045</v>
      </c>
      <c r="B32" s="82">
        <v>0</v>
      </c>
      <c r="C32" s="82">
        <f>INDEX('Combined Data'!$B$9:$AK$9,1,MATCH('BPEiC-CO2'!$A32,'Combined Data'!$B$2:$AK$2))*10^12</f>
        <v>136943356038068.94</v>
      </c>
      <c r="D32" s="82">
        <f>INDEX('Combined Data'!$B$20:$AK$20,1,MATCH('BPEiC-CO2'!$A32,'Combined Data'!$B$2:$AK$2))*10^12</f>
        <v>2390106833.8905034</v>
      </c>
      <c r="E32" s="82">
        <v>0</v>
      </c>
      <c r="F32" s="82">
        <f>INDEX('Combined Data'!$B$36:$AK$36,1,MATCH('BPEiC-CO2'!$A32,'Combined Data'!$B$2:$AK$2))*10^12</f>
        <v>1055290368049.7672</v>
      </c>
      <c r="G32" s="82">
        <f>INDEX('Combined Data'!$B$42:$AK$42,1,MATCH('BPEiC-CO2'!$A32,'Combined Data'!$B$2:$AK$2))*10^12</f>
        <v>32141173149390.504</v>
      </c>
      <c r="H32" s="82">
        <f>INDEX('Combined Data'!$B$52:$AK$52,1,MATCH('BPEiC-CO2'!$A32,'Combined Data'!$B$2:$AK$2))*10^12</f>
        <v>46234684832969.305</v>
      </c>
      <c r="I32" s="82">
        <v>0</v>
      </c>
    </row>
    <row r="33" spans="1:9" x14ac:dyDescent="0.25">
      <c r="A33" s="28">
        <v>2046</v>
      </c>
      <c r="B33" s="82">
        <v>0</v>
      </c>
      <c r="C33" s="82">
        <f>INDEX('Combined Data'!$B$9:$AK$9,1,MATCH('BPEiC-CO2'!$A33,'Combined Data'!$B$2:$AK$2))*10^12</f>
        <v>137171777810494.89</v>
      </c>
      <c r="D33" s="82">
        <f>INDEX('Combined Data'!$B$20:$AK$20,1,MATCH('BPEiC-CO2'!$A33,'Combined Data'!$B$2:$AK$2))*10^12</f>
        <v>2404105026.0875244</v>
      </c>
      <c r="E33" s="82">
        <v>0</v>
      </c>
      <c r="F33" s="82">
        <f>INDEX('Combined Data'!$B$36:$AK$36,1,MATCH('BPEiC-CO2'!$A33,'Combined Data'!$B$2:$AK$2))*10^12</f>
        <v>1061399363116.7124</v>
      </c>
      <c r="G33" s="82">
        <f>INDEX('Combined Data'!$B$42:$AK$42,1,MATCH('BPEiC-CO2'!$A33,'Combined Data'!$B$2:$AK$2))*10^12</f>
        <v>32303131180803.371</v>
      </c>
      <c r="H33" s="82">
        <f>INDEX('Combined Data'!$B$52:$AK$52,1,MATCH('BPEiC-CO2'!$A33,'Combined Data'!$B$2:$AK$2))*10^12</f>
        <v>46683247595372.586</v>
      </c>
      <c r="I33" s="82">
        <v>0</v>
      </c>
    </row>
    <row r="34" spans="1:9" x14ac:dyDescent="0.25">
      <c r="A34" s="28">
        <v>2047</v>
      </c>
      <c r="B34" s="82">
        <v>0</v>
      </c>
      <c r="C34" s="82">
        <f>INDEX('Combined Data'!$B$9:$AK$9,1,MATCH('BPEiC-CO2'!$A34,'Combined Data'!$B$2:$AK$2))*10^12</f>
        <v>137400734617822.45</v>
      </c>
      <c r="D34" s="82">
        <f>INDEX('Combined Data'!$B$20:$AK$20,1,MATCH('BPEiC-CO2'!$A34,'Combined Data'!$B$2:$AK$2))*10^12</f>
        <v>2418185201.8101377</v>
      </c>
      <c r="E34" s="82">
        <v>0</v>
      </c>
      <c r="F34" s="82">
        <f>INDEX('Combined Data'!$B$36:$AK$36,1,MATCH('BPEiC-CO2'!$A34,'Combined Data'!$B$2:$AK$2))*10^12</f>
        <v>1067543722687.9285</v>
      </c>
      <c r="G34" s="82">
        <f>INDEX('Combined Data'!$B$42:$AK$42,1,MATCH('BPEiC-CO2'!$A34,'Combined Data'!$B$2:$AK$2))*10^12</f>
        <v>32465915328918.953</v>
      </c>
      <c r="H34" s="82">
        <f>INDEX('Combined Data'!$B$52:$AK$52,1,MATCH('BPEiC-CO2'!$A34,'Combined Data'!$B$2:$AK$2))*10^12</f>
        <v>47131810357775.859</v>
      </c>
      <c r="I34" s="82">
        <v>0</v>
      </c>
    </row>
    <row r="35" spans="1:9" x14ac:dyDescent="0.25">
      <c r="A35" s="28">
        <v>2048</v>
      </c>
      <c r="B35" s="82">
        <v>0</v>
      </c>
      <c r="C35" s="82">
        <f>INDEX('Combined Data'!$B$9:$AK$9,1,MATCH('BPEiC-CO2'!$A35,'Combined Data'!$B$2:$AK$2))*10^12</f>
        <v>137630228070421.08</v>
      </c>
      <c r="D35" s="82">
        <f>INDEX('Combined Data'!$B$20:$AK$20,1,MATCH('BPEiC-CO2'!$A35,'Combined Data'!$B$2:$AK$2))*10^12</f>
        <v>2432347841.2130933</v>
      </c>
      <c r="E35" s="82">
        <v>0</v>
      </c>
      <c r="F35" s="82">
        <f>INDEX('Combined Data'!$B$36:$AK$36,1,MATCH('BPEiC-CO2'!$A35,'Combined Data'!$B$2:$AK$2))*10^12</f>
        <v>1073723651485.8206</v>
      </c>
      <c r="G35" s="82">
        <f>INDEX('Combined Data'!$B$42:$AK$42,1,MATCH('BPEiC-CO2'!$A35,'Combined Data'!$B$2:$AK$2))*10^12</f>
        <v>32629529355138.984</v>
      </c>
      <c r="H35" s="82">
        <f>INDEX('Combined Data'!$B$52:$AK$52,1,MATCH('BPEiC-CO2'!$A35,'Combined Data'!$B$2:$AK$2))*10^12</f>
        <v>47580373120179.141</v>
      </c>
      <c r="I35" s="82">
        <v>0</v>
      </c>
    </row>
    <row r="36" spans="1:9" x14ac:dyDescent="0.25">
      <c r="A36" s="28">
        <v>2049</v>
      </c>
      <c r="B36" s="82">
        <v>0</v>
      </c>
      <c r="C36" s="82">
        <f>INDEX('Combined Data'!$B$9:$AK$9,1,MATCH('BPEiC-CO2'!$A36,'Combined Data'!$B$2:$AK$2))*10^12</f>
        <v>137860259784106.45</v>
      </c>
      <c r="D36" s="82">
        <f>INDEX('Combined Data'!$B$20:$AK$20,1,MATCH('BPEiC-CO2'!$A36,'Combined Data'!$B$2:$AK$2))*10^12</f>
        <v>2446593427.2632723</v>
      </c>
      <c r="E36" s="82">
        <v>0</v>
      </c>
      <c r="F36" s="82">
        <f>INDEX('Combined Data'!$B$36:$AK$36,1,MATCH('BPEiC-CO2'!$A36,'Combined Data'!$B$2:$AK$2))*10^12</f>
        <v>1079939355417.916</v>
      </c>
      <c r="G36" s="82">
        <f>INDEX('Combined Data'!$B$42:$AK$42,1,MATCH('BPEiC-CO2'!$A36,'Combined Data'!$B$2:$AK$2))*10^12</f>
        <v>32793977058539.789</v>
      </c>
      <c r="H36" s="82">
        <f>INDEX('Combined Data'!$B$52:$AK$52,1,MATCH('BPEiC-CO2'!$A36,'Combined Data'!$B$2:$AK$2))*10^12</f>
        <v>48028935882582.414</v>
      </c>
      <c r="I36" s="82">
        <v>0</v>
      </c>
    </row>
    <row r="37" spans="1:9" x14ac:dyDescent="0.25">
      <c r="A37" s="28">
        <v>2050</v>
      </c>
      <c r="B37" s="82">
        <v>0</v>
      </c>
      <c r="C37" s="82">
        <f>INDEX('Combined Data'!$B$9:$AK$9,1,MATCH('BPEiC-CO2'!$A37,'Combined Data'!$B$2:$AK$2))*10^12</f>
        <v>138090831380159.67</v>
      </c>
      <c r="D37" s="82">
        <f>INDEX('Combined Data'!$B$20:$AK$20,1,MATCH('BPEiC-CO2'!$A37,'Combined Data'!$B$2:$AK$2))*10^12</f>
        <v>2460922445.7561622</v>
      </c>
      <c r="E37" s="82">
        <v>0</v>
      </c>
      <c r="F37" s="82">
        <f>INDEX('Combined Data'!$B$36:$AK$36,1,MATCH('BPEiC-CO2'!$A37,'Combined Data'!$B$2:$AK$2))*10^12</f>
        <v>1086191041583.7246</v>
      </c>
      <c r="G37" s="82">
        <f>INDEX('Combined Data'!$B$42:$AK$42,1,MATCH('BPEiC-CO2'!$A37,'Combined Data'!$B$2:$AK$2))*10^12</f>
        <v>32959262275206.191</v>
      </c>
      <c r="H37" s="82">
        <f>INDEX('Combined Data'!$B$52:$AK$52,1,MATCH('BPEiC-CO2'!$A37,'Combined Data'!$B$2:$AK$2))*10^12</f>
        <v>48477498644985.68</v>
      </c>
      <c r="I37" s="82">
        <v>0</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3"/>
  </sheetPr>
  <dimension ref="A1:I37"/>
  <sheetViews>
    <sheetView workbookViewId="0">
      <selection activeCell="I37" sqref="B2:I37"/>
    </sheetView>
  </sheetViews>
  <sheetFormatPr defaultColWidth="10.28515625" defaultRowHeight="15" x14ac:dyDescent="0.25"/>
  <cols>
    <col min="1" max="1" width="10.28515625" style="28"/>
    <col min="2" max="9" width="20.140625" style="28" customWidth="1"/>
    <col min="10" max="16384" width="10.28515625" style="26"/>
  </cols>
  <sheetData>
    <row r="1" spans="1:9" x14ac:dyDescent="0.25">
      <c r="A1" s="28" t="s">
        <v>5</v>
      </c>
      <c r="B1" s="28" t="s">
        <v>148</v>
      </c>
      <c r="C1" s="28" t="s">
        <v>149</v>
      </c>
      <c r="D1" s="28" t="s">
        <v>150</v>
      </c>
      <c r="E1" s="28" t="s">
        <v>151</v>
      </c>
      <c r="F1" s="28" t="s">
        <v>152</v>
      </c>
      <c r="G1" s="28" t="s">
        <v>153</v>
      </c>
      <c r="H1" s="28" t="s">
        <v>154</v>
      </c>
      <c r="I1" s="28" t="s">
        <v>155</v>
      </c>
    </row>
    <row r="2" spans="1:9" x14ac:dyDescent="0.25">
      <c r="A2" s="28">
        <v>2015</v>
      </c>
      <c r="B2" s="82">
        <v>0</v>
      </c>
      <c r="C2" s="82">
        <v>0</v>
      </c>
      <c r="D2" s="82">
        <v>0</v>
      </c>
      <c r="E2" s="82">
        <f>INDEX('Combined Data'!$B$26:$AK$26,1,MATCH('BPEiC-CO2'!$A2,'Combined Data'!$B$2:$AK$2))*10^12</f>
        <v>998467516942.36157</v>
      </c>
      <c r="F2" s="82">
        <v>0</v>
      </c>
      <c r="G2" s="82">
        <f>INDEX('Combined Data'!$B$41:$AK$41,1,MATCH('BPEiC-CO2'!$A2,'Combined Data'!$B$2:$AK$2))*10^12</f>
        <v>941517116345.96252</v>
      </c>
      <c r="H2" s="82">
        <f>INDEX('Combined Data'!$B$51:$AK$51,1,MATCH('BPEiC-CO2'!$A2,'Combined Data'!$B$2:$AK$2))*10^12</f>
        <v>27336888454565.633</v>
      </c>
      <c r="I2" s="82">
        <f>INDEX('Combined Data'!$B$67:$AK$67,1,MATCH('BPEiC-CO2'!$A2,'Combined Data'!$B$2:$AK$2))*10^12</f>
        <v>224987737350.37192</v>
      </c>
    </row>
    <row r="3" spans="1:9" x14ac:dyDescent="0.25">
      <c r="A3" s="28">
        <v>2016</v>
      </c>
      <c r="B3" s="82">
        <v>0</v>
      </c>
      <c r="C3" s="82">
        <v>0</v>
      </c>
      <c r="D3" s="82">
        <v>0</v>
      </c>
      <c r="E3" s="82">
        <f>INDEX('Combined Data'!$B$26:$AK$26,1,MATCH('BPEiC-CO2'!$A3,'Combined Data'!$B$2:$AK$2))*10^12</f>
        <v>0</v>
      </c>
      <c r="F3" s="82">
        <v>0</v>
      </c>
      <c r="G3" s="82">
        <f>INDEX('Combined Data'!$B$41:$AK$41,1,MATCH('BPEiC-CO2'!$A3,'Combined Data'!$B$2:$AK$2))*10^12</f>
        <v>950542105651.3457</v>
      </c>
      <c r="H3" s="82">
        <f>INDEX('Combined Data'!$B$51:$AK$51,1,MATCH('BPEiC-CO2'!$A3,'Combined Data'!$B$2:$AK$2))*10^12</f>
        <v>27433495703846.914</v>
      </c>
      <c r="I3" s="82">
        <f>INDEX('Combined Data'!$B$67:$AK$67,1,MATCH('BPEiC-CO2'!$A3,'Combined Data'!$B$2:$AK$2))*10^12</f>
        <v>0</v>
      </c>
    </row>
    <row r="4" spans="1:9" x14ac:dyDescent="0.25">
      <c r="A4" s="28">
        <v>2017</v>
      </c>
      <c r="B4" s="82">
        <v>0</v>
      </c>
      <c r="C4" s="82">
        <v>0</v>
      </c>
      <c r="D4" s="82">
        <v>0</v>
      </c>
      <c r="E4" s="82">
        <f>INDEX('Combined Data'!$B$26:$AK$26,1,MATCH('BPEiC-CO2'!$A4,'Combined Data'!$B$2:$AK$2))*10^12</f>
        <v>0</v>
      </c>
      <c r="F4" s="82">
        <v>0</v>
      </c>
      <c r="G4" s="82">
        <f>INDEX('Combined Data'!$B$41:$AK$41,1,MATCH('BPEiC-CO2'!$A4,'Combined Data'!$B$2:$AK$2))*10^12</f>
        <v>959706183189.69958</v>
      </c>
      <c r="H4" s="82">
        <f>INDEX('Combined Data'!$B$51:$AK$51,1,MATCH('BPEiC-CO2'!$A4,'Combined Data'!$B$2:$AK$2))*10^12</f>
        <v>27893427561326.305</v>
      </c>
      <c r="I4" s="82">
        <f>INDEX('Combined Data'!$B$67:$AK$67,1,MATCH('BPEiC-CO2'!$A4,'Combined Data'!$B$2:$AK$2))*10^12</f>
        <v>0</v>
      </c>
    </row>
    <row r="5" spans="1:9" x14ac:dyDescent="0.25">
      <c r="A5" s="28">
        <v>2018</v>
      </c>
      <c r="B5" s="82">
        <v>0</v>
      </c>
      <c r="C5" s="82">
        <v>0</v>
      </c>
      <c r="D5" s="82">
        <v>0</v>
      </c>
      <c r="E5" s="82">
        <f>INDEX('Combined Data'!$B$26:$AK$26,1,MATCH('BPEiC-CO2'!$A5,'Combined Data'!$B$2:$AK$2))*10^12</f>
        <v>0</v>
      </c>
      <c r="F5" s="82">
        <v>0</v>
      </c>
      <c r="G5" s="82">
        <f>INDEX('Combined Data'!$B$41:$AK$41,1,MATCH('BPEiC-CO2'!$A5,'Combined Data'!$B$2:$AK$2))*10^12</f>
        <v>968794155845.86169</v>
      </c>
      <c r="H5" s="82">
        <f>INDEX('Combined Data'!$B$51:$AK$51,1,MATCH('BPEiC-CO2'!$A5,'Combined Data'!$B$2:$AK$2))*10^12</f>
        <v>28325198046529.508</v>
      </c>
      <c r="I5" s="82">
        <f>INDEX('Combined Data'!$B$67:$AK$67,1,MATCH('BPEiC-CO2'!$A5,'Combined Data'!$B$2:$AK$2))*10^12</f>
        <v>0</v>
      </c>
    </row>
    <row r="6" spans="1:9" x14ac:dyDescent="0.25">
      <c r="A6" s="28">
        <v>2019</v>
      </c>
      <c r="B6" s="82">
        <v>0</v>
      </c>
      <c r="C6" s="82">
        <v>0</v>
      </c>
      <c r="D6" s="82">
        <v>0</v>
      </c>
      <c r="E6" s="82">
        <f>INDEX('Combined Data'!$B$26:$AK$26,1,MATCH('BPEiC-CO2'!$A6,'Combined Data'!$B$2:$AK$2))*10^12</f>
        <v>0</v>
      </c>
      <c r="F6" s="82">
        <v>0</v>
      </c>
      <c r="G6" s="82">
        <f>INDEX('Combined Data'!$B$41:$AK$41,1,MATCH('BPEiC-CO2'!$A6,'Combined Data'!$B$2:$AK$2))*10^12</f>
        <v>977845388214.06982</v>
      </c>
      <c r="H6" s="82">
        <f>INDEX('Combined Data'!$B$51:$AK$51,1,MATCH('BPEiC-CO2'!$A6,'Combined Data'!$B$2:$AK$2))*10^12</f>
        <v>28709365842124.258</v>
      </c>
      <c r="I6" s="82">
        <f>INDEX('Combined Data'!$B$67:$AK$67,1,MATCH('BPEiC-CO2'!$A6,'Combined Data'!$B$2:$AK$2))*10^12</f>
        <v>0</v>
      </c>
    </row>
    <row r="7" spans="1:9" x14ac:dyDescent="0.25">
      <c r="A7" s="28">
        <v>2020</v>
      </c>
      <c r="B7" s="82">
        <v>0</v>
      </c>
      <c r="C7" s="82">
        <v>0</v>
      </c>
      <c r="D7" s="82">
        <v>0</v>
      </c>
      <c r="E7" s="82">
        <f>INDEX('Combined Data'!$B$26:$AK$26,1,MATCH('BPEiC-CO2'!$A7,'Combined Data'!$B$2:$AK$2))*10^12</f>
        <v>0</v>
      </c>
      <c r="F7" s="82">
        <v>0</v>
      </c>
      <c r="G7" s="82">
        <f>INDEX('Combined Data'!$B$41:$AK$41,1,MATCH('BPEiC-CO2'!$A7,'Combined Data'!$B$2:$AK$2))*10^12</f>
        <v>986912366419.97253</v>
      </c>
      <c r="H7" s="82">
        <f>INDEX('Combined Data'!$B$51:$AK$51,1,MATCH('BPEiC-CO2'!$A7,'Combined Data'!$B$2:$AK$2))*10^12</f>
        <v>29141975117579.656</v>
      </c>
      <c r="I7" s="82">
        <f>INDEX('Combined Data'!$B$67:$AK$67,1,MATCH('BPEiC-CO2'!$A7,'Combined Data'!$B$2:$AK$2))*10^12</f>
        <v>0</v>
      </c>
    </row>
    <row r="8" spans="1:9" x14ac:dyDescent="0.25">
      <c r="A8" s="28">
        <v>2021</v>
      </c>
      <c r="B8" s="82">
        <v>0</v>
      </c>
      <c r="C8" s="82">
        <v>0</v>
      </c>
      <c r="D8" s="82">
        <v>0</v>
      </c>
      <c r="E8" s="82">
        <f>INDEX('Combined Data'!$B$26:$AK$26,1,MATCH('BPEiC-CO2'!$A8,'Combined Data'!$B$2:$AK$2))*10^12</f>
        <v>0</v>
      </c>
      <c r="F8" s="82">
        <v>0</v>
      </c>
      <c r="G8" s="82">
        <f>INDEX('Combined Data'!$B$41:$AK$41,1,MATCH('BPEiC-CO2'!$A8,'Combined Data'!$B$2:$AK$2))*10^12</f>
        <v>995958350175.61548</v>
      </c>
      <c r="H8" s="82">
        <f>INDEX('Combined Data'!$B$51:$AK$51,1,MATCH('BPEiC-CO2'!$A8,'Combined Data'!$B$2:$AK$2))*10^12</f>
        <v>29580834648605.891</v>
      </c>
      <c r="I8" s="82">
        <f>INDEX('Combined Data'!$B$67:$AK$67,1,MATCH('BPEiC-CO2'!$A8,'Combined Data'!$B$2:$AK$2))*10^12</f>
        <v>0</v>
      </c>
    </row>
    <row r="9" spans="1:9" x14ac:dyDescent="0.25">
      <c r="A9" s="28">
        <v>2022</v>
      </c>
      <c r="B9" s="82">
        <v>0</v>
      </c>
      <c r="C9" s="82">
        <v>0</v>
      </c>
      <c r="D9" s="82">
        <v>0</v>
      </c>
      <c r="E9" s="82">
        <f>INDEX('Combined Data'!$B$26:$AK$26,1,MATCH('BPEiC-CO2'!$A9,'Combined Data'!$B$2:$AK$2))*10^12</f>
        <v>0</v>
      </c>
      <c r="F9" s="82">
        <v>0</v>
      </c>
      <c r="G9" s="82">
        <f>INDEX('Combined Data'!$B$41:$AK$41,1,MATCH('BPEiC-CO2'!$A9,'Combined Data'!$B$2:$AK$2))*10^12</f>
        <v>1004964969337.0217</v>
      </c>
      <c r="H9" s="82">
        <f>INDEX('Combined Data'!$B$51:$AK$51,1,MATCH('BPEiC-CO2'!$A9,'Combined Data'!$B$2:$AK$2))*10^12</f>
        <v>30002904118262.551</v>
      </c>
      <c r="I9" s="82">
        <f>INDEX('Combined Data'!$B$67:$AK$67,1,MATCH('BPEiC-CO2'!$A9,'Combined Data'!$B$2:$AK$2))*10^12</f>
        <v>0</v>
      </c>
    </row>
    <row r="10" spans="1:9" x14ac:dyDescent="0.25">
      <c r="A10" s="28">
        <v>2023</v>
      </c>
      <c r="B10" s="82">
        <v>0</v>
      </c>
      <c r="C10" s="82">
        <v>0</v>
      </c>
      <c r="D10" s="82">
        <v>0</v>
      </c>
      <c r="E10" s="82">
        <f>INDEX('Combined Data'!$B$26:$AK$26,1,MATCH('BPEiC-CO2'!$A10,'Combined Data'!$B$2:$AK$2))*10^12</f>
        <v>0</v>
      </c>
      <c r="F10" s="82">
        <v>0</v>
      </c>
      <c r="G10" s="82">
        <f>INDEX('Combined Data'!$B$41:$AK$41,1,MATCH('BPEiC-CO2'!$A10,'Combined Data'!$B$2:$AK$2))*10^12</f>
        <v>1013895483616.2366</v>
      </c>
      <c r="H10" s="82">
        <f>INDEX('Combined Data'!$B$51:$AK$51,1,MATCH('BPEiC-CO2'!$A10,'Combined Data'!$B$2:$AK$2))*10^12</f>
        <v>30546129024907.527</v>
      </c>
      <c r="I10" s="82">
        <f>INDEX('Combined Data'!$B$67:$AK$67,1,MATCH('BPEiC-CO2'!$A10,'Combined Data'!$B$2:$AK$2))*10^12</f>
        <v>0</v>
      </c>
    </row>
    <row r="11" spans="1:9" x14ac:dyDescent="0.25">
      <c r="A11" s="28">
        <v>2024</v>
      </c>
      <c r="B11" s="82">
        <v>0</v>
      </c>
      <c r="C11" s="82">
        <v>0</v>
      </c>
      <c r="D11" s="82">
        <v>0</v>
      </c>
      <c r="E11" s="82">
        <f>INDEX('Combined Data'!$B$26:$AK$26,1,MATCH('BPEiC-CO2'!$A11,'Combined Data'!$B$2:$AK$2))*10^12</f>
        <v>0</v>
      </c>
      <c r="F11" s="82">
        <v>0</v>
      </c>
      <c r="G11" s="82">
        <f>INDEX('Combined Data'!$B$41:$AK$41,1,MATCH('BPEiC-CO2'!$A11,'Combined Data'!$B$2:$AK$2))*10^12</f>
        <v>1022723649950.4351</v>
      </c>
      <c r="H11" s="82">
        <f>INDEX('Combined Data'!$B$51:$AK$51,1,MATCH('BPEiC-CO2'!$A11,'Combined Data'!$B$2:$AK$2))*10^12</f>
        <v>31093173282493.098</v>
      </c>
      <c r="I11" s="82">
        <f>INDEX('Combined Data'!$B$67:$AK$67,1,MATCH('BPEiC-CO2'!$A11,'Combined Data'!$B$2:$AK$2))*10^12</f>
        <v>0</v>
      </c>
    </row>
    <row r="12" spans="1:9" x14ac:dyDescent="0.25">
      <c r="A12" s="28">
        <v>2025</v>
      </c>
      <c r="B12" s="82">
        <v>0</v>
      </c>
      <c r="C12" s="82">
        <v>0</v>
      </c>
      <c r="D12" s="82">
        <v>0</v>
      </c>
      <c r="E12" s="82">
        <f>INDEX('Combined Data'!$B$26:$AK$26,1,MATCH('BPEiC-CO2'!$A12,'Combined Data'!$B$2:$AK$2))*10^12</f>
        <v>0</v>
      </c>
      <c r="F12" s="82">
        <v>0</v>
      </c>
      <c r="G12" s="82">
        <f>INDEX('Combined Data'!$B$41:$AK$41,1,MATCH('BPEiC-CO2'!$A12,'Combined Data'!$B$2:$AK$2))*10^12</f>
        <v>1031446844033.3353</v>
      </c>
      <c r="H12" s="82">
        <f>INDEX('Combined Data'!$B$51:$AK$51,1,MATCH('BPEiC-CO2'!$A12,'Combined Data'!$B$2:$AK$2))*10^12</f>
        <v>31641596096020.395</v>
      </c>
      <c r="I12" s="82">
        <f>INDEX('Combined Data'!$B$67:$AK$67,1,MATCH('BPEiC-CO2'!$A12,'Combined Data'!$B$2:$AK$2))*10^12</f>
        <v>0</v>
      </c>
    </row>
    <row r="13" spans="1:9" x14ac:dyDescent="0.25">
      <c r="A13" s="28">
        <v>2026</v>
      </c>
      <c r="B13" s="82">
        <v>0</v>
      </c>
      <c r="C13" s="82">
        <v>0</v>
      </c>
      <c r="D13" s="82">
        <v>0</v>
      </c>
      <c r="E13" s="82">
        <f>INDEX('Combined Data'!$B$26:$AK$26,1,MATCH('BPEiC-CO2'!$A13,'Combined Data'!$B$2:$AK$2))*10^12</f>
        <v>0</v>
      </c>
      <c r="F13" s="82">
        <v>0</v>
      </c>
      <c r="G13" s="82">
        <f>INDEX('Combined Data'!$B$41:$AK$41,1,MATCH('BPEiC-CO2'!$A13,'Combined Data'!$B$2:$AK$2))*10^12</f>
        <v>1040088684621.4794</v>
      </c>
      <c r="H13" s="82">
        <f>INDEX('Combined Data'!$B$51:$AK$51,1,MATCH('BPEiC-CO2'!$A13,'Combined Data'!$B$2:$AK$2))*10^12</f>
        <v>32193986329271.078</v>
      </c>
      <c r="I13" s="82">
        <f>INDEX('Combined Data'!$B$67:$AK$67,1,MATCH('BPEiC-CO2'!$A13,'Combined Data'!$B$2:$AK$2))*10^12</f>
        <v>0</v>
      </c>
    </row>
    <row r="14" spans="1:9" x14ac:dyDescent="0.25">
      <c r="A14" s="28">
        <v>2027</v>
      </c>
      <c r="B14" s="82">
        <v>0</v>
      </c>
      <c r="C14" s="82">
        <v>0</v>
      </c>
      <c r="D14" s="82">
        <v>0</v>
      </c>
      <c r="E14" s="82">
        <f>INDEX('Combined Data'!$B$26:$AK$26,1,MATCH('BPEiC-CO2'!$A14,'Combined Data'!$B$2:$AK$2))*10^12</f>
        <v>0</v>
      </c>
      <c r="F14" s="82">
        <v>0</v>
      </c>
      <c r="G14" s="82">
        <f>INDEX('Combined Data'!$B$41:$AK$41,1,MATCH('BPEiC-CO2'!$A14,'Combined Data'!$B$2:$AK$2))*10^12</f>
        <v>1048691160615.3866</v>
      </c>
      <c r="H14" s="82">
        <f>INDEX('Combined Data'!$B$51:$AK$51,1,MATCH('BPEiC-CO2'!$A14,'Combined Data'!$B$2:$AK$2))*10^12</f>
        <v>32750420155576.797</v>
      </c>
      <c r="I14" s="82">
        <f>INDEX('Combined Data'!$B$67:$AK$67,1,MATCH('BPEiC-CO2'!$A14,'Combined Data'!$B$2:$AK$2))*10^12</f>
        <v>0</v>
      </c>
    </row>
    <row r="15" spans="1:9" x14ac:dyDescent="0.25">
      <c r="A15" s="28">
        <v>2028</v>
      </c>
      <c r="B15" s="82">
        <v>0</v>
      </c>
      <c r="C15" s="82">
        <v>0</v>
      </c>
      <c r="D15" s="82">
        <v>0</v>
      </c>
      <c r="E15" s="82">
        <f>INDEX('Combined Data'!$B$26:$AK$26,1,MATCH('BPEiC-CO2'!$A15,'Combined Data'!$B$2:$AK$2))*10^12</f>
        <v>0</v>
      </c>
      <c r="F15" s="82">
        <v>0</v>
      </c>
      <c r="G15" s="82">
        <f>INDEX('Combined Data'!$B$41:$AK$41,1,MATCH('BPEiC-CO2'!$A15,'Combined Data'!$B$2:$AK$2))*10^12</f>
        <v>1057220156033.3848</v>
      </c>
      <c r="H15" s="82">
        <f>INDEX('Combined Data'!$B$51:$AK$51,1,MATCH('BPEiC-CO2'!$A15,'Combined Data'!$B$2:$AK$2))*10^12</f>
        <v>33310975210791.801</v>
      </c>
      <c r="I15" s="82">
        <f>INDEX('Combined Data'!$B$67:$AK$67,1,MATCH('BPEiC-CO2'!$A15,'Combined Data'!$B$2:$AK$2))*10^12</f>
        <v>0</v>
      </c>
    </row>
    <row r="16" spans="1:9" x14ac:dyDescent="0.25">
      <c r="A16" s="28">
        <v>2029</v>
      </c>
      <c r="B16" s="82">
        <v>0</v>
      </c>
      <c r="C16" s="82">
        <v>0</v>
      </c>
      <c r="D16" s="82">
        <v>0</v>
      </c>
      <c r="E16" s="82">
        <f>INDEX('Combined Data'!$B$26:$AK$26,1,MATCH('BPEiC-CO2'!$A16,'Combined Data'!$B$2:$AK$2))*10^12</f>
        <v>0</v>
      </c>
      <c r="F16" s="82">
        <v>0</v>
      </c>
      <c r="G16" s="82">
        <f>INDEX('Combined Data'!$B$41:$AK$41,1,MATCH('BPEiC-CO2'!$A16,'Combined Data'!$B$2:$AK$2))*10^12</f>
        <v>1065573322930.458</v>
      </c>
      <c r="H16" s="82">
        <f>INDEX('Combined Data'!$B$51:$AK$51,1,MATCH('BPEiC-CO2'!$A16,'Combined Data'!$B$2:$AK$2))*10^12</f>
        <v>33875730621373.633</v>
      </c>
      <c r="I16" s="82">
        <f>INDEX('Combined Data'!$B$67:$AK$67,1,MATCH('BPEiC-CO2'!$A16,'Combined Data'!$B$2:$AK$2))*10^12</f>
        <v>0</v>
      </c>
    </row>
    <row r="17" spans="1:9" x14ac:dyDescent="0.25">
      <c r="A17" s="28">
        <v>2030</v>
      </c>
      <c r="B17" s="82">
        <v>0</v>
      </c>
      <c r="C17" s="82">
        <v>0</v>
      </c>
      <c r="D17" s="82">
        <v>0</v>
      </c>
      <c r="E17" s="82">
        <f>INDEX('Combined Data'!$B$26:$AK$26,1,MATCH('BPEiC-CO2'!$A17,'Combined Data'!$B$2:$AK$2))*10^12</f>
        <v>0</v>
      </c>
      <c r="F17" s="82">
        <v>0</v>
      </c>
      <c r="G17" s="82">
        <f>INDEX('Combined Data'!$B$41:$AK$41,1,MATCH('BPEiC-CO2'!$A17,'Combined Data'!$B$2:$AK$2))*10^12</f>
        <v>1073740164081.4768</v>
      </c>
      <c r="H17" s="82">
        <f>INDEX('Combined Data'!$B$51:$AK$51,1,MATCH('BPEiC-CO2'!$A17,'Combined Data'!$B$2:$AK$2))*10^12</f>
        <v>34443192985210.055</v>
      </c>
      <c r="I17" s="82">
        <f>INDEX('Combined Data'!$B$67:$AK$67,1,MATCH('BPEiC-CO2'!$A17,'Combined Data'!$B$2:$AK$2))*10^12</f>
        <v>0</v>
      </c>
    </row>
    <row r="18" spans="1:9" x14ac:dyDescent="0.25">
      <c r="A18" s="28">
        <v>2031</v>
      </c>
      <c r="B18" s="82">
        <v>0</v>
      </c>
      <c r="C18" s="82">
        <v>0</v>
      </c>
      <c r="D18" s="82">
        <v>0</v>
      </c>
      <c r="E18" s="82">
        <f>INDEX('Combined Data'!$B$26:$AK$26,1,MATCH('BPEiC-CO2'!$A18,'Combined Data'!$B$2:$AK$2))*10^12</f>
        <v>0</v>
      </c>
      <c r="F18" s="82">
        <v>0</v>
      </c>
      <c r="G18" s="82">
        <f>INDEX('Combined Data'!$B$41:$AK$41,1,MATCH('BPEiC-CO2'!$A18,'Combined Data'!$B$2:$AK$2))*10^12</f>
        <v>1081712806567.5931</v>
      </c>
      <c r="H18" s="82">
        <f>INDEX('Combined Data'!$B$51:$AK$51,1,MATCH('BPEiC-CO2'!$A18,'Combined Data'!$B$2:$AK$2))*10^12</f>
        <v>35015018544165.086</v>
      </c>
      <c r="I18" s="82">
        <f>INDEX('Combined Data'!$B$67:$AK$67,1,MATCH('BPEiC-CO2'!$A18,'Combined Data'!$B$2:$AK$2))*10^12</f>
        <v>0</v>
      </c>
    </row>
    <row r="19" spans="1:9" x14ac:dyDescent="0.25">
      <c r="A19" s="28">
        <v>2032</v>
      </c>
      <c r="B19" s="82">
        <v>0</v>
      </c>
      <c r="C19" s="82">
        <v>0</v>
      </c>
      <c r="D19" s="82">
        <v>0</v>
      </c>
      <c r="E19" s="82">
        <f>INDEX('Combined Data'!$B$26:$AK$26,1,MATCH('BPEiC-CO2'!$A19,'Combined Data'!$B$2:$AK$2))*10^12</f>
        <v>0</v>
      </c>
      <c r="F19" s="82">
        <v>0</v>
      </c>
      <c r="G19" s="82">
        <f>INDEX('Combined Data'!$B$41:$AK$41,1,MATCH('BPEiC-CO2'!$A19,'Combined Data'!$B$2:$AK$2))*10^12</f>
        <v>1089475504551.1127</v>
      </c>
      <c r="H19" s="82">
        <f>INDEX('Combined Data'!$B$51:$AK$51,1,MATCH('BPEiC-CO2'!$A19,'Combined Data'!$B$2:$AK$2))*10^12</f>
        <v>35591291070431.781</v>
      </c>
      <c r="I19" s="82">
        <f>INDEX('Combined Data'!$B$67:$AK$67,1,MATCH('BPEiC-CO2'!$A19,'Combined Data'!$B$2:$AK$2))*10^12</f>
        <v>0</v>
      </c>
    </row>
    <row r="20" spans="1:9" x14ac:dyDescent="0.25">
      <c r="A20" s="28">
        <v>2033</v>
      </c>
      <c r="B20" s="82">
        <v>0</v>
      </c>
      <c r="C20" s="82">
        <v>0</v>
      </c>
      <c r="D20" s="82">
        <v>0</v>
      </c>
      <c r="E20" s="82">
        <f>INDEX('Combined Data'!$B$26:$AK$26,1,MATCH('BPEiC-CO2'!$A20,'Combined Data'!$B$2:$AK$2))*10^12</f>
        <v>0</v>
      </c>
      <c r="F20" s="82">
        <v>0</v>
      </c>
      <c r="G20" s="82">
        <f>INDEX('Combined Data'!$B$41:$AK$41,1,MATCH('BPEiC-CO2'!$A20,'Combined Data'!$B$2:$AK$2))*10^12</f>
        <v>1097004639275.493</v>
      </c>
      <c r="H20" s="82">
        <f>INDEX('Combined Data'!$B$51:$AK$51,1,MATCH('BPEiC-CO2'!$A20,'Combined Data'!$B$2:$AK$2))*10^12</f>
        <v>36172095944623.922</v>
      </c>
      <c r="I20" s="82">
        <f>INDEX('Combined Data'!$B$67:$AK$67,1,MATCH('BPEiC-CO2'!$A20,'Combined Data'!$B$2:$AK$2))*10^12</f>
        <v>0</v>
      </c>
    </row>
    <row r="21" spans="1:9" x14ac:dyDescent="0.25">
      <c r="A21" s="28">
        <v>2034</v>
      </c>
      <c r="B21" s="82">
        <v>0</v>
      </c>
      <c r="C21" s="82">
        <v>0</v>
      </c>
      <c r="D21" s="82">
        <v>0</v>
      </c>
      <c r="E21" s="82">
        <f>INDEX('Combined Data'!$B$26:$AK$26,1,MATCH('BPEiC-CO2'!$A21,'Combined Data'!$B$2:$AK$2))*10^12</f>
        <v>0</v>
      </c>
      <c r="F21" s="82">
        <v>0</v>
      </c>
      <c r="G21" s="82">
        <f>INDEX('Combined Data'!$B$41:$AK$41,1,MATCH('BPEiC-CO2'!$A21,'Combined Data'!$B$2:$AK$2))*10^12</f>
        <v>1104268719065.3452</v>
      </c>
      <c r="H21" s="82">
        <f>INDEX('Combined Data'!$B$51:$AK$51,1,MATCH('BPEiC-CO2'!$A21,'Combined Data'!$B$2:$AK$2))*10^12</f>
        <v>36757520186658.023</v>
      </c>
      <c r="I21" s="82">
        <f>INDEX('Combined Data'!$B$67:$AK$67,1,MATCH('BPEiC-CO2'!$A21,'Combined Data'!$B$2:$AK$2))*10^12</f>
        <v>0</v>
      </c>
    </row>
    <row r="22" spans="1:9" x14ac:dyDescent="0.25">
      <c r="A22" s="28">
        <v>2035</v>
      </c>
      <c r="B22" s="82">
        <v>0</v>
      </c>
      <c r="C22" s="82">
        <v>0</v>
      </c>
      <c r="D22" s="82">
        <v>0</v>
      </c>
      <c r="E22" s="82">
        <f>INDEX('Combined Data'!$B$26:$AK$26,1,MATCH('BPEiC-CO2'!$A22,'Combined Data'!$B$2:$AK$2))*10^12</f>
        <v>0</v>
      </c>
      <c r="F22" s="82">
        <v>0</v>
      </c>
      <c r="G22" s="82">
        <f>INDEX('Combined Data'!$B$41:$AK$41,1,MATCH('BPEiC-CO2'!$A22,'Combined Data'!$B$2:$AK$2))*10^12</f>
        <v>1111259871001.8213</v>
      </c>
      <c r="H22" s="82">
        <f>INDEX('Combined Data'!$B$51:$AK$51,1,MATCH('BPEiC-CO2'!$A22,'Combined Data'!$B$2:$AK$2))*10^12</f>
        <v>37347489615906.039</v>
      </c>
      <c r="I22" s="82">
        <f>INDEX('Combined Data'!$B$67:$AK$67,1,MATCH('BPEiC-CO2'!$A22,'Combined Data'!$B$2:$AK$2))*10^12</f>
        <v>0</v>
      </c>
    </row>
    <row r="23" spans="1:9" x14ac:dyDescent="0.25">
      <c r="A23" s="28">
        <v>2036</v>
      </c>
      <c r="B23" s="82">
        <v>0</v>
      </c>
      <c r="C23" s="82">
        <v>0</v>
      </c>
      <c r="D23" s="82">
        <v>0</v>
      </c>
      <c r="E23" s="82">
        <f>INDEX('Combined Data'!$B$26:$AK$26,1,MATCH('BPEiC-CO2'!$A23,'Combined Data'!$B$2:$AK$2))*10^12</f>
        <v>0</v>
      </c>
      <c r="F23" s="82">
        <v>0</v>
      </c>
      <c r="G23" s="82">
        <f>INDEX('Combined Data'!$B$41:$AK$41,1,MATCH('BPEiC-CO2'!$A23,'Combined Data'!$B$2:$AK$2))*10^12</f>
        <v>1117938730490.6848</v>
      </c>
      <c r="H23" s="82">
        <f>INDEX('Combined Data'!$B$51:$AK$51,1,MATCH('BPEiC-CO2'!$A23,'Combined Data'!$B$2:$AK$2))*10^12</f>
        <v>37942257497240.531</v>
      </c>
      <c r="I23" s="82">
        <f>INDEX('Combined Data'!$B$67:$AK$67,1,MATCH('BPEiC-CO2'!$A23,'Combined Data'!$B$2:$AK$2))*10^12</f>
        <v>0</v>
      </c>
    </row>
    <row r="24" spans="1:9" x14ac:dyDescent="0.25">
      <c r="A24" s="28">
        <v>2037</v>
      </c>
      <c r="B24" s="82">
        <v>0</v>
      </c>
      <c r="C24" s="82">
        <v>0</v>
      </c>
      <c r="D24" s="82">
        <v>0</v>
      </c>
      <c r="E24" s="82">
        <f>INDEX('Combined Data'!$B$26:$AK$26,1,MATCH('BPEiC-CO2'!$A24,'Combined Data'!$B$2:$AK$2))*10^12</f>
        <v>0</v>
      </c>
      <c r="F24" s="82">
        <v>0</v>
      </c>
      <c r="G24" s="82">
        <f>INDEX('Combined Data'!$B$41:$AK$41,1,MATCH('BPEiC-CO2'!$A24,'Combined Data'!$B$2:$AK$2))*10^12</f>
        <v>1124315794757.0647</v>
      </c>
      <c r="H24" s="82">
        <f>INDEX('Combined Data'!$B$51:$AK$51,1,MATCH('BPEiC-CO2'!$A24,'Combined Data'!$B$2:$AK$2))*10^12</f>
        <v>38541915959763.242</v>
      </c>
      <c r="I24" s="82">
        <f>INDEX('Combined Data'!$B$67:$AK$67,1,MATCH('BPEiC-CO2'!$A24,'Combined Data'!$B$2:$AK$2))*10^12</f>
        <v>0</v>
      </c>
    </row>
    <row r="25" spans="1:9" x14ac:dyDescent="0.25">
      <c r="A25" s="28">
        <v>2038</v>
      </c>
      <c r="B25" s="82">
        <v>0</v>
      </c>
      <c r="C25" s="82">
        <v>0</v>
      </c>
      <c r="D25" s="82">
        <v>0</v>
      </c>
      <c r="E25" s="82">
        <f>INDEX('Combined Data'!$B$26:$AK$26,1,MATCH('BPEiC-CO2'!$A25,'Combined Data'!$B$2:$AK$2))*10^12</f>
        <v>0</v>
      </c>
      <c r="F25" s="82">
        <v>0</v>
      </c>
      <c r="G25" s="82">
        <f>INDEX('Combined Data'!$B$41:$AK$41,1,MATCH('BPEiC-CO2'!$A25,'Combined Data'!$B$2:$AK$2))*10^12</f>
        <v>1130391063800.9619</v>
      </c>
      <c r="H25" s="82">
        <f>INDEX('Combined Data'!$B$51:$AK$51,1,MATCH('BPEiC-CO2'!$A25,'Combined Data'!$B$2:$AK$2))*10^12</f>
        <v>39146558901449.82</v>
      </c>
      <c r="I25" s="82">
        <f>INDEX('Combined Data'!$B$67:$AK$67,1,MATCH('BPEiC-CO2'!$A25,'Combined Data'!$B$2:$AK$2))*10^12</f>
        <v>0</v>
      </c>
    </row>
    <row r="26" spans="1:9" x14ac:dyDescent="0.25">
      <c r="A26" s="28">
        <v>2039</v>
      </c>
      <c r="B26" s="82">
        <v>0</v>
      </c>
      <c r="C26" s="82">
        <v>0</v>
      </c>
      <c r="D26" s="82">
        <v>0</v>
      </c>
      <c r="E26" s="82">
        <f>INDEX('Combined Data'!$B$26:$AK$26,1,MATCH('BPEiC-CO2'!$A26,'Combined Data'!$B$2:$AK$2))*10^12</f>
        <v>0</v>
      </c>
      <c r="F26" s="82">
        <v>0</v>
      </c>
      <c r="G26" s="82">
        <f>INDEX('Combined Data'!$B$41:$AK$41,1,MATCH('BPEiC-CO2'!$A26,'Combined Data'!$B$2:$AK$2))*10^12</f>
        <v>1136193404991.4832</v>
      </c>
      <c r="H26" s="82">
        <f>INDEX('Combined Data'!$B$51:$AK$51,1,MATCH('BPEiC-CO2'!$A26,'Combined Data'!$B$2:$AK$2))*10^12</f>
        <v>39756282023112.547</v>
      </c>
      <c r="I26" s="82">
        <f>INDEX('Combined Data'!$B$67:$AK$67,1,MATCH('BPEiC-CO2'!$A26,'Combined Data'!$B$2:$AK$2))*10^12</f>
        <v>0</v>
      </c>
    </row>
    <row r="27" spans="1:9" x14ac:dyDescent="0.25">
      <c r="A27" s="28">
        <v>2040</v>
      </c>
      <c r="B27" s="82">
        <v>0</v>
      </c>
      <c r="C27" s="82">
        <v>0</v>
      </c>
      <c r="D27" s="82">
        <v>0</v>
      </c>
      <c r="E27" s="82">
        <f>INDEX('Combined Data'!$B$26:$AK$26,1,MATCH('BPEiC-CO2'!$A27,'Combined Data'!$B$2:$AK$2))*10^12</f>
        <v>0</v>
      </c>
      <c r="F27" s="82">
        <v>0</v>
      </c>
      <c r="G27" s="82">
        <f>INDEX('Combined Data'!$B$41:$AK$41,1,MATCH('BPEiC-CO2'!$A27,'Combined Data'!$B$2:$AK$2))*10^12</f>
        <v>1141754310004.0181</v>
      </c>
      <c r="H27" s="82">
        <f>INDEX('Combined Data'!$B$51:$AK$51,1,MATCH('BPEiC-CO2'!$A27,'Combined Data'!$B$2:$AK$2))*10^12</f>
        <v>40371600401203.289</v>
      </c>
      <c r="I27" s="82">
        <f>INDEX('Combined Data'!$B$67:$AK$67,1,MATCH('BPEiC-CO2'!$A27,'Combined Data'!$B$2:$AK$2))*10^12</f>
        <v>0</v>
      </c>
    </row>
    <row r="28" spans="1:9" x14ac:dyDescent="0.25">
      <c r="A28" s="28">
        <v>2041</v>
      </c>
      <c r="B28" s="82">
        <v>0</v>
      </c>
      <c r="C28" s="82">
        <v>0</v>
      </c>
      <c r="D28" s="82">
        <v>0</v>
      </c>
      <c r="E28" s="82">
        <f>INDEX('Combined Data'!$B$26:$AK$26,1,MATCH('BPEiC-CO2'!$A28,'Combined Data'!$B$2:$AK$2))*10^12</f>
        <v>0</v>
      </c>
      <c r="F28" s="82">
        <v>0</v>
      </c>
      <c r="G28" s="82">
        <f>INDEX('Combined Data'!$B$41:$AK$41,1,MATCH('BPEiC-CO2'!$A28,'Combined Data'!$B$2:$AK$2))*10^12</f>
        <v>1147874755486.3867</v>
      </c>
      <c r="H28" s="82">
        <f>INDEX('Combined Data'!$B$51:$AK$51,1,MATCH('BPEiC-CO2'!$A28,'Combined Data'!$B$2:$AK$2))*10^12</f>
        <v>40992195908526.391</v>
      </c>
      <c r="I28" s="82">
        <f>INDEX('Combined Data'!$B$67:$AK$67,1,MATCH('BPEiC-CO2'!$A28,'Combined Data'!$B$2:$AK$2))*10^12</f>
        <v>0</v>
      </c>
    </row>
    <row r="29" spans="1:9" x14ac:dyDescent="0.25">
      <c r="A29" s="28">
        <v>2042</v>
      </c>
      <c r="B29" s="82">
        <v>0</v>
      </c>
      <c r="C29" s="82">
        <v>0</v>
      </c>
      <c r="D29" s="82">
        <v>0</v>
      </c>
      <c r="E29" s="82">
        <f>INDEX('Combined Data'!$B$26:$AK$26,1,MATCH('BPEiC-CO2'!$A29,'Combined Data'!$B$2:$AK$2))*10^12</f>
        <v>0</v>
      </c>
      <c r="F29" s="82">
        <v>0</v>
      </c>
      <c r="G29" s="82">
        <f>INDEX('Combined Data'!$B$41:$AK$41,1,MATCH('BPEiC-CO2'!$A29,'Combined Data'!$B$2:$AK$2))*10^12</f>
        <v>1154028080309.5776</v>
      </c>
      <c r="H29" s="82">
        <f>INDEX('Combined Data'!$B$51:$AK$51,1,MATCH('BPEiC-CO2'!$A29,'Combined Data'!$B$2:$AK$2))*10^12</f>
        <v>41618169864761.906</v>
      </c>
      <c r="I29" s="82">
        <f>INDEX('Combined Data'!$B$67:$AK$67,1,MATCH('BPEiC-CO2'!$A29,'Combined Data'!$B$2:$AK$2))*10^12</f>
        <v>0</v>
      </c>
    </row>
    <row r="30" spans="1:9" x14ac:dyDescent="0.25">
      <c r="A30" s="28">
        <v>2043</v>
      </c>
      <c r="B30" s="82">
        <v>0</v>
      </c>
      <c r="C30" s="82">
        <v>0</v>
      </c>
      <c r="D30" s="82">
        <v>0</v>
      </c>
      <c r="E30" s="82">
        <f>INDEX('Combined Data'!$B$26:$AK$26,1,MATCH('BPEiC-CO2'!$A30,'Combined Data'!$B$2:$AK$2))*10^12</f>
        <v>0</v>
      </c>
      <c r="F30" s="82">
        <v>0</v>
      </c>
      <c r="G30" s="82">
        <f>INDEX('Combined Data'!$B$41:$AK$41,1,MATCH('BPEiC-CO2'!$A30,'Combined Data'!$B$2:$AK$2))*10^12</f>
        <v>1160214461469.7312</v>
      </c>
      <c r="H30" s="82">
        <f>INDEX('Combined Data'!$B$51:$AK$51,1,MATCH('BPEiC-CO2'!$A30,'Combined Data'!$B$2:$AK$2))*10^12</f>
        <v>42249625534923.109</v>
      </c>
      <c r="I30" s="82">
        <f>INDEX('Combined Data'!$B$67:$AK$67,1,MATCH('BPEiC-CO2'!$A30,'Combined Data'!$B$2:$AK$2))*10^12</f>
        <v>0</v>
      </c>
    </row>
    <row r="31" spans="1:9" x14ac:dyDescent="0.25">
      <c r="A31" s="28">
        <v>2044</v>
      </c>
      <c r="B31" s="82">
        <v>0</v>
      </c>
      <c r="C31" s="82">
        <v>0</v>
      </c>
      <c r="D31" s="82">
        <v>0</v>
      </c>
      <c r="E31" s="82">
        <f>INDEX('Combined Data'!$B$26:$AK$26,1,MATCH('BPEiC-CO2'!$A31,'Combined Data'!$B$2:$AK$2))*10^12</f>
        <v>0</v>
      </c>
      <c r="F31" s="82">
        <v>0</v>
      </c>
      <c r="G31" s="82">
        <f>INDEX('Combined Data'!$B$41:$AK$41,1,MATCH('BPEiC-CO2'!$A31,'Combined Data'!$B$2:$AK$2))*10^12</f>
        <v>1166434076917.7017</v>
      </c>
      <c r="H31" s="82">
        <f>INDEX('Combined Data'!$B$51:$AK$51,1,MATCH('BPEiC-CO2'!$A31,'Combined Data'!$B$2:$AK$2))*10^12</f>
        <v>42886668166707.297</v>
      </c>
      <c r="I31" s="82">
        <f>INDEX('Combined Data'!$B$67:$AK$67,1,MATCH('BPEiC-CO2'!$A31,'Combined Data'!$B$2:$AK$2))*10^12</f>
        <v>0</v>
      </c>
    </row>
    <row r="32" spans="1:9" x14ac:dyDescent="0.25">
      <c r="A32" s="28">
        <v>2045</v>
      </c>
      <c r="B32" s="82">
        <v>0</v>
      </c>
      <c r="C32" s="82">
        <v>0</v>
      </c>
      <c r="D32" s="82">
        <v>0</v>
      </c>
      <c r="E32" s="82">
        <f>INDEX('Combined Data'!$B$26:$AK$26,1,MATCH('BPEiC-CO2'!$A32,'Combined Data'!$B$2:$AK$2))*10^12</f>
        <v>0</v>
      </c>
      <c r="F32" s="82">
        <v>0</v>
      </c>
      <c r="G32" s="82">
        <f>INDEX('Combined Data'!$B$41:$AK$41,1,MATCH('BPEiC-CO2'!$A32,'Combined Data'!$B$2:$AK$2))*10^12</f>
        <v>1172687105564.2166</v>
      </c>
      <c r="H32" s="82">
        <f>INDEX('Combined Data'!$B$51:$AK$51,1,MATCH('BPEiC-CO2'!$A32,'Combined Data'!$B$2:$AK$2))*10^12</f>
        <v>43529454600211.789</v>
      </c>
      <c r="I32" s="82">
        <f>INDEX('Combined Data'!$B$67:$AK$67,1,MATCH('BPEiC-CO2'!$A32,'Combined Data'!$B$2:$AK$2))*10^12</f>
        <v>0</v>
      </c>
    </row>
    <row r="33" spans="1:9" x14ac:dyDescent="0.25">
      <c r="A33" s="28">
        <v>2046</v>
      </c>
      <c r="B33" s="82">
        <v>0</v>
      </c>
      <c r="C33" s="82">
        <v>0</v>
      </c>
      <c r="D33" s="82">
        <v>0</v>
      </c>
      <c r="E33" s="82">
        <f>INDEX('Combined Data'!$B$26:$AK$26,1,MATCH('BPEiC-CO2'!$A33,'Combined Data'!$B$2:$AK$2))*10^12</f>
        <v>0</v>
      </c>
      <c r="F33" s="82">
        <v>0</v>
      </c>
      <c r="G33" s="82">
        <f>INDEX('Combined Data'!$B$41:$AK$41,1,MATCH('BPEiC-CO2'!$A33,'Combined Data'!$B$2:$AK$2))*10^12</f>
        <v>1178973727285.0654</v>
      </c>
      <c r="H33" s="82">
        <f>INDEX('Combined Data'!$B$51:$AK$51,1,MATCH('BPEiC-CO2'!$A33,'Combined Data'!$B$2:$AK$2))*10^12</f>
        <v>44178044591787.469</v>
      </c>
      <c r="I33" s="82">
        <f>INDEX('Combined Data'!$B$67:$AK$67,1,MATCH('BPEiC-CO2'!$A33,'Combined Data'!$B$2:$AK$2))*10^12</f>
        <v>0</v>
      </c>
    </row>
    <row r="34" spans="1:9" x14ac:dyDescent="0.25">
      <c r="A34" s="28">
        <v>2047</v>
      </c>
      <c r="B34" s="82">
        <v>0</v>
      </c>
      <c r="C34" s="82">
        <v>0</v>
      </c>
      <c r="D34" s="82">
        <v>0</v>
      </c>
      <c r="E34" s="82">
        <f>INDEX('Combined Data'!$B$26:$AK$26,1,MATCH('BPEiC-CO2'!$A34,'Combined Data'!$B$2:$AK$2))*10^12</f>
        <v>73727576407.153107</v>
      </c>
      <c r="F34" s="82">
        <v>0</v>
      </c>
      <c r="G34" s="82">
        <f>INDEX('Combined Data'!$B$41:$AK$41,1,MATCH('BPEiC-CO2'!$A34,'Combined Data'!$B$2:$AK$2))*10^12</f>
        <v>1185294122926.3137</v>
      </c>
      <c r="H34" s="82">
        <f>INDEX('Combined Data'!$B$51:$AK$51,1,MATCH('BPEiC-CO2'!$A34,'Combined Data'!$B$2:$AK$2))*10^12</f>
        <v>44832549568527.016</v>
      </c>
      <c r="I34" s="82">
        <f>INDEX('Combined Data'!$B$67:$AK$67,1,MATCH('BPEiC-CO2'!$A34,'Combined Data'!$B$2:$AK$2))*10^12</f>
        <v>0</v>
      </c>
    </row>
    <row r="35" spans="1:9" x14ac:dyDescent="0.25">
      <c r="A35" s="28">
        <v>2048</v>
      </c>
      <c r="B35" s="82">
        <v>0</v>
      </c>
      <c r="C35" s="82">
        <v>0</v>
      </c>
      <c r="D35" s="82">
        <v>0</v>
      </c>
      <c r="E35" s="82">
        <f>INDEX('Combined Data'!$B$26:$AK$26,1,MATCH('BPEiC-CO2'!$A35,'Combined Data'!$B$2:$AK$2))*10^12</f>
        <v>71417417187.118927</v>
      </c>
      <c r="F35" s="82">
        <v>0</v>
      </c>
      <c r="G35" s="82">
        <f>INDEX('Combined Data'!$B$41:$AK$41,1,MATCH('BPEiC-CO2'!$A35,'Combined Data'!$B$2:$AK$2))*10^12</f>
        <v>1191648474309.5491</v>
      </c>
      <c r="H35" s="82">
        <f>INDEX('Combined Data'!$B$51:$AK$51,1,MATCH('BPEiC-CO2'!$A35,'Combined Data'!$B$2:$AK$2))*10^12</f>
        <v>45493083096919.68</v>
      </c>
      <c r="I35" s="82">
        <f>INDEX('Combined Data'!$B$67:$AK$67,1,MATCH('BPEiC-CO2'!$A35,'Combined Data'!$B$2:$AK$2))*10^12</f>
        <v>0</v>
      </c>
    </row>
    <row r="36" spans="1:9" x14ac:dyDescent="0.25">
      <c r="A36" s="28">
        <v>2049</v>
      </c>
      <c r="B36" s="82">
        <v>0</v>
      </c>
      <c r="C36" s="82">
        <v>0</v>
      </c>
      <c r="D36" s="82">
        <v>0</v>
      </c>
      <c r="E36" s="82">
        <f>INDEX('Combined Data'!$B$26:$AK$26,1,MATCH('BPEiC-CO2'!$A36,'Combined Data'!$B$2:$AK$2))*10^12</f>
        <v>69179643848.758606</v>
      </c>
      <c r="F36" s="82">
        <v>0</v>
      </c>
      <c r="G36" s="82">
        <f>INDEX('Combined Data'!$B$41:$AK$41,1,MATCH('BPEiC-CO2'!$A36,'Combined Data'!$B$2:$AK$2))*10^12</f>
        <v>1198036964237.1511</v>
      </c>
      <c r="H36" s="82">
        <f>INDEX('Combined Data'!$B$51:$AK$51,1,MATCH('BPEiC-CO2'!$A36,'Combined Data'!$B$2:$AK$2))*10^12</f>
        <v>46159760923927.313</v>
      </c>
      <c r="I36" s="82">
        <f>INDEX('Combined Data'!$B$67:$AK$67,1,MATCH('BPEiC-CO2'!$A36,'Combined Data'!$B$2:$AK$2))*10^12</f>
        <v>0</v>
      </c>
    </row>
    <row r="37" spans="1:9" x14ac:dyDescent="0.25">
      <c r="A37" s="28">
        <v>2050</v>
      </c>
      <c r="B37" s="82">
        <v>0</v>
      </c>
      <c r="C37" s="82">
        <v>0</v>
      </c>
      <c r="D37" s="82">
        <v>0</v>
      </c>
      <c r="E37" s="82">
        <f>INDEX('Combined Data'!$B$26:$AK$26,1,MATCH('BPEiC-CO2'!$A37,'Combined Data'!$B$2:$AK$2))*10^12</f>
        <v>67011988273.138939</v>
      </c>
      <c r="F37" s="82">
        <v>0</v>
      </c>
      <c r="G37" s="82">
        <f>INDEX('Combined Data'!$B$41:$AK$41,1,MATCH('BPEiC-CO2'!$A37,'Combined Data'!$B$2:$AK$2))*10^12</f>
        <v>1204459776497.5938</v>
      </c>
      <c r="H37" s="82">
        <f>INDEX('Combined Data'!$B$51:$AK$51,1,MATCH('BPEiC-CO2'!$A37,'Combined Data'!$B$2:$AK$2))*10^12</f>
        <v>46832701018849.844</v>
      </c>
      <c r="I37" s="82">
        <f>INDEX('Combined Data'!$B$67:$AK$67,1,MATCH('BPEiC-CO2'!$A37,'Combined Data'!$B$2:$AK$2))*10^12</f>
        <v>0</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3"/>
  </sheetPr>
  <dimension ref="A1:I37"/>
  <sheetViews>
    <sheetView tabSelected="1" workbookViewId="0">
      <selection activeCell="J10" sqref="J10"/>
    </sheetView>
  </sheetViews>
  <sheetFormatPr defaultColWidth="10.28515625" defaultRowHeight="15" x14ac:dyDescent="0.25"/>
  <cols>
    <col min="1" max="1" width="10.28515625" style="28"/>
    <col min="2" max="9" width="20.140625" style="28" customWidth="1"/>
    <col min="10" max="16384" width="10.28515625" style="26"/>
  </cols>
  <sheetData>
    <row r="1" spans="1:9" x14ac:dyDescent="0.25">
      <c r="A1" s="28" t="s">
        <v>5</v>
      </c>
      <c r="B1" s="28" t="s">
        <v>148</v>
      </c>
      <c r="C1" s="28" t="s">
        <v>149</v>
      </c>
      <c r="D1" s="28" t="s">
        <v>150</v>
      </c>
      <c r="E1" s="28" t="s">
        <v>151</v>
      </c>
      <c r="F1" s="28" t="s">
        <v>152</v>
      </c>
      <c r="G1" s="28" t="s">
        <v>153</v>
      </c>
      <c r="H1" s="28" t="s">
        <v>154</v>
      </c>
      <c r="I1" s="28" t="s">
        <v>155</v>
      </c>
    </row>
    <row r="2" spans="1:9" x14ac:dyDescent="0.25">
      <c r="A2" s="28">
        <v>2015</v>
      </c>
      <c r="B2" s="82">
        <v>0</v>
      </c>
      <c r="C2" s="82">
        <v>0</v>
      </c>
      <c r="D2" s="82">
        <v>0</v>
      </c>
      <c r="E2" s="82">
        <f>INDEX('Combined Data'!$B$27:$AK$27,1,MATCH('BPEiC-CO2'!$A2,'Combined Data'!$B$2:$AK$2))*10^12</f>
        <v>11010982332804.699</v>
      </c>
      <c r="F2" s="82">
        <v>0</v>
      </c>
      <c r="G2" s="82">
        <v>0</v>
      </c>
      <c r="H2" s="82">
        <v>0</v>
      </c>
      <c r="I2" s="82">
        <f>INDEX('Combined Data'!$B$65:$AK$65,1,MATCH('BPEiC-CO2'!$A2,'Combined Data'!$B$2:$AK$2))*10^12</f>
        <v>1158408458088.7581</v>
      </c>
    </row>
    <row r="3" spans="1:9" x14ac:dyDescent="0.25">
      <c r="A3" s="28">
        <v>2016</v>
      </c>
      <c r="B3" s="82">
        <v>0</v>
      </c>
      <c r="C3" s="82">
        <v>0</v>
      </c>
      <c r="D3" s="82">
        <v>0</v>
      </c>
      <c r="E3" s="82">
        <f>INDEX('Combined Data'!$B$27:$AK$27,1,MATCH('BPEiC-CO2'!$A3,'Combined Data'!$B$2:$AK$2))*10^12</f>
        <v>12340654888536.467</v>
      </c>
      <c r="F3" s="82">
        <v>0</v>
      </c>
      <c r="G3" s="82">
        <v>0</v>
      </c>
      <c r="H3" s="82">
        <v>0</v>
      </c>
      <c r="I3" s="82">
        <f>INDEX('Combined Data'!$B$65:$AK$65,1,MATCH('BPEiC-CO2'!$A3,'Combined Data'!$B$2:$AK$2))*10^12</f>
        <v>1185249142719.4258</v>
      </c>
    </row>
    <row r="4" spans="1:9" x14ac:dyDescent="0.25">
      <c r="A4" s="28">
        <v>2017</v>
      </c>
      <c r="B4" s="82">
        <v>0</v>
      </c>
      <c r="C4" s="82">
        <v>0</v>
      </c>
      <c r="D4" s="82">
        <v>0</v>
      </c>
      <c r="E4" s="82">
        <f>INDEX('Combined Data'!$B$27:$AK$27,1,MATCH('BPEiC-CO2'!$A4,'Combined Data'!$B$2:$AK$2))*10^12</f>
        <v>13670327444268.23</v>
      </c>
      <c r="F4" s="82">
        <v>0</v>
      </c>
      <c r="G4" s="82">
        <v>0</v>
      </c>
      <c r="H4" s="82">
        <v>0</v>
      </c>
      <c r="I4" s="82">
        <f>INDEX('Combined Data'!$B$65:$AK$65,1,MATCH('BPEiC-CO2'!$A4,'Combined Data'!$B$2:$AK$2))*10^12</f>
        <v>1212686638059.6804</v>
      </c>
    </row>
    <row r="5" spans="1:9" x14ac:dyDescent="0.25">
      <c r="A5" s="28">
        <v>2018</v>
      </c>
      <c r="B5" s="82">
        <v>0</v>
      </c>
      <c r="C5" s="82">
        <v>0</v>
      </c>
      <c r="D5" s="82">
        <v>0</v>
      </c>
      <c r="E5" s="82">
        <f>INDEX('Combined Data'!$B$27:$AK$27,1,MATCH('BPEiC-CO2'!$A5,'Combined Data'!$B$2:$AK$2))*10^12</f>
        <v>15000000000000</v>
      </c>
      <c r="F5" s="82">
        <v>0</v>
      </c>
      <c r="G5" s="82">
        <v>0</v>
      </c>
      <c r="H5" s="82">
        <v>0</v>
      </c>
      <c r="I5" s="82">
        <f>INDEX('Combined Data'!$B$65:$AK$65,1,MATCH('BPEiC-CO2'!$A5,'Combined Data'!$B$2:$AK$2))*10^12</f>
        <v>1240735860693.3528</v>
      </c>
    </row>
    <row r="6" spans="1:9" x14ac:dyDescent="0.25">
      <c r="A6" s="28">
        <v>2019</v>
      </c>
      <c r="B6" s="82">
        <v>0</v>
      </c>
      <c r="C6" s="82">
        <v>0</v>
      </c>
      <c r="D6" s="82">
        <v>0</v>
      </c>
      <c r="E6" s="82">
        <f>INDEX('Combined Data'!$B$27:$AK$27,1,MATCH('BPEiC-CO2'!$A6,'Combined Data'!$B$2:$AK$2))*10^12</f>
        <v>14800000000000</v>
      </c>
      <c r="F6" s="82">
        <v>0</v>
      </c>
      <c r="G6" s="82">
        <v>0</v>
      </c>
      <c r="H6" s="82">
        <v>0</v>
      </c>
      <c r="I6" s="82">
        <f>INDEX('Combined Data'!$B$65:$AK$65,1,MATCH('BPEiC-CO2'!$A6,'Combined Data'!$B$2:$AK$2))*10^12</f>
        <v>1269412100043.7705</v>
      </c>
    </row>
    <row r="7" spans="1:9" x14ac:dyDescent="0.25">
      <c r="A7" s="28">
        <v>2020</v>
      </c>
      <c r="B7" s="82">
        <v>0</v>
      </c>
      <c r="C7" s="82">
        <v>0</v>
      </c>
      <c r="D7" s="82">
        <v>0</v>
      </c>
      <c r="E7" s="82">
        <f>INDEX('Combined Data'!$B$27:$AK$27,1,MATCH('BPEiC-CO2'!$A7,'Combined Data'!$B$2:$AK$2))*10^12</f>
        <v>15100000000000</v>
      </c>
      <c r="F7" s="82">
        <v>0</v>
      </c>
      <c r="G7" s="82">
        <v>0</v>
      </c>
      <c r="H7" s="82">
        <v>0</v>
      </c>
      <c r="I7" s="82">
        <f>INDEX('Combined Data'!$B$65:$AK$65,1,MATCH('BPEiC-CO2'!$A7,'Combined Data'!$B$2:$AK$2))*10^12</f>
        <v>1298731027693.2117</v>
      </c>
    </row>
    <row r="8" spans="1:9" x14ac:dyDescent="0.25">
      <c r="A8" s="28">
        <v>2021</v>
      </c>
      <c r="B8" s="82">
        <v>0</v>
      </c>
      <c r="C8" s="82">
        <v>0</v>
      </c>
      <c r="D8" s="82">
        <v>0</v>
      </c>
      <c r="E8" s="82">
        <f>INDEX('Combined Data'!$B$27:$AK$27,1,MATCH('BPEiC-CO2'!$A8,'Combined Data'!$B$2:$AK$2))*10^12</f>
        <v>15100000000000</v>
      </c>
      <c r="F8" s="82">
        <v>0</v>
      </c>
      <c r="G8" s="82">
        <v>0</v>
      </c>
      <c r="H8" s="82">
        <v>0</v>
      </c>
      <c r="I8" s="82">
        <f>INDEX('Combined Data'!$B$65:$AK$65,1,MATCH('BPEiC-CO2'!$A8,'Combined Data'!$B$2:$AK$2))*10^12</f>
        <v>1328708706935.3164</v>
      </c>
    </row>
    <row r="9" spans="1:9" x14ac:dyDescent="0.25">
      <c r="A9" s="28">
        <v>2022</v>
      </c>
      <c r="B9" s="82">
        <v>0</v>
      </c>
      <c r="C9" s="82">
        <v>0</v>
      </c>
      <c r="D9" s="82">
        <v>0</v>
      </c>
      <c r="E9" s="82">
        <f>INDEX('Combined Data'!$B$27:$AK$27,1,MATCH('BPEiC-CO2'!$A9,'Combined Data'!$B$2:$AK$2))*10^12</f>
        <v>15700000000000</v>
      </c>
      <c r="F9" s="82">
        <v>0</v>
      </c>
      <c r="G9" s="82">
        <v>0</v>
      </c>
      <c r="H9" s="82">
        <v>0</v>
      </c>
      <c r="I9" s="82">
        <f>INDEX('Combined Data'!$B$65:$AK$65,1,MATCH('BPEiC-CO2'!$A9,'Combined Data'!$B$2:$AK$2))*10^12</f>
        <v>1359361602566.2786</v>
      </c>
    </row>
    <row r="10" spans="1:9" x14ac:dyDescent="0.25">
      <c r="A10" s="28">
        <v>2023</v>
      </c>
      <c r="B10" s="82">
        <v>0</v>
      </c>
      <c r="C10" s="82">
        <v>0</v>
      </c>
      <c r="D10" s="82">
        <v>0</v>
      </c>
      <c r="E10" s="82">
        <f>INDEX('Combined Data'!$B$27:$AK$27,1,MATCH('BPEiC-CO2'!$A10,'Combined Data'!$B$2:$AK$2))*10^12</f>
        <v>16000000000000</v>
      </c>
      <c r="F10" s="82">
        <v>0</v>
      </c>
      <c r="G10" s="82">
        <v>0</v>
      </c>
      <c r="H10" s="82">
        <v>0</v>
      </c>
      <c r="I10" s="82">
        <f>INDEX('Combined Data'!$B$65:$AK$65,1,MATCH('BPEiC-CO2'!$A10,'Combined Data'!$B$2:$AK$2))*10^12</f>
        <v>1390706590920.782</v>
      </c>
    </row>
    <row r="11" spans="1:9" x14ac:dyDescent="0.25">
      <c r="A11" s="28">
        <v>2024</v>
      </c>
      <c r="B11" s="82">
        <v>0</v>
      </c>
      <c r="C11" s="82">
        <v>0</v>
      </c>
      <c r="D11" s="82">
        <v>0</v>
      </c>
      <c r="E11" s="82">
        <f>INDEX('Combined Data'!$B$27:$AK$27,1,MATCH('BPEiC-CO2'!$A11,'Combined Data'!$B$2:$AK$2))*10^12</f>
        <v>16200000000000</v>
      </c>
      <c r="F11" s="82">
        <v>0</v>
      </c>
      <c r="G11" s="82">
        <v>0</v>
      </c>
      <c r="H11" s="82">
        <v>0</v>
      </c>
      <c r="I11" s="82">
        <f>INDEX('Combined Data'!$B$65:$AK$65,1,MATCH('BPEiC-CO2'!$A11,'Combined Data'!$B$2:$AK$2))*10^12</f>
        <v>1422760970158.8037</v>
      </c>
    </row>
    <row r="12" spans="1:9" x14ac:dyDescent="0.25">
      <c r="A12" s="28">
        <v>2025</v>
      </c>
      <c r="B12" s="82">
        <v>0</v>
      </c>
      <c r="C12" s="82">
        <v>0</v>
      </c>
      <c r="D12" s="82">
        <v>0</v>
      </c>
      <c r="E12" s="82">
        <f>INDEX('Combined Data'!$B$27:$AK$27,1,MATCH('BPEiC-CO2'!$A12,'Combined Data'!$B$2:$AK$2))*10^12</f>
        <v>16500000000000</v>
      </c>
      <c r="F12" s="82">
        <v>0</v>
      </c>
      <c r="G12" s="82">
        <v>0</v>
      </c>
      <c r="H12" s="82">
        <v>0</v>
      </c>
      <c r="I12" s="82">
        <f>INDEX('Combined Data'!$B$65:$AK$65,1,MATCH('BPEiC-CO2'!$A12,'Combined Data'!$B$2:$AK$2))*10^12</f>
        <v>1455542470809.551</v>
      </c>
    </row>
    <row r="13" spans="1:9" x14ac:dyDescent="0.25">
      <c r="A13" s="28">
        <v>2026</v>
      </c>
      <c r="B13" s="82">
        <v>0</v>
      </c>
      <c r="C13" s="82">
        <v>0</v>
      </c>
      <c r="D13" s="82">
        <v>0</v>
      </c>
      <c r="E13" s="82">
        <f>INDEX('Combined Data'!$B$27:$AK$27,1,MATCH('BPEiC-CO2'!$A13,'Combined Data'!$B$2:$AK$2))*10^12</f>
        <v>16399999999999.998</v>
      </c>
      <c r="F13" s="82">
        <v>0</v>
      </c>
      <c r="G13" s="82">
        <v>0</v>
      </c>
      <c r="H13" s="82">
        <v>0</v>
      </c>
      <c r="I13" s="82">
        <f>INDEX('Combined Data'!$B$65:$AK$65,1,MATCH('BPEiC-CO2'!$A13,'Combined Data'!$B$2:$AK$2))*10^12</f>
        <v>1489069266578.9661</v>
      </c>
    </row>
    <row r="14" spans="1:9" x14ac:dyDescent="0.25">
      <c r="A14" s="28">
        <v>2027</v>
      </c>
      <c r="B14" s="82">
        <v>0</v>
      </c>
      <c r="C14" s="82">
        <v>0</v>
      </c>
      <c r="D14" s="82">
        <v>0</v>
      </c>
      <c r="E14" s="82">
        <f>INDEX('Combined Data'!$B$27:$AK$27,1,MATCH('BPEiC-CO2'!$A14,'Combined Data'!$B$2:$AK$2))*10^12</f>
        <v>17300000000000</v>
      </c>
      <c r="F14" s="82">
        <v>0</v>
      </c>
      <c r="G14" s="82">
        <v>0</v>
      </c>
      <c r="H14" s="82">
        <v>0</v>
      </c>
      <c r="I14" s="82">
        <f>INDEX('Combined Data'!$B$65:$AK$65,1,MATCH('BPEiC-CO2'!$A14,'Combined Data'!$B$2:$AK$2))*10^12</f>
        <v>1523359985427.3796</v>
      </c>
    </row>
    <row r="15" spans="1:9" x14ac:dyDescent="0.25">
      <c r="A15" s="28">
        <v>2028</v>
      </c>
      <c r="B15" s="82">
        <v>0</v>
      </c>
      <c r="C15" s="82">
        <v>0</v>
      </c>
      <c r="D15" s="82">
        <v>0</v>
      </c>
      <c r="E15" s="82">
        <f>INDEX('Combined Data'!$B$27:$AK$27,1,MATCH('BPEiC-CO2'!$A15,'Combined Data'!$B$2:$AK$2))*10^12</f>
        <v>16700000000000</v>
      </c>
      <c r="F15" s="82">
        <v>0</v>
      </c>
      <c r="G15" s="82">
        <v>0</v>
      </c>
      <c r="H15" s="82">
        <v>0</v>
      </c>
      <c r="I15" s="82">
        <f>INDEX('Combined Data'!$B$65:$AK$65,1,MATCH('BPEiC-CO2'!$A15,'Combined Data'!$B$2:$AK$2))*10^12</f>
        <v>1558433720924.0725</v>
      </c>
    </row>
    <row r="16" spans="1:9" x14ac:dyDescent="0.25">
      <c r="A16" s="28">
        <v>2029</v>
      </c>
      <c r="B16" s="82">
        <v>0</v>
      </c>
      <c r="C16" s="82">
        <v>0</v>
      </c>
      <c r="D16" s="82">
        <v>0</v>
      </c>
      <c r="E16" s="82">
        <f>INDEX('Combined Data'!$B$27:$AK$27,1,MATCH('BPEiC-CO2'!$A16,'Combined Data'!$B$2:$AK$2))*10^12</f>
        <v>15900000000000</v>
      </c>
      <c r="F16" s="82">
        <v>0</v>
      </c>
      <c r="G16" s="82">
        <v>0</v>
      </c>
      <c r="H16" s="82">
        <v>0</v>
      </c>
      <c r="I16" s="82">
        <f>INDEX('Combined Data'!$B$65:$AK$65,1,MATCH('BPEiC-CO2'!$A16,'Combined Data'!$B$2:$AK$2))*10^12</f>
        <v>1594310043885.6619</v>
      </c>
    </row>
    <row r="17" spans="1:9" x14ac:dyDescent="0.25">
      <c r="A17" s="28">
        <v>2030</v>
      </c>
      <c r="B17" s="82">
        <v>0</v>
      </c>
      <c r="C17" s="82">
        <v>0</v>
      </c>
      <c r="D17" s="82">
        <v>0</v>
      </c>
      <c r="E17" s="82">
        <f>INDEX('Combined Data'!$B$27:$AK$27,1,MATCH('BPEiC-CO2'!$A17,'Combined Data'!$B$2:$AK$2))*10^12</f>
        <v>14800000000000</v>
      </c>
      <c r="F17" s="82">
        <v>0</v>
      </c>
      <c r="G17" s="82">
        <v>0</v>
      </c>
      <c r="H17" s="82">
        <v>0</v>
      </c>
      <c r="I17" s="82">
        <f>INDEX('Combined Data'!$B$65:$AK$65,1,MATCH('BPEiC-CO2'!$A17,'Combined Data'!$B$2:$AK$2))*10^12</f>
        <v>1631009014305.4136</v>
      </c>
    </row>
    <row r="18" spans="1:9" x14ac:dyDescent="0.25">
      <c r="A18" s="28">
        <v>2031</v>
      </c>
      <c r="B18" s="82">
        <v>0</v>
      </c>
      <c r="C18" s="82">
        <v>0</v>
      </c>
      <c r="D18" s="82">
        <v>0</v>
      </c>
      <c r="E18" s="82">
        <f>INDEX('Combined Data'!$B$27:$AK$27,1,MATCH('BPEiC-CO2'!$A18,'Combined Data'!$B$2:$AK$2))*10^12</f>
        <v>15300000000000</v>
      </c>
      <c r="F18" s="82">
        <v>0</v>
      </c>
      <c r="G18" s="82">
        <v>0</v>
      </c>
      <c r="H18" s="82">
        <v>0</v>
      </c>
      <c r="I18" s="82">
        <f>INDEX('Combined Data'!$B$65:$AK$65,1,MATCH('BPEiC-CO2'!$A18,'Combined Data'!$B$2:$AK$2))*10^12</f>
        <v>1668551193580.7451</v>
      </c>
    </row>
    <row r="19" spans="1:9" x14ac:dyDescent="0.25">
      <c r="A19" s="28">
        <v>2032</v>
      </c>
      <c r="B19" s="82">
        <v>0</v>
      </c>
      <c r="C19" s="82">
        <v>0</v>
      </c>
      <c r="D19" s="82">
        <v>0</v>
      </c>
      <c r="E19" s="82">
        <f>INDEX('Combined Data'!$B$27:$AK$27,1,MATCH('BPEiC-CO2'!$A19,'Combined Data'!$B$2:$AK$2))*10^12</f>
        <v>15800000000000</v>
      </c>
      <c r="F19" s="82">
        <v>0</v>
      </c>
      <c r="G19" s="82">
        <v>0</v>
      </c>
      <c r="H19" s="82">
        <v>0</v>
      </c>
      <c r="I19" s="82">
        <f>INDEX('Combined Data'!$B$65:$AK$65,1,MATCH('BPEiC-CO2'!$A19,'Combined Data'!$B$2:$AK$2))*10^12</f>
        <v>1706957657046.3782</v>
      </c>
    </row>
    <row r="20" spans="1:9" x14ac:dyDescent="0.25">
      <c r="A20" s="28">
        <v>2033</v>
      </c>
      <c r="B20" s="82">
        <v>0</v>
      </c>
      <c r="C20" s="82">
        <v>0</v>
      </c>
      <c r="D20" s="82">
        <v>0</v>
      </c>
      <c r="E20" s="82">
        <f>INDEX('Combined Data'!$B$27:$AK$27,1,MATCH('BPEiC-CO2'!$A20,'Combined Data'!$B$2:$AK$2))*10^12</f>
        <v>15200000000000</v>
      </c>
      <c r="F20" s="82">
        <v>0</v>
      </c>
      <c r="G20" s="82">
        <v>0</v>
      </c>
      <c r="H20" s="82">
        <v>0</v>
      </c>
      <c r="I20" s="82">
        <f>INDEX('Combined Data'!$B$65:$AK$65,1,MATCH('BPEiC-CO2'!$A20,'Combined Data'!$B$2:$AK$2))*10^12</f>
        <v>1746250006820.7832</v>
      </c>
    </row>
    <row r="21" spans="1:9" x14ac:dyDescent="0.25">
      <c r="A21" s="28">
        <v>2034</v>
      </c>
      <c r="B21" s="82">
        <v>0</v>
      </c>
      <c r="C21" s="82">
        <v>0</v>
      </c>
      <c r="D21" s="82">
        <v>0</v>
      </c>
      <c r="E21" s="82">
        <f>INDEX('Combined Data'!$B$27:$AK$27,1,MATCH('BPEiC-CO2'!$A21,'Combined Data'!$B$2:$AK$2))*10^12</f>
        <v>14300000000000</v>
      </c>
      <c r="F21" s="82">
        <v>0</v>
      </c>
      <c r="G21" s="82">
        <v>0</v>
      </c>
      <c r="H21" s="82">
        <v>0</v>
      </c>
      <c r="I21" s="82">
        <f>INDEX('Combined Data'!$B$65:$AK$65,1,MATCH('BPEiC-CO2'!$A21,'Combined Data'!$B$2:$AK$2))*10^12</f>
        <v>1786450384973.74</v>
      </c>
    </row>
    <row r="22" spans="1:9" x14ac:dyDescent="0.25">
      <c r="A22" s="28">
        <v>2035</v>
      </c>
      <c r="B22" s="82">
        <v>0</v>
      </c>
      <c r="C22" s="82">
        <v>0</v>
      </c>
      <c r="D22" s="82">
        <v>0</v>
      </c>
      <c r="E22" s="82">
        <f>INDEX('Combined Data'!$B$27:$AK$27,1,MATCH('BPEiC-CO2'!$A22,'Combined Data'!$B$2:$AK$2))*10^12</f>
        <v>13400000000000</v>
      </c>
      <c r="F22" s="82">
        <v>0</v>
      </c>
      <c r="G22" s="82">
        <v>0</v>
      </c>
      <c r="H22" s="82">
        <v>0</v>
      </c>
      <c r="I22" s="82">
        <f>INDEX('Combined Data'!$B$65:$AK$65,1,MATCH('BPEiC-CO2'!$A22,'Combined Data'!$B$2:$AK$2))*10^12</f>
        <v>1827581487023.0508</v>
      </c>
    </row>
    <row r="23" spans="1:9" x14ac:dyDescent="0.25">
      <c r="A23" s="28">
        <v>2036</v>
      </c>
      <c r="B23" s="82">
        <v>0</v>
      </c>
      <c r="C23" s="82">
        <v>0</v>
      </c>
      <c r="D23" s="82">
        <v>0</v>
      </c>
      <c r="E23" s="82">
        <f>INDEX('Combined Data'!$B$27:$AK$27,1,MATCH('BPEiC-CO2'!$A23,'Combined Data'!$B$2:$AK$2))*10^12</f>
        <v>12900000000000</v>
      </c>
      <c r="F23" s="82">
        <v>0</v>
      </c>
      <c r="G23" s="82">
        <v>0</v>
      </c>
      <c r="H23" s="82">
        <v>0</v>
      </c>
      <c r="I23" s="82">
        <f>INDEX('Combined Data'!$B$65:$AK$65,1,MATCH('BPEiC-CO2'!$A23,'Combined Data'!$B$2:$AK$2))*10^12</f>
        <v>1869666575768.623</v>
      </c>
    </row>
    <row r="24" spans="1:9" x14ac:dyDescent="0.25">
      <c r="A24" s="28">
        <v>2037</v>
      </c>
      <c r="B24" s="82">
        <v>0</v>
      </c>
      <c r="C24" s="82">
        <v>0</v>
      </c>
      <c r="D24" s="82">
        <v>0</v>
      </c>
      <c r="E24" s="82">
        <f>INDEX('Combined Data'!$B$27:$AK$27,1,MATCH('BPEiC-CO2'!$A24,'Combined Data'!$B$2:$AK$2))*10^12</f>
        <v>12700000000000</v>
      </c>
      <c r="F24" s="82">
        <v>0</v>
      </c>
      <c r="G24" s="82">
        <v>0</v>
      </c>
      <c r="H24" s="82">
        <v>0</v>
      </c>
      <c r="I24" s="82">
        <f>INDEX('Combined Data'!$B$65:$AK$65,1,MATCH('BPEiC-CO2'!$A24,'Combined Data'!$B$2:$AK$2))*10^12</f>
        <v>1912729495472.3665</v>
      </c>
    </row>
    <row r="25" spans="1:9" x14ac:dyDescent="0.25">
      <c r="A25" s="28">
        <v>2038</v>
      </c>
      <c r="B25" s="82">
        <v>0</v>
      </c>
      <c r="C25" s="82">
        <v>0</v>
      </c>
      <c r="D25" s="82">
        <v>0</v>
      </c>
      <c r="E25" s="82">
        <f>INDEX('Combined Data'!$B$27:$AK$27,1,MATCH('BPEiC-CO2'!$A25,'Combined Data'!$B$2:$AK$2))*10^12</f>
        <v>9800000000000</v>
      </c>
      <c r="F25" s="82">
        <v>0</v>
      </c>
      <c r="G25" s="82">
        <v>0</v>
      </c>
      <c r="H25" s="82">
        <v>0</v>
      </c>
      <c r="I25" s="82">
        <f>INDEX('Combined Data'!$B$65:$AK$65,1,MATCH('BPEiC-CO2'!$A25,'Combined Data'!$B$2:$AK$2))*10^12</f>
        <v>1956794686392.5415</v>
      </c>
    </row>
    <row r="26" spans="1:9" x14ac:dyDescent="0.25">
      <c r="A26" s="28">
        <v>2039</v>
      </c>
      <c r="B26" s="82">
        <v>0</v>
      </c>
      <c r="C26" s="82">
        <v>0</v>
      </c>
      <c r="D26" s="82">
        <v>0</v>
      </c>
      <c r="E26" s="82">
        <f>INDEX('Combined Data'!$B$27:$AK$27,1,MATCH('BPEiC-CO2'!$A26,'Combined Data'!$B$2:$AK$2))*10^12</f>
        <v>9500000000000</v>
      </c>
      <c r="F26" s="82">
        <v>0</v>
      </c>
      <c r="G26" s="82">
        <v>0</v>
      </c>
      <c r="H26" s="82">
        <v>0</v>
      </c>
      <c r="I26" s="82">
        <f>INDEX('Combined Data'!$B$65:$AK$65,1,MATCH('BPEiC-CO2'!$A26,'Combined Data'!$B$2:$AK$2))*10^12</f>
        <v>2001887199681.4216</v>
      </c>
    </row>
    <row r="27" spans="1:9" x14ac:dyDescent="0.25">
      <c r="A27" s="28">
        <v>2040</v>
      </c>
      <c r="B27" s="82">
        <v>0</v>
      </c>
      <c r="C27" s="82">
        <v>0</v>
      </c>
      <c r="D27" s="82">
        <v>0</v>
      </c>
      <c r="E27" s="82">
        <f>INDEX('Combined Data'!$B$27:$AK$27,1,MATCH('BPEiC-CO2'!$A27,'Combined Data'!$B$2:$AK$2))*10^12</f>
        <v>9100000000000</v>
      </c>
      <c r="F27" s="82">
        <v>0</v>
      </c>
      <c r="G27" s="82">
        <v>0</v>
      </c>
      <c r="H27" s="82">
        <v>0</v>
      </c>
      <c r="I27" s="82">
        <f>INDEX('Combined Data'!$B$65:$AK$65,1,MATCH('BPEiC-CO2'!$A27,'Combined Data'!$B$2:$AK$2))*10^12</f>
        <v>2048032712655.3491</v>
      </c>
    </row>
    <row r="28" spans="1:9" x14ac:dyDescent="0.25">
      <c r="A28" s="28">
        <v>2041</v>
      </c>
      <c r="B28" s="82">
        <v>0</v>
      </c>
      <c r="C28" s="82">
        <v>0</v>
      </c>
      <c r="D28" s="82">
        <v>0</v>
      </c>
      <c r="E28" s="82">
        <f>INDEX('Combined Data'!$B$27:$AK$27,1,MATCH('BPEiC-CO2'!$A28,'Combined Data'!$B$2:$AK$2))*10^12</f>
        <v>9100000000000</v>
      </c>
      <c r="F28" s="82">
        <v>0</v>
      </c>
      <c r="G28" s="82">
        <v>0</v>
      </c>
      <c r="H28" s="82">
        <v>0</v>
      </c>
      <c r="I28" s="82">
        <f>INDEX('Combined Data'!$B$65:$AK$65,1,MATCH('BPEiC-CO2'!$A28,'Combined Data'!$B$2:$AK$2))*10^12</f>
        <v>2095257544446.5015</v>
      </c>
    </row>
    <row r="29" spans="1:9" x14ac:dyDescent="0.25">
      <c r="A29" s="28">
        <v>2042</v>
      </c>
      <c r="B29" s="82">
        <v>0</v>
      </c>
      <c r="C29" s="82">
        <v>0</v>
      </c>
      <c r="D29" s="82">
        <v>0</v>
      </c>
      <c r="E29" s="82">
        <f>INDEX('Combined Data'!$B$27:$AK$27,1,MATCH('BPEiC-CO2'!$A29,'Combined Data'!$B$2:$AK$2))*10^12</f>
        <v>9100000000000</v>
      </c>
      <c r="F29" s="82">
        <v>0</v>
      </c>
      <c r="G29" s="82">
        <v>0</v>
      </c>
      <c r="H29" s="82">
        <v>0</v>
      </c>
      <c r="I29" s="82">
        <f>INDEX('Combined Data'!$B$65:$AK$65,1,MATCH('BPEiC-CO2'!$A29,'Combined Data'!$B$2:$AK$2))*10^12</f>
        <v>2143588672045.8975</v>
      </c>
    </row>
    <row r="30" spans="1:9" x14ac:dyDescent="0.25">
      <c r="A30" s="28">
        <v>2043</v>
      </c>
      <c r="B30" s="82">
        <v>0</v>
      </c>
      <c r="C30" s="82">
        <v>0</v>
      </c>
      <c r="D30" s="82">
        <v>0</v>
      </c>
      <c r="E30" s="82">
        <f>INDEX('Combined Data'!$B$27:$AK$27,1,MATCH('BPEiC-CO2'!$A30,'Combined Data'!$B$2:$AK$2))*10^12</f>
        <v>9100000000000</v>
      </c>
      <c r="F30" s="82">
        <v>0</v>
      </c>
      <c r="G30" s="82">
        <v>0</v>
      </c>
      <c r="H30" s="82">
        <v>0</v>
      </c>
      <c r="I30" s="82">
        <f>INDEX('Combined Data'!$B$65:$AK$65,1,MATCH('BPEiC-CO2'!$A30,'Combined Data'!$B$2:$AK$2))*10^12</f>
        <v>2193053746747.4346</v>
      </c>
    </row>
    <row r="31" spans="1:9" x14ac:dyDescent="0.25">
      <c r="A31" s="28">
        <v>2044</v>
      </c>
      <c r="B31" s="82">
        <v>0</v>
      </c>
      <c r="C31" s="82">
        <v>0</v>
      </c>
      <c r="D31" s="82">
        <v>0</v>
      </c>
      <c r="E31" s="82">
        <f>INDEX('Combined Data'!$B$27:$AK$27,1,MATCH('BPEiC-CO2'!$A31,'Combined Data'!$B$2:$AK$2))*10^12</f>
        <v>9100000000000</v>
      </c>
      <c r="F31" s="82">
        <v>0</v>
      </c>
      <c r="G31" s="82">
        <v>0</v>
      </c>
      <c r="H31" s="82">
        <v>0</v>
      </c>
      <c r="I31" s="82">
        <f>INDEX('Combined Data'!$B$65:$AK$65,1,MATCH('BPEiC-CO2'!$A31,'Combined Data'!$B$2:$AK$2))*10^12</f>
        <v>2243681111002.9741</v>
      </c>
    </row>
    <row r="32" spans="1:9" x14ac:dyDescent="0.25">
      <c r="A32" s="28">
        <v>2045</v>
      </c>
      <c r="B32" s="82">
        <v>0</v>
      </c>
      <c r="C32" s="82">
        <v>0</v>
      </c>
      <c r="D32" s="82">
        <v>0</v>
      </c>
      <c r="E32" s="82">
        <f>INDEX('Combined Data'!$B$27:$AK$27,1,MATCH('BPEiC-CO2'!$A32,'Combined Data'!$B$2:$AK$2))*10^12</f>
        <v>9100000000000</v>
      </c>
      <c r="F32" s="82">
        <v>0</v>
      </c>
      <c r="G32" s="82">
        <v>0</v>
      </c>
      <c r="H32" s="82">
        <v>0</v>
      </c>
      <c r="I32" s="82">
        <f>INDEX('Combined Data'!$B$65:$AK$65,1,MATCH('BPEiC-CO2'!$A32,'Combined Data'!$B$2:$AK$2))*10^12</f>
        <v>2295499815698.7568</v>
      </c>
    </row>
    <row r="33" spans="1:9" x14ac:dyDescent="0.25">
      <c r="A33" s="28">
        <v>2046</v>
      </c>
      <c r="B33" s="82">
        <v>0</v>
      </c>
      <c r="C33" s="82">
        <v>0</v>
      </c>
      <c r="D33" s="82">
        <v>0</v>
      </c>
      <c r="E33" s="82">
        <f>INDEX('Combined Data'!$B$27:$AK$27,1,MATCH('BPEiC-CO2'!$A33,'Combined Data'!$B$2:$AK$2))*10^12</f>
        <v>9100000000000</v>
      </c>
      <c r="F33" s="82">
        <v>0</v>
      </c>
      <c r="G33" s="82">
        <v>0</v>
      </c>
      <c r="H33" s="82">
        <v>0</v>
      </c>
      <c r="I33" s="82">
        <f>INDEX('Combined Data'!$B$65:$AK$65,1,MATCH('BPEiC-CO2'!$A33,'Combined Data'!$B$2:$AK$2))*10^12</f>
        <v>2348539637863.6753</v>
      </c>
    </row>
    <row r="34" spans="1:9" x14ac:dyDescent="0.25">
      <c r="A34" s="28">
        <v>2047</v>
      </c>
      <c r="B34" s="82">
        <v>0</v>
      </c>
      <c r="C34" s="82">
        <v>0</v>
      </c>
      <c r="D34" s="82">
        <v>0</v>
      </c>
      <c r="E34" s="82">
        <f>INDEX('Combined Data'!$B$27:$AK$27,1,MATCH('BPEiC-CO2'!$A34,'Combined Data'!$B$2:$AK$2))*10^12</f>
        <v>9100000000000</v>
      </c>
      <c r="F34" s="82">
        <v>0</v>
      </c>
      <c r="G34" s="82">
        <v>0</v>
      </c>
      <c r="H34" s="82">
        <v>0</v>
      </c>
      <c r="I34" s="82">
        <f>INDEX('Combined Data'!$B$65:$AK$65,1,MATCH('BPEiC-CO2'!$A34,'Combined Data'!$B$2:$AK$2))*10^12</f>
        <v>2402831098820.1958</v>
      </c>
    </row>
    <row r="35" spans="1:9" x14ac:dyDescent="0.25">
      <c r="A35" s="28">
        <v>2048</v>
      </c>
      <c r="B35" s="82">
        <v>0</v>
      </c>
      <c r="C35" s="82">
        <v>0</v>
      </c>
      <c r="D35" s="82">
        <v>0</v>
      </c>
      <c r="E35" s="82">
        <f>INDEX('Combined Data'!$B$27:$AK$27,1,MATCH('BPEiC-CO2'!$A35,'Combined Data'!$B$2:$AK$2))*10^12</f>
        <v>9100000000000</v>
      </c>
      <c r="F35" s="82">
        <v>0</v>
      </c>
      <c r="G35" s="82">
        <v>0</v>
      </c>
      <c r="H35" s="82">
        <v>0</v>
      </c>
      <c r="I35" s="82">
        <f>INDEX('Combined Data'!$B$65:$AK$65,1,MATCH('BPEiC-CO2'!$A35,'Combined Data'!$B$2:$AK$2))*10^12</f>
        <v>2458405482789.0093</v>
      </c>
    </row>
    <row r="36" spans="1:9" x14ac:dyDescent="0.25">
      <c r="A36" s="28">
        <v>2049</v>
      </c>
      <c r="B36" s="82">
        <v>0</v>
      </c>
      <c r="C36" s="82">
        <v>0</v>
      </c>
      <c r="D36" s="82">
        <v>0</v>
      </c>
      <c r="E36" s="82">
        <f>INDEX('Combined Data'!$B$27:$AK$27,1,MATCH('BPEiC-CO2'!$A36,'Combined Data'!$B$2:$AK$2))*10^12</f>
        <v>9100000000000</v>
      </c>
      <c r="F36" s="82">
        <v>0</v>
      </c>
      <c r="G36" s="82">
        <v>0</v>
      </c>
      <c r="H36" s="82">
        <v>0</v>
      </c>
      <c r="I36" s="82">
        <f>INDEX('Combined Data'!$B$65:$AK$65,1,MATCH('BPEiC-CO2'!$A36,'Combined Data'!$B$2:$AK$2))*10^12</f>
        <v>2515294855958.7344</v>
      </c>
    </row>
    <row r="37" spans="1:9" x14ac:dyDescent="0.25">
      <c r="A37" s="28">
        <v>2050</v>
      </c>
      <c r="B37" s="82">
        <v>0</v>
      </c>
      <c r="C37" s="82">
        <v>0</v>
      </c>
      <c r="D37" s="82">
        <v>0</v>
      </c>
      <c r="E37" s="82">
        <f>INDEX('Combined Data'!$B$27:$AK$27,1,MATCH('BPEiC-CO2'!$A37,'Combined Data'!$B$2:$AK$2))*10^12</f>
        <v>9100000000000</v>
      </c>
      <c r="F37" s="82">
        <v>0</v>
      </c>
      <c r="G37" s="82">
        <v>0</v>
      </c>
      <c r="H37" s="82">
        <v>0</v>
      </c>
      <c r="I37" s="82">
        <f>INDEX('Combined Data'!$B$65:$AK$65,1,MATCH('BPEiC-CO2'!$A37,'Combined Data'!$B$2:$AK$2))*10^12</f>
        <v>2573532086032.312</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K29"/>
  <sheetViews>
    <sheetView workbookViewId="0">
      <selection activeCell="J20" sqref="J20"/>
    </sheetView>
  </sheetViews>
  <sheetFormatPr defaultColWidth="8.85546875" defaultRowHeight="15" x14ac:dyDescent="0.25"/>
  <cols>
    <col min="1" max="16384" width="8.85546875" style="79"/>
  </cols>
  <sheetData>
    <row r="1" spans="1:37" ht="21" x14ac:dyDescent="0.35">
      <c r="A1" s="81" t="s">
        <v>320</v>
      </c>
    </row>
    <row r="2" spans="1:37" ht="21" x14ac:dyDescent="0.35">
      <c r="A2" s="81" t="s">
        <v>319</v>
      </c>
    </row>
    <row r="3" spans="1:37" ht="21" x14ac:dyDescent="0.35">
      <c r="A3" s="81" t="s">
        <v>318</v>
      </c>
    </row>
    <row r="6" spans="1:37" ht="18.75" x14ac:dyDescent="0.3">
      <c r="A6" s="80" t="s">
        <v>317</v>
      </c>
    </row>
    <row r="7" spans="1:37" x14ac:dyDescent="0.25">
      <c r="A7" s="79" t="s">
        <v>314</v>
      </c>
      <c r="B7" s="79" t="s">
        <v>313</v>
      </c>
      <c r="C7" s="79" t="s">
        <v>312</v>
      </c>
      <c r="D7" s="79" t="s">
        <v>311</v>
      </c>
      <c r="E7" s="79" t="s">
        <v>310</v>
      </c>
      <c r="F7" s="79" t="s">
        <v>309</v>
      </c>
      <c r="G7" s="79" t="s">
        <v>308</v>
      </c>
      <c r="H7" s="79" t="s">
        <v>307</v>
      </c>
      <c r="I7" s="79" t="s">
        <v>306</v>
      </c>
      <c r="J7" s="79" t="s">
        <v>305</v>
      </c>
      <c r="K7" s="79" t="s">
        <v>304</v>
      </c>
      <c r="L7" s="79" t="s">
        <v>303</v>
      </c>
      <c r="M7" s="79" t="s">
        <v>302</v>
      </c>
      <c r="N7" s="79" t="s">
        <v>301</v>
      </c>
      <c r="O7" s="79" t="s">
        <v>300</v>
      </c>
      <c r="P7" s="79" t="s">
        <v>299</v>
      </c>
      <c r="Q7" s="79" t="s">
        <v>298</v>
      </c>
      <c r="R7" s="79" t="s">
        <v>297</v>
      </c>
      <c r="S7" s="79" t="s">
        <v>296</v>
      </c>
      <c r="T7" s="79" t="s">
        <v>295</v>
      </c>
      <c r="U7" s="79" t="s">
        <v>294</v>
      </c>
      <c r="V7" s="79" t="s">
        <v>293</v>
      </c>
      <c r="W7" s="79" t="s">
        <v>292</v>
      </c>
      <c r="X7" s="79" t="s">
        <v>291</v>
      </c>
      <c r="Y7" s="79" t="s">
        <v>290</v>
      </c>
      <c r="Z7" s="79" t="s">
        <v>289</v>
      </c>
      <c r="AA7" s="79" t="s">
        <v>288</v>
      </c>
      <c r="AB7" s="79" t="s">
        <v>287</v>
      </c>
      <c r="AC7" s="79" t="s">
        <v>286</v>
      </c>
      <c r="AD7" s="79" t="s">
        <v>285</v>
      </c>
      <c r="AE7" s="79" t="s">
        <v>284</v>
      </c>
      <c r="AF7" s="79" t="s">
        <v>283</v>
      </c>
      <c r="AG7" s="79" t="s">
        <v>282</v>
      </c>
      <c r="AH7" s="79" t="s">
        <v>281</v>
      </c>
      <c r="AI7" s="79" t="s">
        <v>280</v>
      </c>
      <c r="AJ7" s="79" t="s">
        <v>279</v>
      </c>
      <c r="AK7" s="79" t="s">
        <v>278</v>
      </c>
    </row>
    <row r="8" spans="1:37" x14ac:dyDescent="0.25">
      <c r="A8" s="79" t="s">
        <v>41</v>
      </c>
      <c r="B8" s="79">
        <v>60234</v>
      </c>
      <c r="C8" s="79">
        <v>59378</v>
      </c>
      <c r="D8" s="79">
        <v>64203</v>
      </c>
      <c r="E8" s="79">
        <v>59161</v>
      </c>
      <c r="F8" s="79">
        <v>48641</v>
      </c>
      <c r="G8" s="79">
        <v>50201</v>
      </c>
      <c r="H8" s="79">
        <v>45606.7</v>
      </c>
      <c r="I8" s="79">
        <v>43109</v>
      </c>
      <c r="J8" s="79">
        <v>42066.8</v>
      </c>
      <c r="K8" s="79">
        <v>44687.99</v>
      </c>
      <c r="L8" s="79">
        <v>42309.29</v>
      </c>
      <c r="M8" s="79">
        <v>42355.06</v>
      </c>
      <c r="N8" s="79">
        <v>41851.96</v>
      </c>
      <c r="O8" s="79">
        <v>37850.01</v>
      </c>
      <c r="P8" s="79">
        <v>38891.81</v>
      </c>
      <c r="Q8" s="79">
        <v>37439.78</v>
      </c>
      <c r="R8" s="79">
        <v>35578.370000000003</v>
      </c>
      <c r="S8" s="79">
        <v>36719.589999999997</v>
      </c>
      <c r="T8" s="79">
        <v>36238.080000000002</v>
      </c>
      <c r="U8" s="79">
        <v>34642.379999999997</v>
      </c>
      <c r="V8" s="79">
        <v>33790.050000000003</v>
      </c>
      <c r="W8" s="79">
        <v>32753.61</v>
      </c>
      <c r="X8" s="79">
        <v>31328.7</v>
      </c>
      <c r="Y8" s="79">
        <v>31032.959999999999</v>
      </c>
      <c r="Z8" s="79">
        <v>25758.85</v>
      </c>
      <c r="AA8" s="79">
        <v>24326.04</v>
      </c>
      <c r="AB8" s="79">
        <v>25019.91</v>
      </c>
      <c r="AC8" s="79">
        <v>26083.759999999998</v>
      </c>
      <c r="AD8" s="79">
        <v>26110.61</v>
      </c>
      <c r="AE8" s="79">
        <v>28156.46</v>
      </c>
      <c r="AF8" s="79">
        <v>27719.45</v>
      </c>
      <c r="AG8" s="79">
        <v>27630.68</v>
      </c>
      <c r="AH8" s="79">
        <v>26396.84</v>
      </c>
      <c r="AI8" s="79">
        <v>26408.18</v>
      </c>
      <c r="AJ8" s="79">
        <v>26194.54</v>
      </c>
      <c r="AK8" s="79">
        <v>26209.84</v>
      </c>
    </row>
    <row r="9" spans="1:37" x14ac:dyDescent="0.25">
      <c r="A9" s="79" t="s">
        <v>277</v>
      </c>
      <c r="B9" s="79">
        <v>51739</v>
      </c>
      <c r="C9" s="79">
        <v>50785</v>
      </c>
      <c r="D9" s="79">
        <v>55591</v>
      </c>
      <c r="E9" s="79">
        <v>50726</v>
      </c>
      <c r="F9" s="79">
        <v>42209</v>
      </c>
      <c r="G9" s="79">
        <v>43745</v>
      </c>
      <c r="H9" s="79">
        <v>37800</v>
      </c>
      <c r="I9" s="79">
        <v>36900</v>
      </c>
      <c r="J9" s="79">
        <v>36400</v>
      </c>
      <c r="K9" s="79">
        <v>39000</v>
      </c>
      <c r="L9" s="79">
        <v>36719.379999999997</v>
      </c>
      <c r="M9" s="79">
        <v>36729.230000000003</v>
      </c>
      <c r="N9" s="79">
        <v>36238.71</v>
      </c>
      <c r="O9" s="79">
        <v>32263.49</v>
      </c>
      <c r="P9" s="79">
        <v>33326.53</v>
      </c>
      <c r="Q9" s="79">
        <v>31874.63</v>
      </c>
      <c r="R9" s="79">
        <v>30039.85</v>
      </c>
      <c r="S9" s="79">
        <v>31206.57</v>
      </c>
      <c r="T9" s="79">
        <v>30741.68</v>
      </c>
      <c r="U9" s="79">
        <v>29131.5</v>
      </c>
      <c r="V9" s="79">
        <v>28269.99</v>
      </c>
      <c r="W9" s="79">
        <v>27217.79</v>
      </c>
      <c r="X9" s="79">
        <v>25779.4</v>
      </c>
      <c r="Y9" s="79">
        <v>25472.27</v>
      </c>
      <c r="Z9" s="79">
        <v>20185.7</v>
      </c>
      <c r="AA9" s="79">
        <v>18735.23</v>
      </c>
      <c r="AB9" s="79">
        <v>19413.580000000002</v>
      </c>
      <c r="AC9" s="79">
        <v>20468.419999999998</v>
      </c>
      <c r="AD9" s="79">
        <v>20485.84</v>
      </c>
      <c r="AE9" s="79">
        <v>22526.95</v>
      </c>
      <c r="AF9" s="79">
        <v>22087.21</v>
      </c>
      <c r="AG9" s="79">
        <v>21995.52</v>
      </c>
      <c r="AH9" s="79">
        <v>20758.09</v>
      </c>
      <c r="AI9" s="79">
        <v>20762.38</v>
      </c>
      <c r="AJ9" s="79">
        <v>20538.43</v>
      </c>
      <c r="AK9" s="79">
        <v>20539.099999999999</v>
      </c>
    </row>
    <row r="10" spans="1:37" x14ac:dyDescent="0.25">
      <c r="A10" s="79" t="s">
        <v>316</v>
      </c>
      <c r="B10" s="79">
        <v>4206</v>
      </c>
      <c r="C10" s="79">
        <v>4268</v>
      </c>
      <c r="D10" s="79">
        <v>4308</v>
      </c>
      <c r="E10" s="79">
        <v>4178</v>
      </c>
      <c r="F10" s="79">
        <v>3388</v>
      </c>
      <c r="G10" s="79">
        <v>2756</v>
      </c>
      <c r="H10" s="79">
        <v>2206.6999999999998</v>
      </c>
      <c r="I10" s="79">
        <v>2141.8000000000002</v>
      </c>
      <c r="J10" s="79">
        <v>2032</v>
      </c>
      <c r="K10" s="79">
        <v>2087.9899999999998</v>
      </c>
      <c r="L10" s="79">
        <v>2023.02</v>
      </c>
      <c r="M10" s="79">
        <v>1983.16</v>
      </c>
      <c r="N10" s="79">
        <v>1947.73</v>
      </c>
      <c r="O10" s="79">
        <v>1916.73</v>
      </c>
      <c r="P10" s="79">
        <v>1899.73</v>
      </c>
      <c r="Q10" s="79">
        <v>1872.12</v>
      </c>
      <c r="R10" s="79">
        <v>1843.82</v>
      </c>
      <c r="S10" s="79">
        <v>1812.56</v>
      </c>
      <c r="T10" s="79">
        <v>1785.82</v>
      </c>
      <c r="U10" s="79">
        <v>1765.18</v>
      </c>
      <c r="V10" s="79">
        <v>1744.32</v>
      </c>
      <c r="W10" s="79">
        <v>1723.33</v>
      </c>
      <c r="X10" s="79">
        <v>1704.33</v>
      </c>
      <c r="Y10" s="79">
        <v>1684.38</v>
      </c>
      <c r="Z10" s="79">
        <v>1664.16</v>
      </c>
      <c r="AA10" s="79">
        <v>1644.74</v>
      </c>
      <c r="AB10" s="79">
        <v>1624.42</v>
      </c>
      <c r="AC10" s="79">
        <v>1602.77</v>
      </c>
      <c r="AD10" s="79">
        <v>1582.59</v>
      </c>
      <c r="AE10" s="79">
        <v>1562.44</v>
      </c>
      <c r="AF10" s="79">
        <v>1542.84</v>
      </c>
      <c r="AG10" s="79">
        <v>1523.76</v>
      </c>
      <c r="AH10" s="79">
        <v>1505.34</v>
      </c>
      <c r="AI10" s="79">
        <v>1487.82</v>
      </c>
      <c r="AJ10" s="79">
        <v>1471.03</v>
      </c>
      <c r="AK10" s="79">
        <v>1455.62</v>
      </c>
    </row>
    <row r="11" spans="1:37" x14ac:dyDescent="0.25">
      <c r="A11" s="79" t="s">
        <v>276</v>
      </c>
      <c r="B11" s="79">
        <v>4289</v>
      </c>
      <c r="C11" s="79">
        <v>4325</v>
      </c>
      <c r="D11" s="79">
        <v>4304</v>
      </c>
      <c r="E11" s="79">
        <v>4257</v>
      </c>
      <c r="F11" s="79">
        <v>3044</v>
      </c>
      <c r="G11" s="79">
        <v>3700</v>
      </c>
      <c r="H11" s="79">
        <v>5600</v>
      </c>
      <c r="I11" s="79">
        <v>4067.2</v>
      </c>
      <c r="J11" s="79">
        <v>3634.8</v>
      </c>
      <c r="K11" s="79">
        <v>3600</v>
      </c>
      <c r="L11" s="79">
        <v>3566.9</v>
      </c>
      <c r="M11" s="79">
        <v>3642.67</v>
      </c>
      <c r="N11" s="79">
        <v>3665.53</v>
      </c>
      <c r="O11" s="79">
        <v>3669.8</v>
      </c>
      <c r="P11" s="79">
        <v>3665.54</v>
      </c>
      <c r="Q11" s="79">
        <v>3693.03</v>
      </c>
      <c r="R11" s="79">
        <v>3694.7</v>
      </c>
      <c r="S11" s="79">
        <v>3700.46</v>
      </c>
      <c r="T11" s="79">
        <v>3710.57</v>
      </c>
      <c r="U11" s="79">
        <v>3745.69</v>
      </c>
      <c r="V11" s="79">
        <v>3775.73</v>
      </c>
      <c r="W11" s="79">
        <v>3812.49</v>
      </c>
      <c r="X11" s="79">
        <v>3844.97</v>
      </c>
      <c r="Y11" s="79">
        <v>3876.31</v>
      </c>
      <c r="Z11" s="79">
        <v>3909</v>
      </c>
      <c r="AA11" s="79">
        <v>3946.07</v>
      </c>
      <c r="AB11" s="79">
        <v>3981.92</v>
      </c>
      <c r="AC11" s="79">
        <v>4012.57</v>
      </c>
      <c r="AD11" s="79">
        <v>4042.18</v>
      </c>
      <c r="AE11" s="79">
        <v>4067.07</v>
      </c>
      <c r="AF11" s="79">
        <v>4089.4</v>
      </c>
      <c r="AG11" s="79">
        <v>4111.3999999999996</v>
      </c>
      <c r="AH11" s="79">
        <v>4133.41</v>
      </c>
      <c r="AI11" s="79">
        <v>4157.97</v>
      </c>
      <c r="AJ11" s="79">
        <v>4185.09</v>
      </c>
      <c r="AK11" s="79">
        <v>4215.13</v>
      </c>
    </row>
    <row r="13" spans="1:37" ht="18.75" x14ac:dyDescent="0.3">
      <c r="A13" s="80" t="s">
        <v>315</v>
      </c>
    </row>
    <row r="14" spans="1:37" x14ac:dyDescent="0.25">
      <c r="A14" s="79" t="s">
        <v>314</v>
      </c>
      <c r="B14" s="79" t="s">
        <v>313</v>
      </c>
      <c r="C14" s="79" t="s">
        <v>312</v>
      </c>
      <c r="D14" s="79" t="s">
        <v>311</v>
      </c>
      <c r="E14" s="79" t="s">
        <v>310</v>
      </c>
      <c r="F14" s="79" t="s">
        <v>309</v>
      </c>
      <c r="G14" s="79" t="s">
        <v>308</v>
      </c>
      <c r="H14" s="79" t="s">
        <v>307</v>
      </c>
      <c r="I14" s="79" t="s">
        <v>306</v>
      </c>
      <c r="J14" s="79" t="s">
        <v>305</v>
      </c>
      <c r="K14" s="79" t="s">
        <v>304</v>
      </c>
      <c r="L14" s="79" t="s">
        <v>303</v>
      </c>
      <c r="M14" s="79" t="s">
        <v>302</v>
      </c>
      <c r="N14" s="79" t="s">
        <v>301</v>
      </c>
      <c r="O14" s="79" t="s">
        <v>300</v>
      </c>
      <c r="P14" s="79" t="s">
        <v>299</v>
      </c>
      <c r="Q14" s="79" t="s">
        <v>298</v>
      </c>
      <c r="R14" s="79" t="s">
        <v>297</v>
      </c>
      <c r="S14" s="79" t="s">
        <v>296</v>
      </c>
      <c r="T14" s="79" t="s">
        <v>295</v>
      </c>
      <c r="U14" s="79" t="s">
        <v>294</v>
      </c>
      <c r="V14" s="79" t="s">
        <v>293</v>
      </c>
      <c r="W14" s="79" t="s">
        <v>292</v>
      </c>
      <c r="X14" s="79" t="s">
        <v>291</v>
      </c>
      <c r="Y14" s="79" t="s">
        <v>290</v>
      </c>
      <c r="Z14" s="79" t="s">
        <v>289</v>
      </c>
      <c r="AA14" s="79" t="s">
        <v>288</v>
      </c>
      <c r="AB14" s="79" t="s">
        <v>287</v>
      </c>
      <c r="AC14" s="79" t="s">
        <v>286</v>
      </c>
      <c r="AD14" s="79" t="s">
        <v>285</v>
      </c>
      <c r="AE14" s="79" t="s">
        <v>284</v>
      </c>
      <c r="AF14" s="79" t="s">
        <v>283</v>
      </c>
      <c r="AG14" s="79" t="s">
        <v>282</v>
      </c>
      <c r="AH14" s="79" t="s">
        <v>281</v>
      </c>
      <c r="AI14" s="79" t="s">
        <v>280</v>
      </c>
      <c r="AJ14" s="79" t="s">
        <v>279</v>
      </c>
      <c r="AK14" s="79" t="s">
        <v>278</v>
      </c>
    </row>
    <row r="15" spans="1:37" x14ac:dyDescent="0.25">
      <c r="A15" s="79" t="s">
        <v>41</v>
      </c>
      <c r="B15" s="79">
        <v>28202</v>
      </c>
      <c r="C15" s="79">
        <v>27675</v>
      </c>
      <c r="D15" s="79">
        <v>30674</v>
      </c>
      <c r="E15" s="79">
        <v>31437</v>
      </c>
      <c r="F15" s="79">
        <v>27060</v>
      </c>
      <c r="G15" s="79">
        <v>33113</v>
      </c>
      <c r="H15" s="79">
        <v>33561</v>
      </c>
      <c r="I15" s="79">
        <v>37806</v>
      </c>
      <c r="J15" s="79">
        <v>39100</v>
      </c>
      <c r="K15" s="79">
        <v>34500</v>
      </c>
      <c r="L15" s="79">
        <v>33990.18</v>
      </c>
      <c r="M15" s="79">
        <v>33683.15</v>
      </c>
      <c r="N15" s="79">
        <v>33335.57</v>
      </c>
      <c r="O15" s="79">
        <v>32687.25</v>
      </c>
      <c r="P15" s="79">
        <v>32481.18</v>
      </c>
      <c r="Q15" s="79">
        <v>32058.85</v>
      </c>
      <c r="R15" s="79">
        <v>31606.09</v>
      </c>
      <c r="S15" s="79">
        <v>31417.93</v>
      </c>
      <c r="T15" s="79">
        <v>31520.89</v>
      </c>
      <c r="U15" s="79">
        <v>31524.720000000001</v>
      </c>
      <c r="V15" s="79">
        <v>31594.54</v>
      </c>
      <c r="W15" s="79">
        <v>31648.46</v>
      </c>
      <c r="X15" s="79">
        <v>31669.439999999999</v>
      </c>
      <c r="Y15" s="79">
        <v>31789.77</v>
      </c>
      <c r="Z15" s="79">
        <v>31476.74</v>
      </c>
      <c r="AA15" s="79">
        <v>31498.87</v>
      </c>
      <c r="AB15" s="79">
        <v>31707.34</v>
      </c>
      <c r="AC15" s="79">
        <v>31949.37</v>
      </c>
      <c r="AD15" s="79">
        <v>32101.72</v>
      </c>
      <c r="AE15" s="79">
        <v>32431.24</v>
      </c>
      <c r="AF15" s="79">
        <v>32545.24</v>
      </c>
      <c r="AG15" s="79">
        <v>32690.34</v>
      </c>
      <c r="AH15" s="79">
        <v>32736.33</v>
      </c>
      <c r="AI15" s="79">
        <v>32891.339999999997</v>
      </c>
      <c r="AJ15" s="79">
        <v>33027.22</v>
      </c>
      <c r="AK15" s="79">
        <v>33183.46</v>
      </c>
    </row>
    <row r="16" spans="1:37" x14ac:dyDescent="0.25">
      <c r="A16" s="79" t="s">
        <v>277</v>
      </c>
      <c r="B16" s="79">
        <v>1492</v>
      </c>
      <c r="C16" s="79">
        <v>3036</v>
      </c>
      <c r="D16" s="79">
        <v>4030</v>
      </c>
      <c r="E16" s="79">
        <v>4660</v>
      </c>
      <c r="F16" s="79">
        <v>5817</v>
      </c>
      <c r="G16" s="79">
        <v>5740</v>
      </c>
      <c r="H16" s="79">
        <v>5931</v>
      </c>
      <c r="I16" s="79">
        <v>7081</v>
      </c>
      <c r="J16" s="79">
        <v>4100</v>
      </c>
      <c r="K16" s="79">
        <v>3400</v>
      </c>
      <c r="L16" s="79">
        <v>3201.18</v>
      </c>
      <c r="M16" s="79">
        <v>3202.04</v>
      </c>
      <c r="N16" s="79">
        <v>3159.27</v>
      </c>
      <c r="O16" s="79">
        <v>2812.71</v>
      </c>
      <c r="P16" s="79">
        <v>2905.39</v>
      </c>
      <c r="Q16" s="79">
        <v>2778.81</v>
      </c>
      <c r="R16" s="79">
        <v>2618.86</v>
      </c>
      <c r="S16" s="79">
        <v>2720.57</v>
      </c>
      <c r="T16" s="79">
        <v>2680.04</v>
      </c>
      <c r="U16" s="79">
        <v>2539.67</v>
      </c>
      <c r="V16" s="79">
        <v>2464.56</v>
      </c>
      <c r="W16" s="79">
        <v>2372.83</v>
      </c>
      <c r="X16" s="79">
        <v>2247.4299999999998</v>
      </c>
      <c r="Y16" s="79">
        <v>2220.66</v>
      </c>
      <c r="Z16" s="79">
        <v>1759.78</v>
      </c>
      <c r="AA16" s="79">
        <v>1633.33</v>
      </c>
      <c r="AB16" s="79">
        <v>1692.47</v>
      </c>
      <c r="AC16" s="79">
        <v>1784.43</v>
      </c>
      <c r="AD16" s="79">
        <v>1785.95</v>
      </c>
      <c r="AE16" s="79">
        <v>1963.89</v>
      </c>
      <c r="AF16" s="79">
        <v>1925.55</v>
      </c>
      <c r="AG16" s="79">
        <v>1917.56</v>
      </c>
      <c r="AH16" s="79">
        <v>1809.68</v>
      </c>
      <c r="AI16" s="79">
        <v>1810.05</v>
      </c>
      <c r="AJ16" s="79">
        <v>1790.53</v>
      </c>
      <c r="AK16" s="79">
        <v>1790.59</v>
      </c>
    </row>
    <row r="17" spans="1:37" x14ac:dyDescent="0.25">
      <c r="A17" s="79" t="s">
        <v>276</v>
      </c>
      <c r="B17" s="79">
        <v>26710</v>
      </c>
      <c r="C17" s="79">
        <v>24639</v>
      </c>
      <c r="D17" s="79">
        <v>26644</v>
      </c>
      <c r="E17" s="79">
        <v>26777</v>
      </c>
      <c r="F17" s="79">
        <v>21243</v>
      </c>
      <c r="G17" s="79">
        <v>27373</v>
      </c>
      <c r="H17" s="79">
        <v>27630</v>
      </c>
      <c r="I17" s="79">
        <v>30725</v>
      </c>
      <c r="J17" s="79">
        <v>35000</v>
      </c>
      <c r="K17" s="79">
        <v>31100</v>
      </c>
      <c r="L17" s="79">
        <v>30789</v>
      </c>
      <c r="M17" s="79">
        <v>30481.11</v>
      </c>
      <c r="N17" s="79">
        <v>30176.3</v>
      </c>
      <c r="O17" s="79">
        <v>29874.54</v>
      </c>
      <c r="P17" s="79">
        <v>29575.79</v>
      </c>
      <c r="Q17" s="79">
        <v>29280.03</v>
      </c>
      <c r="R17" s="79">
        <v>28987.23</v>
      </c>
      <c r="S17" s="79">
        <v>28697.360000000001</v>
      </c>
      <c r="T17" s="79">
        <v>28840.85</v>
      </c>
      <c r="U17" s="79">
        <v>28985.05</v>
      </c>
      <c r="V17" s="79">
        <v>29129.98</v>
      </c>
      <c r="W17" s="79">
        <v>29275.63</v>
      </c>
      <c r="X17" s="79">
        <v>29422</v>
      </c>
      <c r="Y17" s="79">
        <v>29569.11</v>
      </c>
      <c r="Z17" s="79">
        <v>29716.959999999999</v>
      </c>
      <c r="AA17" s="79">
        <v>29865.54</v>
      </c>
      <c r="AB17" s="79">
        <v>30014.87</v>
      </c>
      <c r="AC17" s="79">
        <v>30164.95</v>
      </c>
      <c r="AD17" s="79">
        <v>30315.77</v>
      </c>
      <c r="AE17" s="79">
        <v>30467.35</v>
      </c>
      <c r="AF17" s="79">
        <v>30619.69</v>
      </c>
      <c r="AG17" s="79">
        <v>30772.79</v>
      </c>
      <c r="AH17" s="79">
        <v>30926.65</v>
      </c>
      <c r="AI17" s="79">
        <v>31081.279999999999</v>
      </c>
      <c r="AJ17" s="79">
        <v>31236.69</v>
      </c>
      <c r="AK17" s="79">
        <v>31392.87</v>
      </c>
    </row>
    <row r="19" spans="1:37" ht="18.75" x14ac:dyDescent="0.3">
      <c r="A19" s="80" t="s">
        <v>40</v>
      </c>
    </row>
    <row r="20" spans="1:37" x14ac:dyDescent="0.25">
      <c r="A20" s="79" t="s">
        <v>314</v>
      </c>
      <c r="B20" s="79" t="s">
        <v>313</v>
      </c>
      <c r="C20" s="79" t="s">
        <v>312</v>
      </c>
      <c r="D20" s="79" t="s">
        <v>311</v>
      </c>
      <c r="E20" s="79" t="s">
        <v>310</v>
      </c>
      <c r="F20" s="79" t="s">
        <v>309</v>
      </c>
      <c r="G20" s="79" t="s">
        <v>308</v>
      </c>
      <c r="H20" s="79" t="s">
        <v>307</v>
      </c>
      <c r="I20" s="79" t="s">
        <v>306</v>
      </c>
      <c r="J20" s="79" t="s">
        <v>305</v>
      </c>
      <c r="K20" s="79" t="s">
        <v>304</v>
      </c>
      <c r="L20" s="79" t="s">
        <v>303</v>
      </c>
      <c r="M20" s="79" t="s">
        <v>302</v>
      </c>
      <c r="N20" s="79" t="s">
        <v>301</v>
      </c>
      <c r="O20" s="79" t="s">
        <v>300</v>
      </c>
      <c r="P20" s="79" t="s">
        <v>299</v>
      </c>
      <c r="Q20" s="79" t="s">
        <v>298</v>
      </c>
      <c r="R20" s="79" t="s">
        <v>297</v>
      </c>
      <c r="S20" s="79" t="s">
        <v>296</v>
      </c>
      <c r="T20" s="79" t="s">
        <v>295</v>
      </c>
      <c r="U20" s="79" t="s">
        <v>294</v>
      </c>
      <c r="V20" s="79" t="s">
        <v>293</v>
      </c>
      <c r="W20" s="79" t="s">
        <v>292</v>
      </c>
      <c r="X20" s="79" t="s">
        <v>291</v>
      </c>
      <c r="Y20" s="79" t="s">
        <v>290</v>
      </c>
      <c r="Z20" s="79" t="s">
        <v>289</v>
      </c>
      <c r="AA20" s="79" t="s">
        <v>288</v>
      </c>
      <c r="AB20" s="79" t="s">
        <v>287</v>
      </c>
      <c r="AC20" s="79" t="s">
        <v>286</v>
      </c>
      <c r="AD20" s="79" t="s">
        <v>285</v>
      </c>
      <c r="AE20" s="79" t="s">
        <v>284</v>
      </c>
      <c r="AF20" s="79" t="s">
        <v>283</v>
      </c>
      <c r="AG20" s="79" t="s">
        <v>282</v>
      </c>
      <c r="AH20" s="79" t="s">
        <v>281</v>
      </c>
      <c r="AI20" s="79" t="s">
        <v>280</v>
      </c>
      <c r="AJ20" s="79" t="s">
        <v>279</v>
      </c>
      <c r="AK20" s="79" t="s">
        <v>278</v>
      </c>
    </row>
    <row r="21" spans="1:37" x14ac:dyDescent="0.25">
      <c r="A21" s="79" t="s">
        <v>41</v>
      </c>
      <c r="B21" s="79">
        <v>21108</v>
      </c>
      <c r="C21" s="79">
        <v>20868</v>
      </c>
      <c r="D21" s="79">
        <v>18468</v>
      </c>
      <c r="E21" s="79">
        <v>20563</v>
      </c>
      <c r="F21" s="79">
        <v>12974</v>
      </c>
      <c r="G21" s="79">
        <v>12618</v>
      </c>
      <c r="H21" s="79">
        <v>9472</v>
      </c>
      <c r="I21" s="79">
        <v>9817</v>
      </c>
      <c r="J21" s="79">
        <v>9100</v>
      </c>
      <c r="K21" s="79">
        <v>8432.74</v>
      </c>
      <c r="L21" s="79">
        <v>8409.57</v>
      </c>
      <c r="M21" s="79">
        <v>8485.24</v>
      </c>
      <c r="N21" s="79">
        <v>8515.14</v>
      </c>
      <c r="O21" s="79">
        <v>8111.72</v>
      </c>
      <c r="P21" s="79">
        <v>7879.71</v>
      </c>
      <c r="Q21" s="79">
        <v>7895.73</v>
      </c>
      <c r="R21" s="79">
        <v>7915.71</v>
      </c>
      <c r="S21" s="79">
        <v>7933.41</v>
      </c>
      <c r="T21" s="79">
        <v>7954.58</v>
      </c>
      <c r="U21" s="79">
        <v>8002.23</v>
      </c>
      <c r="V21" s="79">
        <v>8063.26</v>
      </c>
      <c r="W21" s="79">
        <v>7889.8</v>
      </c>
      <c r="X21" s="79">
        <v>7988.91</v>
      </c>
      <c r="Y21" s="79">
        <v>8159.05</v>
      </c>
      <c r="Z21" s="79">
        <v>8209.1</v>
      </c>
      <c r="AA21" s="79">
        <v>8250.49</v>
      </c>
      <c r="AB21" s="79">
        <v>8057.06</v>
      </c>
      <c r="AC21" s="79">
        <v>8096.35</v>
      </c>
      <c r="AD21" s="79">
        <v>8128.06</v>
      </c>
      <c r="AE21" s="79">
        <v>8105.66</v>
      </c>
      <c r="AF21" s="79">
        <v>7975.12</v>
      </c>
      <c r="AG21" s="79">
        <v>7928.02</v>
      </c>
      <c r="AH21" s="79">
        <v>7953.15</v>
      </c>
      <c r="AI21" s="79">
        <v>7980.37</v>
      </c>
      <c r="AJ21" s="79">
        <v>7875.12</v>
      </c>
      <c r="AK21" s="79">
        <v>7905.64</v>
      </c>
    </row>
    <row r="22" spans="1:37" x14ac:dyDescent="0.25">
      <c r="A22" s="79" t="s">
        <v>277</v>
      </c>
      <c r="B22" s="79">
        <v>16885</v>
      </c>
      <c r="C22" s="79">
        <v>16615</v>
      </c>
      <c r="D22" s="79">
        <v>15116</v>
      </c>
      <c r="E22" s="79">
        <v>17277</v>
      </c>
      <c r="F22" s="79">
        <v>10774</v>
      </c>
      <c r="G22" s="79">
        <v>9526</v>
      </c>
      <c r="H22" s="79">
        <v>5702</v>
      </c>
      <c r="I22" s="79">
        <v>5435</v>
      </c>
      <c r="J22" s="79">
        <v>5700</v>
      </c>
      <c r="K22" s="79">
        <v>4532.74</v>
      </c>
      <c r="L22" s="79">
        <v>4542.68</v>
      </c>
      <c r="M22" s="79">
        <v>4542.57</v>
      </c>
      <c r="N22" s="79">
        <v>4549.62</v>
      </c>
      <c r="O22" s="79">
        <v>4141.93</v>
      </c>
      <c r="P22" s="79">
        <v>3914.16</v>
      </c>
      <c r="Q22" s="79">
        <v>3902.7</v>
      </c>
      <c r="R22" s="79">
        <v>3921.01</v>
      </c>
      <c r="S22" s="79">
        <v>3932.95</v>
      </c>
      <c r="T22" s="79">
        <v>3944</v>
      </c>
      <c r="U22" s="79">
        <v>3956.54</v>
      </c>
      <c r="V22" s="79">
        <v>3987.53</v>
      </c>
      <c r="W22" s="79">
        <v>3777.31</v>
      </c>
      <c r="X22" s="79">
        <v>3843.94</v>
      </c>
      <c r="Y22" s="79">
        <v>3982.74</v>
      </c>
      <c r="Z22" s="79">
        <v>4000.1</v>
      </c>
      <c r="AA22" s="79">
        <v>4004.42</v>
      </c>
      <c r="AB22" s="79">
        <v>3775.14</v>
      </c>
      <c r="AC22" s="79">
        <v>3783.78</v>
      </c>
      <c r="AD22" s="79">
        <v>3785.88</v>
      </c>
      <c r="AE22" s="79">
        <v>3738.59</v>
      </c>
      <c r="AF22" s="79">
        <v>3585.71</v>
      </c>
      <c r="AG22" s="79">
        <v>3516.62</v>
      </c>
      <c r="AH22" s="79">
        <v>3519.74</v>
      </c>
      <c r="AI22" s="79">
        <v>3522.4</v>
      </c>
      <c r="AJ22" s="79">
        <v>3390.03</v>
      </c>
      <c r="AK22" s="79">
        <v>3390.51</v>
      </c>
    </row>
    <row r="23" spans="1:37" x14ac:dyDescent="0.25">
      <c r="A23" s="79" t="s">
        <v>276</v>
      </c>
      <c r="B23" s="79">
        <v>4223</v>
      </c>
      <c r="C23" s="79">
        <v>4253</v>
      </c>
      <c r="D23" s="79">
        <v>3352</v>
      </c>
      <c r="E23" s="79">
        <v>3286</v>
      </c>
      <c r="F23" s="79">
        <v>2200</v>
      </c>
      <c r="G23" s="79">
        <v>3092</v>
      </c>
      <c r="H23" s="79">
        <v>3770</v>
      </c>
      <c r="I23" s="79">
        <v>4382</v>
      </c>
      <c r="J23" s="79">
        <v>3400</v>
      </c>
      <c r="K23" s="79">
        <v>3900</v>
      </c>
      <c r="L23" s="79">
        <v>3866.9</v>
      </c>
      <c r="M23" s="79">
        <v>3942.67</v>
      </c>
      <c r="N23" s="79">
        <v>3965.53</v>
      </c>
      <c r="O23" s="79">
        <v>3969.8</v>
      </c>
      <c r="P23" s="79">
        <v>3965.54</v>
      </c>
      <c r="Q23" s="79">
        <v>3993.03</v>
      </c>
      <c r="R23" s="79">
        <v>3994.7</v>
      </c>
      <c r="S23" s="79">
        <v>4000.46</v>
      </c>
      <c r="T23" s="79">
        <v>4010.57</v>
      </c>
      <c r="U23" s="79">
        <v>4045.69</v>
      </c>
      <c r="V23" s="79">
        <v>4075.73</v>
      </c>
      <c r="W23" s="79">
        <v>4112.49</v>
      </c>
      <c r="X23" s="79">
        <v>4144.97</v>
      </c>
      <c r="Y23" s="79">
        <v>4176.3100000000004</v>
      </c>
      <c r="Z23" s="79">
        <v>4209</v>
      </c>
      <c r="AA23" s="79">
        <v>4246.07</v>
      </c>
      <c r="AB23" s="79">
        <v>4281.92</v>
      </c>
      <c r="AC23" s="79">
        <v>4312.57</v>
      </c>
      <c r="AD23" s="79">
        <v>4342.18</v>
      </c>
      <c r="AE23" s="79">
        <v>4367.07</v>
      </c>
      <c r="AF23" s="79">
        <v>4389.3999999999996</v>
      </c>
      <c r="AG23" s="79">
        <v>4411.3999999999996</v>
      </c>
      <c r="AH23" s="79">
        <v>4433.41</v>
      </c>
      <c r="AI23" s="79">
        <v>4457.97</v>
      </c>
      <c r="AJ23" s="79">
        <v>4485.09</v>
      </c>
      <c r="AK23" s="79">
        <v>4515.13</v>
      </c>
    </row>
    <row r="25" spans="1:37" ht="18.75" x14ac:dyDescent="0.3">
      <c r="A25" s="80" t="s">
        <v>34</v>
      </c>
    </row>
    <row r="26" spans="1:37" x14ac:dyDescent="0.25">
      <c r="A26" s="79" t="s">
        <v>314</v>
      </c>
      <c r="B26" s="79" t="s">
        <v>313</v>
      </c>
      <c r="C26" s="79" t="s">
        <v>312</v>
      </c>
      <c r="D26" s="79" t="s">
        <v>311</v>
      </c>
      <c r="E26" s="79" t="s">
        <v>310</v>
      </c>
      <c r="F26" s="79" t="s">
        <v>309</v>
      </c>
      <c r="G26" s="79" t="s">
        <v>308</v>
      </c>
      <c r="H26" s="79" t="s">
        <v>307</v>
      </c>
      <c r="I26" s="79" t="s">
        <v>306</v>
      </c>
      <c r="J26" s="79" t="s">
        <v>305</v>
      </c>
      <c r="K26" s="79" t="s">
        <v>304</v>
      </c>
      <c r="L26" s="79" t="s">
        <v>303</v>
      </c>
      <c r="M26" s="79" t="s">
        <v>302</v>
      </c>
      <c r="N26" s="79" t="s">
        <v>301</v>
      </c>
      <c r="O26" s="79" t="s">
        <v>300</v>
      </c>
      <c r="P26" s="79" t="s">
        <v>299</v>
      </c>
      <c r="Q26" s="79" t="s">
        <v>298</v>
      </c>
      <c r="R26" s="79" t="s">
        <v>297</v>
      </c>
      <c r="S26" s="79" t="s">
        <v>296</v>
      </c>
      <c r="T26" s="79" t="s">
        <v>295</v>
      </c>
      <c r="U26" s="79" t="s">
        <v>294</v>
      </c>
      <c r="V26" s="79" t="s">
        <v>293</v>
      </c>
      <c r="W26" s="79" t="s">
        <v>292</v>
      </c>
      <c r="X26" s="79" t="s">
        <v>291</v>
      </c>
      <c r="Y26" s="79" t="s">
        <v>290</v>
      </c>
      <c r="Z26" s="79" t="s">
        <v>289</v>
      </c>
      <c r="AA26" s="79" t="s">
        <v>288</v>
      </c>
      <c r="AB26" s="79" t="s">
        <v>287</v>
      </c>
      <c r="AC26" s="79" t="s">
        <v>286</v>
      </c>
      <c r="AD26" s="79" t="s">
        <v>285</v>
      </c>
      <c r="AE26" s="79" t="s">
        <v>284</v>
      </c>
      <c r="AF26" s="79" t="s">
        <v>283</v>
      </c>
      <c r="AG26" s="79" t="s">
        <v>282</v>
      </c>
      <c r="AH26" s="79" t="s">
        <v>281</v>
      </c>
      <c r="AI26" s="79" t="s">
        <v>280</v>
      </c>
      <c r="AJ26" s="79" t="s">
        <v>279</v>
      </c>
      <c r="AK26" s="79" t="s">
        <v>278</v>
      </c>
    </row>
    <row r="27" spans="1:37" x14ac:dyDescent="0.25">
      <c r="A27" s="79" t="s">
        <v>41</v>
      </c>
      <c r="B27" s="79">
        <v>67328</v>
      </c>
      <c r="C27" s="79">
        <v>66185</v>
      </c>
      <c r="D27" s="79">
        <v>76429</v>
      </c>
      <c r="E27" s="79">
        <v>70035</v>
      </c>
      <c r="F27" s="79">
        <v>62727</v>
      </c>
      <c r="G27" s="79">
        <v>68152</v>
      </c>
      <c r="H27" s="79">
        <v>67114</v>
      </c>
      <c r="I27" s="79">
        <v>66494</v>
      </c>
      <c r="J27" s="79">
        <v>68908</v>
      </c>
      <c r="K27" s="79">
        <v>69000</v>
      </c>
      <c r="L27" s="79">
        <v>67889.899999999994</v>
      </c>
      <c r="M27" s="79">
        <v>67552.97</v>
      </c>
      <c r="N27" s="79">
        <v>66672.39</v>
      </c>
      <c r="O27" s="79">
        <v>62425.54</v>
      </c>
      <c r="P27" s="79">
        <v>63493.279999999999</v>
      </c>
      <c r="Q27" s="79">
        <v>61602.9</v>
      </c>
      <c r="R27" s="79">
        <v>59268.74</v>
      </c>
      <c r="S27" s="79">
        <v>60204.11</v>
      </c>
      <c r="T27" s="79">
        <v>59804.39</v>
      </c>
      <c r="U27" s="79">
        <v>58164.87</v>
      </c>
      <c r="V27" s="79">
        <v>57321.32</v>
      </c>
      <c r="W27" s="79">
        <v>56512.28</v>
      </c>
      <c r="X27" s="79">
        <v>55009.23</v>
      </c>
      <c r="Y27" s="79">
        <v>54663.69</v>
      </c>
      <c r="Z27" s="79">
        <v>49026.5</v>
      </c>
      <c r="AA27" s="79">
        <v>47574.43</v>
      </c>
      <c r="AB27" s="79">
        <v>48670.19</v>
      </c>
      <c r="AC27" s="79">
        <v>49936.78</v>
      </c>
      <c r="AD27" s="79">
        <v>50084.27</v>
      </c>
      <c r="AE27" s="79">
        <v>52482.04</v>
      </c>
      <c r="AF27" s="79">
        <v>52289.57</v>
      </c>
      <c r="AG27" s="79">
        <v>52393</v>
      </c>
      <c r="AH27" s="79">
        <v>51180.02</v>
      </c>
      <c r="AI27" s="79">
        <v>51319.14</v>
      </c>
      <c r="AJ27" s="79">
        <v>51346.64</v>
      </c>
      <c r="AK27" s="79">
        <v>51487.67</v>
      </c>
    </row>
    <row r="28" spans="1:37" x14ac:dyDescent="0.25">
      <c r="A28" s="79" t="s">
        <v>277</v>
      </c>
      <c r="B28" s="79">
        <v>36346</v>
      </c>
      <c r="C28" s="79">
        <v>37206</v>
      </c>
      <c r="D28" s="79">
        <v>44505</v>
      </c>
      <c r="E28" s="79">
        <v>38109</v>
      </c>
      <c r="F28" s="79">
        <v>37252</v>
      </c>
      <c r="G28" s="79">
        <v>39997</v>
      </c>
      <c r="H28" s="79">
        <v>37661</v>
      </c>
      <c r="I28" s="79">
        <v>35408</v>
      </c>
      <c r="J28" s="79">
        <v>34844</v>
      </c>
      <c r="K28" s="79">
        <v>38400</v>
      </c>
      <c r="L28" s="79">
        <v>35377.879999999997</v>
      </c>
      <c r="M28" s="79">
        <v>35388.699999999997</v>
      </c>
      <c r="N28" s="79">
        <v>34848.36</v>
      </c>
      <c r="O28" s="79">
        <v>30934.28</v>
      </c>
      <c r="P28" s="79">
        <v>32317.759999999998</v>
      </c>
      <c r="Q28" s="79">
        <v>30750.74</v>
      </c>
      <c r="R28" s="79">
        <v>28737.7</v>
      </c>
      <c r="S28" s="79">
        <v>29994.19</v>
      </c>
      <c r="T28" s="79">
        <v>29477.72</v>
      </c>
      <c r="U28" s="79">
        <v>27714.639999999999</v>
      </c>
      <c r="V28" s="79">
        <v>26747.02</v>
      </c>
      <c r="W28" s="79">
        <v>25813.32</v>
      </c>
      <c r="X28" s="79">
        <v>24182.9</v>
      </c>
      <c r="Y28" s="79">
        <v>23710.2</v>
      </c>
      <c r="Z28" s="79">
        <v>17945.38</v>
      </c>
      <c r="AA28" s="79">
        <v>16364.14</v>
      </c>
      <c r="AB28" s="79">
        <v>17330.900000000001</v>
      </c>
      <c r="AC28" s="79">
        <v>18469.07</v>
      </c>
      <c r="AD28" s="79">
        <v>18485.91</v>
      </c>
      <c r="AE28" s="79">
        <v>20752.25</v>
      </c>
      <c r="AF28" s="79">
        <v>20427.05</v>
      </c>
      <c r="AG28" s="79">
        <v>20396.46</v>
      </c>
      <c r="AH28" s="79">
        <v>19048.04</v>
      </c>
      <c r="AI28" s="79">
        <v>19050.04</v>
      </c>
      <c r="AJ28" s="79">
        <v>18938.919999999998</v>
      </c>
      <c r="AK28" s="79">
        <v>18939.18</v>
      </c>
    </row>
    <row r="29" spans="1:37" x14ac:dyDescent="0.25">
      <c r="A29" s="79" t="s">
        <v>276</v>
      </c>
      <c r="B29" s="79">
        <v>30982</v>
      </c>
      <c r="C29" s="79">
        <v>28979</v>
      </c>
      <c r="D29" s="79">
        <v>31924</v>
      </c>
      <c r="E29" s="79">
        <v>31926</v>
      </c>
      <c r="F29" s="79">
        <v>25475</v>
      </c>
      <c r="G29" s="79">
        <v>28155</v>
      </c>
      <c r="H29" s="79">
        <v>29453</v>
      </c>
      <c r="I29" s="79">
        <v>31086</v>
      </c>
      <c r="J29" s="79">
        <v>34064</v>
      </c>
      <c r="K29" s="79">
        <v>30600</v>
      </c>
      <c r="L29" s="79">
        <v>32512.02</v>
      </c>
      <c r="M29" s="79">
        <v>32164.27</v>
      </c>
      <c r="N29" s="79">
        <v>31824.02</v>
      </c>
      <c r="O29" s="79">
        <v>31491.26</v>
      </c>
      <c r="P29" s="79">
        <v>31175.52</v>
      </c>
      <c r="Q29" s="79">
        <v>30852.16</v>
      </c>
      <c r="R29" s="79">
        <v>30531.05</v>
      </c>
      <c r="S29" s="79">
        <v>30209.919999999998</v>
      </c>
      <c r="T29" s="79">
        <v>30326.67</v>
      </c>
      <c r="U29" s="79">
        <v>30450.23</v>
      </c>
      <c r="V29" s="79">
        <v>30574.3</v>
      </c>
      <c r="W29" s="79">
        <v>30698.959999999999</v>
      </c>
      <c r="X29" s="79">
        <v>30826.33</v>
      </c>
      <c r="Y29" s="79">
        <v>30953.49</v>
      </c>
      <c r="Z29" s="79">
        <v>31081.119999999999</v>
      </c>
      <c r="AA29" s="79">
        <v>31210.29</v>
      </c>
      <c r="AB29" s="79">
        <v>31339.29</v>
      </c>
      <c r="AC29" s="79">
        <v>31467.71</v>
      </c>
      <c r="AD29" s="79">
        <v>31598.36</v>
      </c>
      <c r="AE29" s="79">
        <v>31729.79</v>
      </c>
      <c r="AF29" s="79">
        <v>31862.53</v>
      </c>
      <c r="AG29" s="79">
        <v>31996.54</v>
      </c>
      <c r="AH29" s="79">
        <v>32131.99</v>
      </c>
      <c r="AI29" s="79">
        <v>32269.11</v>
      </c>
      <c r="AJ29" s="79">
        <v>32407.72</v>
      </c>
      <c r="AK29" s="79">
        <v>32548.49</v>
      </c>
    </row>
  </sheetData>
  <pageMargins left="0.75" right="0.75" top="0.75" bottom="0.5" header="0.5" footer="0.75"/>
  <pageSetup orientation="portrait"/>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K58"/>
  <sheetViews>
    <sheetView workbookViewId="0">
      <selection activeCell="E32" activeCellId="1" sqref="L11:AA11 E32"/>
    </sheetView>
  </sheetViews>
  <sheetFormatPr defaultColWidth="8.85546875" defaultRowHeight="15" x14ac:dyDescent="0.25"/>
  <cols>
    <col min="1" max="16384" width="8.85546875" style="79"/>
  </cols>
  <sheetData>
    <row r="1" spans="1:37" ht="21" x14ac:dyDescent="0.35">
      <c r="A1" s="81" t="s">
        <v>320</v>
      </c>
    </row>
    <row r="2" spans="1:37" ht="21" x14ac:dyDescent="0.35">
      <c r="A2" s="81" t="s">
        <v>394</v>
      </c>
    </row>
    <row r="3" spans="1:37" ht="21" x14ac:dyDescent="0.35">
      <c r="A3" s="81" t="s">
        <v>318</v>
      </c>
    </row>
    <row r="4" spans="1:37" ht="21" x14ac:dyDescent="0.35">
      <c r="A4" s="81" t="s">
        <v>395</v>
      </c>
    </row>
    <row r="7" spans="1:37" ht="18.75" x14ac:dyDescent="0.3">
      <c r="A7" s="80" t="s">
        <v>325</v>
      </c>
    </row>
    <row r="8" spans="1:37" x14ac:dyDescent="0.25">
      <c r="A8" s="79" t="s">
        <v>314</v>
      </c>
      <c r="B8" s="79" t="s">
        <v>313</v>
      </c>
      <c r="C8" s="79" t="s">
        <v>312</v>
      </c>
      <c r="D8" s="79" t="s">
        <v>311</v>
      </c>
      <c r="E8" s="79" t="s">
        <v>310</v>
      </c>
      <c r="F8" s="79" t="s">
        <v>309</v>
      </c>
      <c r="G8" s="79" t="s">
        <v>308</v>
      </c>
      <c r="H8" s="79" t="s">
        <v>307</v>
      </c>
      <c r="I8" s="79" t="s">
        <v>306</v>
      </c>
      <c r="J8" s="79" t="s">
        <v>305</v>
      </c>
      <c r="K8" s="79" t="s">
        <v>304</v>
      </c>
      <c r="L8" s="79" t="s">
        <v>303</v>
      </c>
      <c r="M8" s="79" t="s">
        <v>302</v>
      </c>
      <c r="N8" s="79" t="s">
        <v>301</v>
      </c>
      <c r="O8" s="79" t="s">
        <v>300</v>
      </c>
      <c r="P8" s="79" t="s">
        <v>299</v>
      </c>
      <c r="Q8" s="79" t="s">
        <v>298</v>
      </c>
      <c r="R8" s="79" t="s">
        <v>297</v>
      </c>
      <c r="S8" s="79" t="s">
        <v>296</v>
      </c>
      <c r="T8" s="79" t="s">
        <v>295</v>
      </c>
      <c r="U8" s="79" t="s">
        <v>294</v>
      </c>
      <c r="V8" s="79" t="s">
        <v>293</v>
      </c>
      <c r="W8" s="79" t="s">
        <v>292</v>
      </c>
      <c r="X8" s="79" t="s">
        <v>291</v>
      </c>
      <c r="Y8" s="79" t="s">
        <v>290</v>
      </c>
      <c r="Z8" s="79" t="s">
        <v>289</v>
      </c>
      <c r="AA8" s="79" t="s">
        <v>288</v>
      </c>
      <c r="AB8" s="79" t="s">
        <v>287</v>
      </c>
      <c r="AC8" s="79" t="s">
        <v>286</v>
      </c>
      <c r="AD8" s="79" t="s">
        <v>285</v>
      </c>
      <c r="AE8" s="79" t="s">
        <v>284</v>
      </c>
      <c r="AF8" s="79" t="s">
        <v>283</v>
      </c>
      <c r="AG8" s="79" t="s">
        <v>282</v>
      </c>
      <c r="AH8" s="79" t="s">
        <v>281</v>
      </c>
      <c r="AI8" s="79" t="s">
        <v>280</v>
      </c>
      <c r="AJ8" s="79" t="s">
        <v>279</v>
      </c>
      <c r="AK8" s="79" t="s">
        <v>278</v>
      </c>
    </row>
    <row r="9" spans="1:37" x14ac:dyDescent="0.25">
      <c r="A9" s="79" t="s">
        <v>41</v>
      </c>
      <c r="B9" s="79">
        <v>481.57</v>
      </c>
      <c r="C9" s="79">
        <v>484.41</v>
      </c>
      <c r="D9" s="79">
        <v>475.91</v>
      </c>
      <c r="E9" s="79">
        <v>456.08</v>
      </c>
      <c r="F9" s="79">
        <v>427.75</v>
      </c>
      <c r="G9" s="79">
        <v>413.39</v>
      </c>
      <c r="H9" s="79">
        <v>413.08</v>
      </c>
      <c r="I9" s="79">
        <v>394.07</v>
      </c>
      <c r="J9" s="79">
        <v>397.89</v>
      </c>
      <c r="K9" s="79">
        <v>415.54</v>
      </c>
      <c r="L9" s="79">
        <v>427.18</v>
      </c>
      <c r="M9" s="79">
        <v>427.04</v>
      </c>
      <c r="N9" s="79">
        <v>432.14</v>
      </c>
      <c r="O9" s="79">
        <v>436.53</v>
      </c>
      <c r="P9" s="79">
        <v>443.95</v>
      </c>
      <c r="Q9" s="79">
        <v>455.09</v>
      </c>
      <c r="R9" s="79">
        <v>468.66</v>
      </c>
      <c r="S9" s="79">
        <v>481.43</v>
      </c>
      <c r="T9" s="79">
        <v>491.69</v>
      </c>
      <c r="U9" s="79">
        <v>498.4</v>
      </c>
      <c r="V9" s="79">
        <v>501.46</v>
      </c>
      <c r="W9" s="79">
        <v>503.19</v>
      </c>
      <c r="X9" s="79">
        <v>503.16</v>
      </c>
      <c r="Y9" s="79">
        <v>501.29</v>
      </c>
      <c r="Z9" s="79">
        <v>500.13</v>
      </c>
      <c r="AA9" s="79">
        <v>500.1</v>
      </c>
      <c r="AB9" s="79">
        <v>500.81</v>
      </c>
      <c r="AC9" s="79">
        <v>502.11</v>
      </c>
      <c r="AD9" s="79">
        <v>503.22</v>
      </c>
      <c r="AE9" s="79">
        <v>503.87</v>
      </c>
      <c r="AF9" s="79">
        <v>504.46</v>
      </c>
      <c r="AG9" s="79">
        <v>504.91</v>
      </c>
      <c r="AH9" s="79">
        <v>505.23</v>
      </c>
      <c r="AI9" s="79">
        <v>505.51</v>
      </c>
      <c r="AJ9" s="79">
        <v>505.76</v>
      </c>
      <c r="AK9" s="79">
        <v>506.19</v>
      </c>
    </row>
    <row r="11" spans="1:37" ht="18.75" x14ac:dyDescent="0.3">
      <c r="A11" s="80" t="s">
        <v>396</v>
      </c>
    </row>
    <row r="12" spans="1:37" x14ac:dyDescent="0.25">
      <c r="A12" s="79" t="s">
        <v>314</v>
      </c>
      <c r="B12" s="79" t="s">
        <v>313</v>
      </c>
      <c r="C12" s="79" t="s">
        <v>312</v>
      </c>
      <c r="D12" s="79" t="s">
        <v>311</v>
      </c>
      <c r="E12" s="79" t="s">
        <v>310</v>
      </c>
      <c r="F12" s="79" t="s">
        <v>309</v>
      </c>
      <c r="G12" s="79" t="s">
        <v>308</v>
      </c>
      <c r="H12" s="79" t="s">
        <v>307</v>
      </c>
      <c r="I12" s="79" t="s">
        <v>306</v>
      </c>
      <c r="J12" s="79" t="s">
        <v>305</v>
      </c>
      <c r="K12" s="79" t="s">
        <v>304</v>
      </c>
      <c r="L12" s="79" t="s">
        <v>303</v>
      </c>
      <c r="M12" s="79" t="s">
        <v>302</v>
      </c>
      <c r="N12" s="79" t="s">
        <v>301</v>
      </c>
      <c r="O12" s="79" t="s">
        <v>300</v>
      </c>
      <c r="P12" s="79" t="s">
        <v>299</v>
      </c>
      <c r="Q12" s="79" t="s">
        <v>298</v>
      </c>
      <c r="R12" s="79" t="s">
        <v>297</v>
      </c>
      <c r="S12" s="79" t="s">
        <v>296</v>
      </c>
      <c r="T12" s="79" t="s">
        <v>295</v>
      </c>
      <c r="U12" s="79" t="s">
        <v>294</v>
      </c>
      <c r="V12" s="79" t="s">
        <v>293</v>
      </c>
      <c r="W12" s="79" t="s">
        <v>292</v>
      </c>
      <c r="X12" s="79" t="s">
        <v>291</v>
      </c>
      <c r="Y12" s="79" t="s">
        <v>290</v>
      </c>
      <c r="Z12" s="79" t="s">
        <v>289</v>
      </c>
      <c r="AA12" s="79" t="s">
        <v>288</v>
      </c>
      <c r="AB12" s="79" t="s">
        <v>287</v>
      </c>
      <c r="AC12" s="79" t="s">
        <v>286</v>
      </c>
      <c r="AD12" s="79" t="s">
        <v>285</v>
      </c>
      <c r="AE12" s="79" t="s">
        <v>284</v>
      </c>
      <c r="AF12" s="79" t="s">
        <v>283</v>
      </c>
      <c r="AG12" s="79" t="s">
        <v>282</v>
      </c>
      <c r="AH12" s="79" t="s">
        <v>281</v>
      </c>
      <c r="AI12" s="79" t="s">
        <v>280</v>
      </c>
      <c r="AJ12" s="79" t="s">
        <v>279</v>
      </c>
      <c r="AK12" s="79" t="s">
        <v>278</v>
      </c>
    </row>
    <row r="13" spans="1:37" x14ac:dyDescent="0.25">
      <c r="A13" s="79" t="s">
        <v>41</v>
      </c>
      <c r="B13" s="79">
        <v>470.24</v>
      </c>
      <c r="C13" s="79">
        <v>473.07</v>
      </c>
      <c r="D13" s="79">
        <v>464.58</v>
      </c>
      <c r="E13" s="79">
        <v>444.75</v>
      </c>
      <c r="F13" s="79">
        <v>416.42</v>
      </c>
      <c r="G13" s="79">
        <v>404.07</v>
      </c>
      <c r="H13" s="79">
        <v>405.03</v>
      </c>
      <c r="I13" s="79">
        <v>387.92</v>
      </c>
      <c r="J13" s="79">
        <v>392.4</v>
      </c>
      <c r="K13" s="79">
        <v>405.88</v>
      </c>
      <c r="L13" s="79">
        <v>420.33</v>
      </c>
      <c r="M13" s="79">
        <v>419.99</v>
      </c>
      <c r="N13" s="79">
        <v>425.4</v>
      </c>
      <c r="O13" s="79">
        <v>430.1</v>
      </c>
      <c r="P13" s="79">
        <v>437.86</v>
      </c>
      <c r="Q13" s="79">
        <v>449.31</v>
      </c>
      <c r="R13" s="79">
        <v>463.22</v>
      </c>
      <c r="S13" s="79">
        <v>476.28</v>
      </c>
      <c r="T13" s="79">
        <v>486.87</v>
      </c>
      <c r="U13" s="79">
        <v>493.92</v>
      </c>
      <c r="V13" s="79">
        <v>497.29</v>
      </c>
      <c r="W13" s="79">
        <v>499.33</v>
      </c>
      <c r="X13" s="79">
        <v>499.65</v>
      </c>
      <c r="Y13" s="79">
        <v>498.12</v>
      </c>
      <c r="Z13" s="79">
        <v>497.18</v>
      </c>
      <c r="AA13" s="79">
        <v>497.41</v>
      </c>
      <c r="AB13" s="79">
        <v>498.31</v>
      </c>
      <c r="AC13" s="79">
        <v>499.9</v>
      </c>
      <c r="AD13" s="79">
        <v>501.2</v>
      </c>
      <c r="AE13" s="79">
        <v>502.03</v>
      </c>
      <c r="AF13" s="79">
        <v>502.82</v>
      </c>
      <c r="AG13" s="79">
        <v>503.39</v>
      </c>
      <c r="AH13" s="79">
        <v>503.87</v>
      </c>
      <c r="AI13" s="79">
        <v>504.26</v>
      </c>
      <c r="AJ13" s="79">
        <v>504.6</v>
      </c>
      <c r="AK13" s="79">
        <v>505.11</v>
      </c>
    </row>
    <row r="14" spans="1:37" x14ac:dyDescent="0.25">
      <c r="A14" s="79" t="s">
        <v>397</v>
      </c>
      <c r="B14" s="79">
        <v>45.32</v>
      </c>
      <c r="C14" s="79">
        <v>42.49</v>
      </c>
      <c r="D14" s="79">
        <v>39.659999999999997</v>
      </c>
      <c r="E14" s="79">
        <v>36.83</v>
      </c>
      <c r="F14" s="79">
        <v>36.83</v>
      </c>
      <c r="G14" s="79">
        <v>36.74</v>
      </c>
      <c r="H14" s="79">
        <v>38.159999999999997</v>
      </c>
      <c r="I14" s="79">
        <v>42.61</v>
      </c>
      <c r="J14" s="79">
        <v>48.3</v>
      </c>
      <c r="K14" s="79">
        <v>54.45</v>
      </c>
      <c r="L14" s="79">
        <v>53.37</v>
      </c>
      <c r="M14" s="79">
        <v>50.85</v>
      </c>
      <c r="N14" s="79">
        <v>50.06</v>
      </c>
      <c r="O14" s="79">
        <v>49.86</v>
      </c>
      <c r="P14" s="79">
        <v>49.63</v>
      </c>
      <c r="Q14" s="79">
        <v>49.4</v>
      </c>
      <c r="R14" s="79">
        <v>49.32</v>
      </c>
      <c r="S14" s="79">
        <v>49.32</v>
      </c>
      <c r="T14" s="79">
        <v>49.38</v>
      </c>
      <c r="U14" s="79">
        <v>49.46</v>
      </c>
      <c r="V14" s="79">
        <v>49.6</v>
      </c>
      <c r="W14" s="79">
        <v>49.72</v>
      </c>
      <c r="X14" s="79">
        <v>49.83</v>
      </c>
      <c r="Y14" s="79">
        <v>49.91</v>
      </c>
      <c r="Z14" s="79">
        <v>50.03</v>
      </c>
      <c r="AA14" s="79">
        <v>50.14</v>
      </c>
      <c r="AB14" s="79">
        <v>50.28</v>
      </c>
      <c r="AC14" s="79">
        <v>50.42</v>
      </c>
      <c r="AD14" s="79">
        <v>50.11</v>
      </c>
      <c r="AE14" s="79">
        <v>49.43</v>
      </c>
      <c r="AF14" s="79">
        <v>48.75</v>
      </c>
      <c r="AG14" s="79">
        <v>48.07</v>
      </c>
      <c r="AH14" s="79">
        <v>47.42</v>
      </c>
      <c r="AI14" s="79">
        <v>46.8</v>
      </c>
      <c r="AJ14" s="79">
        <v>46.15</v>
      </c>
      <c r="AK14" s="79">
        <v>45.52</v>
      </c>
    </row>
    <row r="15" spans="1:37" x14ac:dyDescent="0.25">
      <c r="A15" s="79" t="s">
        <v>398</v>
      </c>
      <c r="B15" s="79">
        <v>283.27999999999997</v>
      </c>
      <c r="C15" s="79">
        <v>271.95</v>
      </c>
      <c r="D15" s="79">
        <v>257.77999999999997</v>
      </c>
      <c r="E15" s="79">
        <v>237.95</v>
      </c>
      <c r="F15" s="79">
        <v>215.29</v>
      </c>
      <c r="G15" s="79">
        <v>183.89</v>
      </c>
      <c r="H15" s="79">
        <v>164.61</v>
      </c>
      <c r="I15" s="79">
        <v>137.43</v>
      </c>
      <c r="J15" s="79">
        <v>125.66</v>
      </c>
      <c r="K15" s="79">
        <v>115.72</v>
      </c>
      <c r="L15" s="79">
        <v>107.53</v>
      </c>
      <c r="M15" s="79">
        <v>100.68</v>
      </c>
      <c r="N15" s="79">
        <v>94.78</v>
      </c>
      <c r="O15" s="79">
        <v>89.35</v>
      </c>
      <c r="P15" s="79">
        <v>84.42</v>
      </c>
      <c r="Q15" s="79">
        <v>79.91</v>
      </c>
      <c r="R15" s="79">
        <v>75.75</v>
      </c>
      <c r="S15" s="79">
        <v>71.98</v>
      </c>
      <c r="T15" s="79">
        <v>68.5</v>
      </c>
      <c r="U15" s="79">
        <v>65.3</v>
      </c>
      <c r="V15" s="79">
        <v>62.26</v>
      </c>
      <c r="W15" s="79">
        <v>59.49</v>
      </c>
      <c r="X15" s="79">
        <v>56.91</v>
      </c>
      <c r="Y15" s="79">
        <v>54.5</v>
      </c>
      <c r="Z15" s="79">
        <v>52.35</v>
      </c>
      <c r="AA15" s="79">
        <v>50.37</v>
      </c>
      <c r="AB15" s="79">
        <v>48.61</v>
      </c>
      <c r="AC15" s="79">
        <v>47</v>
      </c>
      <c r="AD15" s="79">
        <v>45.55</v>
      </c>
      <c r="AE15" s="79">
        <v>44.19</v>
      </c>
      <c r="AF15" s="79">
        <v>42.94</v>
      </c>
      <c r="AG15" s="79">
        <v>41.78</v>
      </c>
      <c r="AH15" s="79">
        <v>40.71</v>
      </c>
      <c r="AI15" s="79">
        <v>39.72</v>
      </c>
      <c r="AJ15" s="79">
        <v>38.81</v>
      </c>
      <c r="AK15" s="79">
        <v>38.020000000000003</v>
      </c>
    </row>
    <row r="16" spans="1:37" x14ac:dyDescent="0.25">
      <c r="A16" s="79" t="s">
        <v>399</v>
      </c>
      <c r="B16" s="79">
        <v>133.13999999999999</v>
      </c>
      <c r="C16" s="79">
        <v>141.63999999999999</v>
      </c>
      <c r="D16" s="79">
        <v>147.30000000000001</v>
      </c>
      <c r="E16" s="79">
        <v>147.30000000000001</v>
      </c>
      <c r="F16" s="79">
        <v>138.81</v>
      </c>
      <c r="G16" s="79">
        <v>152.91999999999999</v>
      </c>
      <c r="H16" s="79">
        <v>166.68</v>
      </c>
      <c r="I16" s="79">
        <v>172.45</v>
      </c>
      <c r="J16" s="79">
        <v>180.45</v>
      </c>
      <c r="K16" s="79">
        <v>199.63</v>
      </c>
      <c r="L16" s="79">
        <v>225.12</v>
      </c>
      <c r="M16" s="79">
        <v>236.45</v>
      </c>
      <c r="N16" s="79">
        <v>250.3</v>
      </c>
      <c r="O16" s="79">
        <v>261.77999999999997</v>
      </c>
      <c r="P16" s="79">
        <v>274.67</v>
      </c>
      <c r="Q16" s="79">
        <v>289.62</v>
      </c>
      <c r="R16" s="79">
        <v>305.8</v>
      </c>
      <c r="S16" s="79">
        <v>320.77999999999997</v>
      </c>
      <c r="T16" s="79">
        <v>333.45</v>
      </c>
      <c r="U16" s="79">
        <v>342.91</v>
      </c>
      <c r="V16" s="79">
        <v>349.06</v>
      </c>
      <c r="W16" s="79">
        <v>353.79</v>
      </c>
      <c r="X16" s="79">
        <v>356.85</v>
      </c>
      <c r="Y16" s="79">
        <v>358.29</v>
      </c>
      <c r="Z16" s="79">
        <v>359.99</v>
      </c>
      <c r="AA16" s="79">
        <v>362.4</v>
      </c>
      <c r="AB16" s="79">
        <v>365.12</v>
      </c>
      <c r="AC16" s="79">
        <v>368.23</v>
      </c>
      <c r="AD16" s="79">
        <v>371.32</v>
      </c>
      <c r="AE16" s="79">
        <v>374.15</v>
      </c>
      <c r="AF16" s="79">
        <v>376.79</v>
      </c>
      <c r="AG16" s="79">
        <v>379.08</v>
      </c>
      <c r="AH16" s="79">
        <v>381.15</v>
      </c>
      <c r="AI16" s="79">
        <v>383.05</v>
      </c>
      <c r="AJ16" s="79">
        <v>384.78</v>
      </c>
      <c r="AK16" s="79">
        <v>386.5</v>
      </c>
    </row>
    <row r="17" spans="1:37" x14ac:dyDescent="0.25">
      <c r="A17" s="79" t="s">
        <v>400</v>
      </c>
      <c r="B17" s="79">
        <v>0</v>
      </c>
      <c r="C17" s="79">
        <v>0</v>
      </c>
      <c r="D17" s="79">
        <v>0</v>
      </c>
      <c r="E17" s="79">
        <v>0</v>
      </c>
      <c r="F17" s="79">
        <v>2.83</v>
      </c>
      <c r="G17" s="79">
        <v>4.99</v>
      </c>
      <c r="H17" s="79">
        <v>11.13</v>
      </c>
      <c r="I17" s="79">
        <v>13.12</v>
      </c>
      <c r="J17" s="79">
        <v>16.88</v>
      </c>
      <c r="K17" s="79">
        <v>16.43</v>
      </c>
      <c r="L17" s="79">
        <v>16.18</v>
      </c>
      <c r="M17" s="79">
        <v>15.44</v>
      </c>
      <c r="N17" s="79">
        <v>15.07</v>
      </c>
      <c r="O17" s="79">
        <v>15.18</v>
      </c>
      <c r="P17" s="79">
        <v>16.350000000000001</v>
      </c>
      <c r="Q17" s="79">
        <v>18.61</v>
      </c>
      <c r="R17" s="79">
        <v>21.53</v>
      </c>
      <c r="S17" s="79">
        <v>24.22</v>
      </c>
      <c r="T17" s="79">
        <v>26.37</v>
      </c>
      <c r="U17" s="79">
        <v>27.79</v>
      </c>
      <c r="V17" s="79">
        <v>28.53</v>
      </c>
      <c r="W17" s="79">
        <v>29.09</v>
      </c>
      <c r="X17" s="79">
        <v>29.35</v>
      </c>
      <c r="Y17" s="79">
        <v>29.18</v>
      </c>
      <c r="Z17" s="79">
        <v>29.04</v>
      </c>
      <c r="AA17" s="79">
        <v>29.12</v>
      </c>
      <c r="AB17" s="79">
        <v>29.29</v>
      </c>
      <c r="AC17" s="79">
        <v>29.57</v>
      </c>
      <c r="AD17" s="79">
        <v>29.86</v>
      </c>
      <c r="AE17" s="79">
        <v>30.17</v>
      </c>
      <c r="AF17" s="79">
        <v>30.51</v>
      </c>
      <c r="AG17" s="79">
        <v>30.85</v>
      </c>
      <c r="AH17" s="79">
        <v>31.19</v>
      </c>
      <c r="AI17" s="79">
        <v>31.5</v>
      </c>
      <c r="AJ17" s="79">
        <v>31.84</v>
      </c>
      <c r="AK17" s="79">
        <v>32.21</v>
      </c>
    </row>
    <row r="18" spans="1:37" x14ac:dyDescent="0.25">
      <c r="A18" s="79" t="s">
        <v>401</v>
      </c>
      <c r="B18" s="79">
        <v>8.5</v>
      </c>
      <c r="C18" s="79">
        <v>17</v>
      </c>
      <c r="D18" s="79">
        <v>19.829999999999998</v>
      </c>
      <c r="E18" s="79">
        <v>22.66</v>
      </c>
      <c r="F18" s="79">
        <v>22.66</v>
      </c>
      <c r="G18" s="79">
        <v>25.52</v>
      </c>
      <c r="H18" s="79">
        <v>24.45</v>
      </c>
      <c r="I18" s="79">
        <v>22.32</v>
      </c>
      <c r="J18" s="79">
        <v>21.1</v>
      </c>
      <c r="K18" s="79">
        <v>19.66</v>
      </c>
      <c r="L18" s="79">
        <v>18.13</v>
      </c>
      <c r="M18" s="79">
        <v>16.57</v>
      </c>
      <c r="N18" s="79">
        <v>15.18</v>
      </c>
      <c r="O18" s="79">
        <v>13.94</v>
      </c>
      <c r="P18" s="79">
        <v>12.8</v>
      </c>
      <c r="Q18" s="79">
        <v>11.76</v>
      </c>
      <c r="R18" s="79">
        <v>10.82</v>
      </c>
      <c r="S18" s="79">
        <v>9.9700000000000006</v>
      </c>
      <c r="T18" s="79">
        <v>9.18</v>
      </c>
      <c r="U18" s="79">
        <v>8.4700000000000006</v>
      </c>
      <c r="V18" s="79">
        <v>7.85</v>
      </c>
      <c r="W18" s="79">
        <v>7.25</v>
      </c>
      <c r="X18" s="79">
        <v>6.71</v>
      </c>
      <c r="Y18" s="79">
        <v>6.23</v>
      </c>
      <c r="Z18" s="79">
        <v>5.78</v>
      </c>
      <c r="AA18" s="79">
        <v>5.38</v>
      </c>
      <c r="AB18" s="79">
        <v>5.01</v>
      </c>
      <c r="AC18" s="79">
        <v>4.67</v>
      </c>
      <c r="AD18" s="79">
        <v>4.3600000000000003</v>
      </c>
      <c r="AE18" s="79">
        <v>4.08</v>
      </c>
      <c r="AF18" s="79">
        <v>3.82</v>
      </c>
      <c r="AG18" s="79">
        <v>3.6</v>
      </c>
      <c r="AH18" s="79">
        <v>3.4</v>
      </c>
      <c r="AI18" s="79">
        <v>3.2</v>
      </c>
      <c r="AJ18" s="79">
        <v>3.03</v>
      </c>
      <c r="AK18" s="79">
        <v>2.86</v>
      </c>
    </row>
    <row r="20" spans="1:37" ht="18.75" x14ac:dyDescent="0.3">
      <c r="A20" s="80" t="s">
        <v>334</v>
      </c>
    </row>
    <row r="21" spans="1:37" x14ac:dyDescent="0.25">
      <c r="A21" s="79" t="s">
        <v>314</v>
      </c>
      <c r="B21" s="79" t="s">
        <v>313</v>
      </c>
      <c r="C21" s="79" t="s">
        <v>312</v>
      </c>
      <c r="D21" s="79" t="s">
        <v>311</v>
      </c>
      <c r="E21" s="79" t="s">
        <v>310</v>
      </c>
      <c r="F21" s="79" t="s">
        <v>309</v>
      </c>
      <c r="G21" s="79" t="s">
        <v>308</v>
      </c>
      <c r="H21" s="79" t="s">
        <v>307</v>
      </c>
      <c r="I21" s="79" t="s">
        <v>306</v>
      </c>
      <c r="J21" s="79" t="s">
        <v>305</v>
      </c>
      <c r="K21" s="79" t="s">
        <v>304</v>
      </c>
      <c r="L21" s="79" t="s">
        <v>303</v>
      </c>
      <c r="M21" s="79" t="s">
        <v>302</v>
      </c>
      <c r="N21" s="79" t="s">
        <v>301</v>
      </c>
      <c r="O21" s="79" t="s">
        <v>300</v>
      </c>
      <c r="P21" s="79" t="s">
        <v>299</v>
      </c>
      <c r="Q21" s="79" t="s">
        <v>298</v>
      </c>
      <c r="R21" s="79" t="s">
        <v>297</v>
      </c>
      <c r="S21" s="79" t="s">
        <v>296</v>
      </c>
      <c r="T21" s="79" t="s">
        <v>295</v>
      </c>
      <c r="U21" s="79" t="s">
        <v>294</v>
      </c>
      <c r="V21" s="79" t="s">
        <v>293</v>
      </c>
      <c r="W21" s="79" t="s">
        <v>292</v>
      </c>
      <c r="X21" s="79" t="s">
        <v>291</v>
      </c>
      <c r="Y21" s="79" t="s">
        <v>290</v>
      </c>
      <c r="Z21" s="79" t="s">
        <v>289</v>
      </c>
      <c r="AA21" s="79" t="s">
        <v>288</v>
      </c>
      <c r="AB21" s="79" t="s">
        <v>287</v>
      </c>
      <c r="AC21" s="79" t="s">
        <v>286</v>
      </c>
      <c r="AD21" s="79" t="s">
        <v>285</v>
      </c>
      <c r="AE21" s="79" t="s">
        <v>284</v>
      </c>
      <c r="AF21" s="79" t="s">
        <v>283</v>
      </c>
      <c r="AG21" s="79" t="s">
        <v>282</v>
      </c>
      <c r="AH21" s="79" t="s">
        <v>281</v>
      </c>
      <c r="AI21" s="79" t="s">
        <v>280</v>
      </c>
      <c r="AJ21" s="79" t="s">
        <v>279</v>
      </c>
      <c r="AK21" s="79" t="s">
        <v>278</v>
      </c>
    </row>
    <row r="22" spans="1:37" x14ac:dyDescent="0.25">
      <c r="A22" s="79" t="s">
        <v>41</v>
      </c>
      <c r="B22" s="79">
        <v>11.33</v>
      </c>
      <c r="C22" s="79">
        <v>8.5</v>
      </c>
      <c r="D22" s="79">
        <v>11.33</v>
      </c>
      <c r="E22" s="79">
        <v>11.33</v>
      </c>
      <c r="F22" s="79">
        <v>8.5</v>
      </c>
      <c r="G22" s="79">
        <v>8.36</v>
      </c>
      <c r="H22" s="79">
        <v>7.17</v>
      </c>
      <c r="I22" s="79">
        <v>5.41</v>
      </c>
      <c r="J22" s="79">
        <v>4.84</v>
      </c>
      <c r="K22" s="79">
        <v>9.1199999999999992</v>
      </c>
      <c r="L22" s="79">
        <v>6.35</v>
      </c>
      <c r="M22" s="79">
        <v>6.6</v>
      </c>
      <c r="N22" s="79">
        <v>6.32</v>
      </c>
      <c r="O22" s="79">
        <v>6.06</v>
      </c>
      <c r="P22" s="79">
        <v>5.75</v>
      </c>
      <c r="Q22" s="79">
        <v>5.47</v>
      </c>
      <c r="R22" s="79">
        <v>5.16</v>
      </c>
      <c r="S22" s="79">
        <v>4.9000000000000004</v>
      </c>
      <c r="T22" s="79">
        <v>4.59</v>
      </c>
      <c r="U22" s="79">
        <v>4.25</v>
      </c>
      <c r="V22" s="79">
        <v>3.97</v>
      </c>
      <c r="W22" s="79">
        <v>3.65</v>
      </c>
      <c r="X22" s="79">
        <v>3.34</v>
      </c>
      <c r="Y22" s="79">
        <v>3.03</v>
      </c>
      <c r="Z22" s="79">
        <v>2.8</v>
      </c>
      <c r="AA22" s="79">
        <v>2.5499999999999998</v>
      </c>
      <c r="AB22" s="79">
        <v>2.35</v>
      </c>
      <c r="AC22" s="79">
        <v>2.1</v>
      </c>
      <c r="AD22" s="79">
        <v>1.9</v>
      </c>
      <c r="AE22" s="79">
        <v>1.76</v>
      </c>
      <c r="AF22" s="79">
        <v>1.56</v>
      </c>
      <c r="AG22" s="79">
        <v>1.44</v>
      </c>
      <c r="AH22" s="79">
        <v>1.3</v>
      </c>
      <c r="AI22" s="79">
        <v>1.19</v>
      </c>
      <c r="AJ22" s="79">
        <v>1.1000000000000001</v>
      </c>
      <c r="AK22" s="79">
        <v>1.02</v>
      </c>
    </row>
    <row r="24" spans="1:37" ht="18.75" x14ac:dyDescent="0.3">
      <c r="A24" s="80" t="s">
        <v>402</v>
      </c>
    </row>
    <row r="25" spans="1:37" x14ac:dyDescent="0.25">
      <c r="A25" s="79" t="s">
        <v>314</v>
      </c>
      <c r="B25" s="79" t="s">
        <v>313</v>
      </c>
      <c r="C25" s="79" t="s">
        <v>312</v>
      </c>
      <c r="D25" s="79" t="s">
        <v>311</v>
      </c>
      <c r="E25" s="79" t="s">
        <v>310</v>
      </c>
      <c r="F25" s="79" t="s">
        <v>309</v>
      </c>
      <c r="G25" s="79" t="s">
        <v>308</v>
      </c>
      <c r="H25" s="79" t="s">
        <v>307</v>
      </c>
      <c r="I25" s="79" t="s">
        <v>306</v>
      </c>
      <c r="J25" s="79" t="s">
        <v>305</v>
      </c>
      <c r="K25" s="79" t="s">
        <v>304</v>
      </c>
      <c r="L25" s="79" t="s">
        <v>303</v>
      </c>
      <c r="M25" s="79" t="s">
        <v>302</v>
      </c>
      <c r="N25" s="79" t="s">
        <v>301</v>
      </c>
      <c r="O25" s="79" t="s">
        <v>300</v>
      </c>
      <c r="P25" s="79" t="s">
        <v>299</v>
      </c>
      <c r="Q25" s="79" t="s">
        <v>298</v>
      </c>
      <c r="R25" s="79" t="s">
        <v>297</v>
      </c>
      <c r="S25" s="79" t="s">
        <v>296</v>
      </c>
      <c r="T25" s="79" t="s">
        <v>295</v>
      </c>
      <c r="U25" s="79" t="s">
        <v>294</v>
      </c>
      <c r="V25" s="79" t="s">
        <v>293</v>
      </c>
      <c r="W25" s="79" t="s">
        <v>292</v>
      </c>
      <c r="X25" s="79" t="s">
        <v>291</v>
      </c>
      <c r="Y25" s="79" t="s">
        <v>290</v>
      </c>
      <c r="Z25" s="79" t="s">
        <v>289</v>
      </c>
      <c r="AA25" s="79" t="s">
        <v>288</v>
      </c>
      <c r="AB25" s="79" t="s">
        <v>287</v>
      </c>
      <c r="AC25" s="79" t="s">
        <v>286</v>
      </c>
      <c r="AD25" s="79" t="s">
        <v>285</v>
      </c>
      <c r="AE25" s="79" t="s">
        <v>284</v>
      </c>
      <c r="AF25" s="79" t="s">
        <v>283</v>
      </c>
      <c r="AG25" s="79" t="s">
        <v>282</v>
      </c>
      <c r="AH25" s="79" t="s">
        <v>281</v>
      </c>
      <c r="AI25" s="79" t="s">
        <v>280</v>
      </c>
      <c r="AJ25" s="79" t="s">
        <v>279</v>
      </c>
      <c r="AK25" s="79" t="s">
        <v>278</v>
      </c>
    </row>
    <row r="26" spans="1:37" x14ac:dyDescent="0.25">
      <c r="A26" s="79" t="s">
        <v>41</v>
      </c>
      <c r="B26" s="79">
        <v>0</v>
      </c>
      <c r="C26" s="79">
        <v>0</v>
      </c>
      <c r="D26" s="79">
        <v>0</v>
      </c>
      <c r="E26" s="79">
        <v>0</v>
      </c>
      <c r="F26" s="79">
        <v>0</v>
      </c>
      <c r="G26" s="79">
        <v>0.51</v>
      </c>
      <c r="H26" s="79">
        <v>0.45</v>
      </c>
      <c r="I26" s="79">
        <v>0.34</v>
      </c>
      <c r="J26" s="79">
        <v>0.31</v>
      </c>
      <c r="K26" s="79">
        <v>0.25</v>
      </c>
      <c r="L26" s="79">
        <v>0.23</v>
      </c>
      <c r="M26" s="79">
        <v>0.2</v>
      </c>
      <c r="N26" s="79">
        <v>0.17</v>
      </c>
      <c r="O26" s="79">
        <v>0.14000000000000001</v>
      </c>
      <c r="P26" s="79">
        <v>0.11</v>
      </c>
      <c r="Q26" s="79">
        <v>0.11</v>
      </c>
      <c r="R26" s="79">
        <v>0.08</v>
      </c>
      <c r="S26" s="79">
        <v>0.08</v>
      </c>
      <c r="T26" s="79">
        <v>0.06</v>
      </c>
      <c r="U26" s="79">
        <v>0.06</v>
      </c>
      <c r="V26" s="79">
        <v>0.06</v>
      </c>
      <c r="W26" s="79">
        <v>0.06</v>
      </c>
      <c r="X26" s="79">
        <v>0.03</v>
      </c>
      <c r="Y26" s="79">
        <v>0.03</v>
      </c>
      <c r="Z26" s="79">
        <v>0.03</v>
      </c>
      <c r="AA26" s="79">
        <v>0.03</v>
      </c>
      <c r="AB26" s="79">
        <v>0.03</v>
      </c>
      <c r="AC26" s="79">
        <v>0.03</v>
      </c>
      <c r="AD26" s="79">
        <v>0.03</v>
      </c>
      <c r="AE26" s="79">
        <v>0</v>
      </c>
      <c r="AF26" s="79">
        <v>0</v>
      </c>
      <c r="AG26" s="79">
        <v>0</v>
      </c>
      <c r="AH26" s="79">
        <v>0</v>
      </c>
      <c r="AI26" s="79">
        <v>0</v>
      </c>
      <c r="AJ26" s="79">
        <v>0</v>
      </c>
      <c r="AK26" s="79">
        <v>0</v>
      </c>
    </row>
    <row r="28" spans="1:37" ht="18.75" x14ac:dyDescent="0.3">
      <c r="A28" s="80" t="s">
        <v>335</v>
      </c>
    </row>
    <row r="29" spans="1:37" x14ac:dyDescent="0.25">
      <c r="A29" s="79" t="s">
        <v>314</v>
      </c>
      <c r="B29" s="79" t="s">
        <v>313</v>
      </c>
      <c r="C29" s="79" t="s">
        <v>312</v>
      </c>
      <c r="D29" s="79" t="s">
        <v>311</v>
      </c>
      <c r="E29" s="79" t="s">
        <v>310</v>
      </c>
      <c r="F29" s="79" t="s">
        <v>309</v>
      </c>
      <c r="G29" s="79" t="s">
        <v>308</v>
      </c>
      <c r="H29" s="79" t="s">
        <v>307</v>
      </c>
      <c r="I29" s="79" t="s">
        <v>306</v>
      </c>
      <c r="J29" s="79" t="s">
        <v>305</v>
      </c>
      <c r="K29" s="79" t="s">
        <v>304</v>
      </c>
      <c r="L29" s="79" t="s">
        <v>303</v>
      </c>
      <c r="M29" s="79" t="s">
        <v>302</v>
      </c>
      <c r="N29" s="79" t="s">
        <v>301</v>
      </c>
      <c r="O29" s="79" t="s">
        <v>300</v>
      </c>
      <c r="P29" s="79" t="s">
        <v>299</v>
      </c>
      <c r="Q29" s="79" t="s">
        <v>298</v>
      </c>
      <c r="R29" s="79" t="s">
        <v>297</v>
      </c>
      <c r="S29" s="79" t="s">
        <v>296</v>
      </c>
      <c r="T29" s="79" t="s">
        <v>295</v>
      </c>
      <c r="U29" s="79" t="s">
        <v>294</v>
      </c>
      <c r="V29" s="79" t="s">
        <v>293</v>
      </c>
      <c r="W29" s="79" t="s">
        <v>292</v>
      </c>
      <c r="X29" s="79" t="s">
        <v>291</v>
      </c>
      <c r="Y29" s="79" t="s">
        <v>290</v>
      </c>
      <c r="Z29" s="79" t="s">
        <v>289</v>
      </c>
      <c r="AA29" s="79" t="s">
        <v>288</v>
      </c>
      <c r="AB29" s="79" t="s">
        <v>287</v>
      </c>
      <c r="AC29" s="79" t="s">
        <v>286</v>
      </c>
      <c r="AD29" s="79" t="s">
        <v>285</v>
      </c>
      <c r="AE29" s="79" t="s">
        <v>284</v>
      </c>
      <c r="AF29" s="79" t="s">
        <v>283</v>
      </c>
      <c r="AG29" s="79" t="s">
        <v>282</v>
      </c>
      <c r="AH29" s="79" t="s">
        <v>281</v>
      </c>
      <c r="AI29" s="79" t="s">
        <v>280</v>
      </c>
      <c r="AJ29" s="79" t="s">
        <v>279</v>
      </c>
      <c r="AK29" s="79" t="s">
        <v>278</v>
      </c>
    </row>
    <row r="30" spans="1:37" x14ac:dyDescent="0.25">
      <c r="A30" s="79" t="s">
        <v>41</v>
      </c>
      <c r="B30" s="79">
        <v>0</v>
      </c>
      <c r="C30" s="79">
        <v>0</v>
      </c>
      <c r="D30" s="79">
        <v>0</v>
      </c>
      <c r="E30" s="79">
        <v>0</v>
      </c>
      <c r="F30" s="79">
        <v>0</v>
      </c>
      <c r="G30" s="79">
        <v>0.45</v>
      </c>
      <c r="H30" s="79">
        <v>0.42</v>
      </c>
      <c r="I30" s="79">
        <v>0.4</v>
      </c>
      <c r="J30" s="79">
        <v>0.34</v>
      </c>
      <c r="K30" s="79">
        <v>0.28000000000000003</v>
      </c>
      <c r="L30" s="79">
        <v>0.28000000000000003</v>
      </c>
      <c r="M30" s="79">
        <v>0.25</v>
      </c>
      <c r="N30" s="79">
        <v>0.25</v>
      </c>
      <c r="O30" s="79">
        <v>0.23</v>
      </c>
      <c r="P30" s="79">
        <v>0.23</v>
      </c>
      <c r="Q30" s="79">
        <v>0.2</v>
      </c>
      <c r="R30" s="79">
        <v>0.2</v>
      </c>
      <c r="S30" s="79">
        <v>0.17</v>
      </c>
      <c r="T30" s="79">
        <v>0.17</v>
      </c>
      <c r="U30" s="79">
        <v>0.17</v>
      </c>
      <c r="V30" s="79">
        <v>0.14000000000000001</v>
      </c>
      <c r="W30" s="79">
        <v>0.14000000000000001</v>
      </c>
      <c r="X30" s="79">
        <v>0.14000000000000001</v>
      </c>
      <c r="Y30" s="79">
        <v>0.11</v>
      </c>
      <c r="Z30" s="79">
        <v>0.11</v>
      </c>
      <c r="AA30" s="79">
        <v>0.11</v>
      </c>
      <c r="AB30" s="79">
        <v>0.11</v>
      </c>
      <c r="AC30" s="79">
        <v>0.08</v>
      </c>
      <c r="AD30" s="79">
        <v>0.08</v>
      </c>
      <c r="AE30" s="79">
        <v>0.08</v>
      </c>
      <c r="AF30" s="79">
        <v>0.08</v>
      </c>
      <c r="AG30" s="79">
        <v>0.08</v>
      </c>
      <c r="AH30" s="79">
        <v>0.06</v>
      </c>
      <c r="AI30" s="79">
        <v>0.06</v>
      </c>
      <c r="AJ30" s="79">
        <v>0.06</v>
      </c>
      <c r="AK30" s="79">
        <v>0.06</v>
      </c>
    </row>
    <row r="32" spans="1:37" ht="18.75" x14ac:dyDescent="0.3">
      <c r="A32" s="80" t="s">
        <v>337</v>
      </c>
    </row>
    <row r="33" spans="1:37" x14ac:dyDescent="0.25">
      <c r="A33" s="79" t="s">
        <v>314</v>
      </c>
      <c r="B33" s="79" t="s">
        <v>313</v>
      </c>
      <c r="C33" s="79" t="s">
        <v>312</v>
      </c>
      <c r="D33" s="79" t="s">
        <v>311</v>
      </c>
      <c r="E33" s="79" t="s">
        <v>310</v>
      </c>
      <c r="F33" s="79" t="s">
        <v>309</v>
      </c>
      <c r="G33" s="79" t="s">
        <v>308</v>
      </c>
      <c r="H33" s="79" t="s">
        <v>307</v>
      </c>
      <c r="I33" s="79" t="s">
        <v>306</v>
      </c>
      <c r="J33" s="79" t="s">
        <v>305</v>
      </c>
      <c r="K33" s="79" t="s">
        <v>304</v>
      </c>
      <c r="L33" s="79" t="s">
        <v>303</v>
      </c>
      <c r="M33" s="79" t="s">
        <v>302</v>
      </c>
      <c r="N33" s="79" t="s">
        <v>301</v>
      </c>
      <c r="O33" s="79" t="s">
        <v>300</v>
      </c>
      <c r="P33" s="79" t="s">
        <v>299</v>
      </c>
      <c r="Q33" s="79" t="s">
        <v>298</v>
      </c>
      <c r="R33" s="79" t="s">
        <v>297</v>
      </c>
      <c r="S33" s="79" t="s">
        <v>296</v>
      </c>
      <c r="T33" s="79" t="s">
        <v>295</v>
      </c>
      <c r="U33" s="79" t="s">
        <v>294</v>
      </c>
      <c r="V33" s="79" t="s">
        <v>293</v>
      </c>
      <c r="W33" s="79" t="s">
        <v>292</v>
      </c>
      <c r="X33" s="79" t="s">
        <v>291</v>
      </c>
      <c r="Y33" s="79" t="s">
        <v>290</v>
      </c>
      <c r="Z33" s="79" t="s">
        <v>289</v>
      </c>
      <c r="AA33" s="79" t="s">
        <v>288</v>
      </c>
      <c r="AB33" s="79" t="s">
        <v>287</v>
      </c>
      <c r="AC33" s="79" t="s">
        <v>286</v>
      </c>
      <c r="AD33" s="79" t="s">
        <v>285</v>
      </c>
      <c r="AE33" s="79" t="s">
        <v>284</v>
      </c>
      <c r="AF33" s="79" t="s">
        <v>283</v>
      </c>
      <c r="AG33" s="79" t="s">
        <v>282</v>
      </c>
      <c r="AH33" s="79" t="s">
        <v>281</v>
      </c>
      <c r="AI33" s="79" t="s">
        <v>280</v>
      </c>
      <c r="AJ33" s="79" t="s">
        <v>279</v>
      </c>
      <c r="AK33" s="79" t="s">
        <v>278</v>
      </c>
    </row>
    <row r="34" spans="1:37" x14ac:dyDescent="0.25">
      <c r="A34" s="79" t="s">
        <v>41</v>
      </c>
      <c r="B34" s="79">
        <v>373.93</v>
      </c>
      <c r="C34" s="79">
        <v>379.59</v>
      </c>
      <c r="D34" s="79">
        <v>371.09</v>
      </c>
      <c r="E34" s="79">
        <v>351.26</v>
      </c>
      <c r="F34" s="79">
        <v>325.77</v>
      </c>
      <c r="G34" s="79">
        <v>307.33</v>
      </c>
      <c r="H34" s="79">
        <v>294.07</v>
      </c>
      <c r="I34" s="79">
        <v>277.73</v>
      </c>
      <c r="J34" s="79">
        <v>274.41000000000003</v>
      </c>
      <c r="K34" s="79">
        <v>279.82</v>
      </c>
      <c r="L34" s="79">
        <v>283.33</v>
      </c>
      <c r="M34" s="79">
        <v>278.89</v>
      </c>
      <c r="N34" s="79">
        <v>278.32</v>
      </c>
      <c r="O34" s="79">
        <v>277.44</v>
      </c>
      <c r="P34" s="79">
        <v>276.68</v>
      </c>
      <c r="Q34" s="79">
        <v>275.97000000000003</v>
      </c>
      <c r="R34" s="79">
        <v>275.57</v>
      </c>
      <c r="S34" s="79">
        <v>275.32</v>
      </c>
      <c r="T34" s="79">
        <v>275.08999999999997</v>
      </c>
      <c r="U34" s="79">
        <v>274.58</v>
      </c>
      <c r="V34" s="79">
        <v>273.76</v>
      </c>
      <c r="W34" s="79">
        <v>272.66000000000003</v>
      </c>
      <c r="X34" s="79">
        <v>271.47000000000003</v>
      </c>
      <c r="Y34" s="79">
        <v>270.33</v>
      </c>
      <c r="Z34" s="79">
        <v>269.60000000000002</v>
      </c>
      <c r="AA34" s="79">
        <v>269.31</v>
      </c>
      <c r="AB34" s="79">
        <v>269.33999999999997</v>
      </c>
      <c r="AC34" s="79">
        <v>269.74</v>
      </c>
      <c r="AD34" s="79">
        <v>269.82</v>
      </c>
      <c r="AE34" s="79">
        <v>269.54000000000002</v>
      </c>
      <c r="AF34" s="79">
        <v>269.27999999999997</v>
      </c>
      <c r="AG34" s="79">
        <v>269.02999999999997</v>
      </c>
      <c r="AH34" s="79">
        <v>268.8</v>
      </c>
      <c r="AI34" s="79">
        <v>268.55</v>
      </c>
      <c r="AJ34" s="79">
        <v>268.41000000000003</v>
      </c>
      <c r="AK34" s="79">
        <v>268.38</v>
      </c>
    </row>
    <row r="35" spans="1:37" x14ac:dyDescent="0.25">
      <c r="A35" s="79" t="s">
        <v>397</v>
      </c>
      <c r="B35" s="79">
        <v>39.659999999999997</v>
      </c>
      <c r="C35" s="79">
        <v>39.659999999999997</v>
      </c>
      <c r="D35" s="79">
        <v>36.83</v>
      </c>
      <c r="E35" s="79">
        <v>33.99</v>
      </c>
      <c r="F35" s="79">
        <v>31.16</v>
      </c>
      <c r="G35" s="79">
        <v>31.87</v>
      </c>
      <c r="H35" s="79">
        <v>33.03</v>
      </c>
      <c r="I35" s="79">
        <v>37.85</v>
      </c>
      <c r="J35" s="79">
        <v>43.14</v>
      </c>
      <c r="K35" s="79">
        <v>48.07</v>
      </c>
      <c r="L35" s="79">
        <v>46.68</v>
      </c>
      <c r="M35" s="79">
        <v>44.16</v>
      </c>
      <c r="N35" s="79">
        <v>43.37</v>
      </c>
      <c r="O35" s="79">
        <v>43.17</v>
      </c>
      <c r="P35" s="79">
        <v>43.03</v>
      </c>
      <c r="Q35" s="79">
        <v>42.89</v>
      </c>
      <c r="R35" s="79">
        <v>42.8</v>
      </c>
      <c r="S35" s="79">
        <v>42.77</v>
      </c>
      <c r="T35" s="79">
        <v>42.77</v>
      </c>
      <c r="U35" s="79">
        <v>42.83</v>
      </c>
      <c r="V35" s="79">
        <v>42.97</v>
      </c>
      <c r="W35" s="79">
        <v>43.14</v>
      </c>
      <c r="X35" s="79">
        <v>43.28</v>
      </c>
      <c r="Y35" s="79">
        <v>43.43</v>
      </c>
      <c r="Z35" s="79">
        <v>43.57</v>
      </c>
      <c r="AA35" s="79">
        <v>43.74</v>
      </c>
      <c r="AB35" s="79">
        <v>43.94</v>
      </c>
      <c r="AC35" s="79">
        <v>44.13</v>
      </c>
      <c r="AD35" s="79">
        <v>43.88</v>
      </c>
      <c r="AE35" s="79">
        <v>43.26</v>
      </c>
      <c r="AF35" s="79">
        <v>42.63</v>
      </c>
      <c r="AG35" s="79">
        <v>42.04</v>
      </c>
      <c r="AH35" s="79">
        <v>41.44</v>
      </c>
      <c r="AI35" s="79">
        <v>40.880000000000003</v>
      </c>
      <c r="AJ35" s="79">
        <v>40.31</v>
      </c>
      <c r="AK35" s="79">
        <v>39.74</v>
      </c>
    </row>
    <row r="36" spans="1:37" x14ac:dyDescent="0.25">
      <c r="A36" s="79" t="s">
        <v>398</v>
      </c>
      <c r="B36" s="79">
        <v>223.79</v>
      </c>
      <c r="C36" s="79">
        <v>215.29</v>
      </c>
      <c r="D36" s="79">
        <v>201.13</v>
      </c>
      <c r="E36" s="79">
        <v>181.3</v>
      </c>
      <c r="F36" s="79">
        <v>161.47</v>
      </c>
      <c r="G36" s="79">
        <v>137.76</v>
      </c>
      <c r="H36" s="79">
        <v>122.26</v>
      </c>
      <c r="I36" s="79">
        <v>102.8</v>
      </c>
      <c r="J36" s="79">
        <v>94.64</v>
      </c>
      <c r="K36" s="79">
        <v>88.21</v>
      </c>
      <c r="L36" s="79">
        <v>83.2</v>
      </c>
      <c r="M36" s="79">
        <v>78.58</v>
      </c>
      <c r="N36" s="79">
        <v>74.59</v>
      </c>
      <c r="O36" s="79">
        <v>70.819999999999993</v>
      </c>
      <c r="P36" s="79">
        <v>67.36</v>
      </c>
      <c r="Q36" s="79">
        <v>64.13</v>
      </c>
      <c r="R36" s="79">
        <v>61.16</v>
      </c>
      <c r="S36" s="79">
        <v>58.41</v>
      </c>
      <c r="T36" s="79">
        <v>55.86</v>
      </c>
      <c r="U36" s="79">
        <v>53.45</v>
      </c>
      <c r="V36" s="79">
        <v>51.22</v>
      </c>
      <c r="W36" s="79">
        <v>49.09</v>
      </c>
      <c r="X36" s="79">
        <v>47.11</v>
      </c>
      <c r="Y36" s="79">
        <v>45.24</v>
      </c>
      <c r="Z36" s="79">
        <v>43.57</v>
      </c>
      <c r="AA36" s="79">
        <v>42.01</v>
      </c>
      <c r="AB36" s="79">
        <v>40.590000000000003</v>
      </c>
      <c r="AC36" s="79">
        <v>39.29</v>
      </c>
      <c r="AD36" s="79">
        <v>38.1</v>
      </c>
      <c r="AE36" s="79">
        <v>37</v>
      </c>
      <c r="AF36" s="79">
        <v>35.950000000000003</v>
      </c>
      <c r="AG36" s="79">
        <v>34.979999999999997</v>
      </c>
      <c r="AH36" s="79">
        <v>34.11</v>
      </c>
      <c r="AI36" s="79">
        <v>33.26</v>
      </c>
      <c r="AJ36" s="79">
        <v>32.49</v>
      </c>
      <c r="AK36" s="79">
        <v>31.78</v>
      </c>
    </row>
    <row r="37" spans="1:37" x14ac:dyDescent="0.25">
      <c r="A37" s="79" t="s">
        <v>399</v>
      </c>
      <c r="B37" s="79">
        <v>101.98</v>
      </c>
      <c r="C37" s="79">
        <v>107.65</v>
      </c>
      <c r="D37" s="79">
        <v>113.31</v>
      </c>
      <c r="E37" s="79">
        <v>113.31</v>
      </c>
      <c r="F37" s="79">
        <v>107.65</v>
      </c>
      <c r="G37" s="79">
        <v>112.18</v>
      </c>
      <c r="H37" s="79">
        <v>114.3</v>
      </c>
      <c r="I37" s="79">
        <v>114.5</v>
      </c>
      <c r="J37" s="79">
        <v>114.73</v>
      </c>
      <c r="K37" s="79">
        <v>122.04</v>
      </c>
      <c r="L37" s="79">
        <v>132.66</v>
      </c>
      <c r="M37" s="79">
        <v>136.37</v>
      </c>
      <c r="N37" s="79">
        <v>141.41</v>
      </c>
      <c r="O37" s="79">
        <v>145.27000000000001</v>
      </c>
      <c r="P37" s="79">
        <v>148.78</v>
      </c>
      <c r="Q37" s="79">
        <v>152.06</v>
      </c>
      <c r="R37" s="79">
        <v>155.24</v>
      </c>
      <c r="S37" s="79">
        <v>158.21</v>
      </c>
      <c r="T37" s="79">
        <v>160.93</v>
      </c>
      <c r="U37" s="79">
        <v>163.08000000000001</v>
      </c>
      <c r="V37" s="79">
        <v>164.64</v>
      </c>
      <c r="W37" s="79">
        <v>165.77</v>
      </c>
      <c r="X37" s="79">
        <v>166.65</v>
      </c>
      <c r="Y37" s="79">
        <v>167.42</v>
      </c>
      <c r="Z37" s="79">
        <v>168.38</v>
      </c>
      <c r="AA37" s="79">
        <v>169.54</v>
      </c>
      <c r="AB37" s="79">
        <v>170.85</v>
      </c>
      <c r="AC37" s="79">
        <v>172.35</v>
      </c>
      <c r="AD37" s="79">
        <v>173.85</v>
      </c>
      <c r="AE37" s="79">
        <v>175.26</v>
      </c>
      <c r="AF37" s="79">
        <v>176.6</v>
      </c>
      <c r="AG37" s="79">
        <v>177.81</v>
      </c>
      <c r="AH37" s="79">
        <v>178.95</v>
      </c>
      <c r="AI37" s="79">
        <v>180.02</v>
      </c>
      <c r="AJ37" s="79">
        <v>181.07</v>
      </c>
      <c r="AK37" s="79">
        <v>182.18</v>
      </c>
    </row>
    <row r="38" spans="1:37" x14ac:dyDescent="0.25">
      <c r="A38" s="79" t="s">
        <v>400</v>
      </c>
      <c r="B38" s="79">
        <v>0</v>
      </c>
      <c r="C38" s="79">
        <v>0</v>
      </c>
      <c r="D38" s="79">
        <v>0</v>
      </c>
      <c r="E38" s="79">
        <v>0</v>
      </c>
      <c r="F38" s="79">
        <v>0</v>
      </c>
      <c r="G38" s="79">
        <v>0</v>
      </c>
      <c r="H38" s="79">
        <v>0.03</v>
      </c>
      <c r="I38" s="79">
        <v>0.25</v>
      </c>
      <c r="J38" s="79">
        <v>0.79</v>
      </c>
      <c r="K38" s="79">
        <v>1.84</v>
      </c>
      <c r="L38" s="79">
        <v>2.66</v>
      </c>
      <c r="M38" s="79">
        <v>3.2</v>
      </c>
      <c r="N38" s="79">
        <v>3.77</v>
      </c>
      <c r="O38" s="79">
        <v>4.25</v>
      </c>
      <c r="P38" s="79">
        <v>4.7</v>
      </c>
      <c r="Q38" s="79">
        <v>5.13</v>
      </c>
      <c r="R38" s="79">
        <v>5.55</v>
      </c>
      <c r="S38" s="79">
        <v>5.95</v>
      </c>
      <c r="T38" s="79">
        <v>6.35</v>
      </c>
      <c r="U38" s="79">
        <v>6.74</v>
      </c>
      <c r="V38" s="79">
        <v>7.08</v>
      </c>
      <c r="W38" s="79">
        <v>7.39</v>
      </c>
      <c r="X38" s="79">
        <v>7.71</v>
      </c>
      <c r="Y38" s="79">
        <v>8.02</v>
      </c>
      <c r="Z38" s="79">
        <v>8.3000000000000007</v>
      </c>
      <c r="AA38" s="79">
        <v>8.64</v>
      </c>
      <c r="AB38" s="79">
        <v>8.9499999999999993</v>
      </c>
      <c r="AC38" s="79">
        <v>9.2899999999999991</v>
      </c>
      <c r="AD38" s="79">
        <v>9.6300000000000008</v>
      </c>
      <c r="AE38" s="79">
        <v>9.94</v>
      </c>
      <c r="AF38" s="79">
        <v>10.28</v>
      </c>
      <c r="AG38" s="79">
        <v>10.59</v>
      </c>
      <c r="AH38" s="79">
        <v>10.91</v>
      </c>
      <c r="AI38" s="79">
        <v>11.19</v>
      </c>
      <c r="AJ38" s="79">
        <v>11.5</v>
      </c>
      <c r="AK38" s="79">
        <v>11.81</v>
      </c>
    </row>
    <row r="39" spans="1:37" x14ac:dyDescent="0.25">
      <c r="A39" s="79" t="s">
        <v>401</v>
      </c>
      <c r="B39" s="79">
        <v>8.5</v>
      </c>
      <c r="C39" s="79">
        <v>17</v>
      </c>
      <c r="D39" s="79">
        <v>19.829999999999998</v>
      </c>
      <c r="E39" s="79">
        <v>22.66</v>
      </c>
      <c r="F39" s="79">
        <v>22.66</v>
      </c>
      <c r="G39" s="79">
        <v>25.52</v>
      </c>
      <c r="H39" s="79">
        <v>24.45</v>
      </c>
      <c r="I39" s="79">
        <v>22.32</v>
      </c>
      <c r="J39" s="79">
        <v>21.1</v>
      </c>
      <c r="K39" s="79">
        <v>19.66</v>
      </c>
      <c r="L39" s="79">
        <v>18.13</v>
      </c>
      <c r="M39" s="79">
        <v>16.57</v>
      </c>
      <c r="N39" s="79">
        <v>15.18</v>
      </c>
      <c r="O39" s="79">
        <v>13.94</v>
      </c>
      <c r="P39" s="79">
        <v>12.8</v>
      </c>
      <c r="Q39" s="79">
        <v>11.76</v>
      </c>
      <c r="R39" s="79">
        <v>10.82</v>
      </c>
      <c r="S39" s="79">
        <v>9.9700000000000006</v>
      </c>
      <c r="T39" s="79">
        <v>9.18</v>
      </c>
      <c r="U39" s="79">
        <v>8.4700000000000006</v>
      </c>
      <c r="V39" s="79">
        <v>7.85</v>
      </c>
      <c r="W39" s="79">
        <v>7.25</v>
      </c>
      <c r="X39" s="79">
        <v>6.71</v>
      </c>
      <c r="Y39" s="79">
        <v>6.23</v>
      </c>
      <c r="Z39" s="79">
        <v>5.78</v>
      </c>
      <c r="AA39" s="79">
        <v>5.38</v>
      </c>
      <c r="AB39" s="79">
        <v>5.01</v>
      </c>
      <c r="AC39" s="79">
        <v>4.67</v>
      </c>
      <c r="AD39" s="79">
        <v>4.3600000000000003</v>
      </c>
      <c r="AE39" s="79">
        <v>4.08</v>
      </c>
      <c r="AF39" s="79">
        <v>3.82</v>
      </c>
      <c r="AG39" s="79">
        <v>3.6</v>
      </c>
      <c r="AH39" s="79">
        <v>3.4</v>
      </c>
      <c r="AI39" s="79">
        <v>3.2</v>
      </c>
      <c r="AJ39" s="79">
        <v>3.03</v>
      </c>
      <c r="AK39" s="79">
        <v>2.86</v>
      </c>
    </row>
    <row r="41" spans="1:37" ht="18.75" x14ac:dyDescent="0.3">
      <c r="A41" s="80" t="s">
        <v>338</v>
      </c>
    </row>
    <row r="42" spans="1:37" x14ac:dyDescent="0.25">
      <c r="A42" s="79" t="s">
        <v>314</v>
      </c>
      <c r="B42" s="79" t="s">
        <v>313</v>
      </c>
      <c r="C42" s="79" t="s">
        <v>312</v>
      </c>
      <c r="D42" s="79" t="s">
        <v>311</v>
      </c>
      <c r="E42" s="79" t="s">
        <v>310</v>
      </c>
      <c r="F42" s="79" t="s">
        <v>309</v>
      </c>
      <c r="G42" s="79" t="s">
        <v>308</v>
      </c>
      <c r="H42" s="79" t="s">
        <v>307</v>
      </c>
      <c r="I42" s="79" t="s">
        <v>306</v>
      </c>
      <c r="J42" s="79" t="s">
        <v>305</v>
      </c>
      <c r="K42" s="79" t="s">
        <v>304</v>
      </c>
      <c r="L42" s="79" t="s">
        <v>303</v>
      </c>
      <c r="M42" s="79" t="s">
        <v>302</v>
      </c>
      <c r="N42" s="79" t="s">
        <v>301</v>
      </c>
      <c r="O42" s="79" t="s">
        <v>300</v>
      </c>
      <c r="P42" s="79" t="s">
        <v>299</v>
      </c>
      <c r="Q42" s="79" t="s">
        <v>298</v>
      </c>
      <c r="R42" s="79" t="s">
        <v>297</v>
      </c>
      <c r="S42" s="79" t="s">
        <v>296</v>
      </c>
      <c r="T42" s="79" t="s">
        <v>295</v>
      </c>
      <c r="U42" s="79" t="s">
        <v>294</v>
      </c>
      <c r="V42" s="79" t="s">
        <v>293</v>
      </c>
      <c r="W42" s="79" t="s">
        <v>292</v>
      </c>
      <c r="X42" s="79" t="s">
        <v>291</v>
      </c>
      <c r="Y42" s="79" t="s">
        <v>290</v>
      </c>
      <c r="Z42" s="79" t="s">
        <v>289</v>
      </c>
      <c r="AA42" s="79" t="s">
        <v>288</v>
      </c>
      <c r="AB42" s="79" t="s">
        <v>287</v>
      </c>
      <c r="AC42" s="79" t="s">
        <v>286</v>
      </c>
      <c r="AD42" s="79" t="s">
        <v>285</v>
      </c>
      <c r="AE42" s="79" t="s">
        <v>284</v>
      </c>
      <c r="AF42" s="79" t="s">
        <v>283</v>
      </c>
      <c r="AG42" s="79" t="s">
        <v>282</v>
      </c>
      <c r="AH42" s="79" t="s">
        <v>281</v>
      </c>
      <c r="AI42" s="79" t="s">
        <v>280</v>
      </c>
      <c r="AJ42" s="79" t="s">
        <v>279</v>
      </c>
      <c r="AK42" s="79" t="s">
        <v>278</v>
      </c>
    </row>
    <row r="43" spans="1:37" x14ac:dyDescent="0.25">
      <c r="A43" s="79" t="s">
        <v>41</v>
      </c>
      <c r="B43" s="79">
        <v>73.650000000000006</v>
      </c>
      <c r="C43" s="79">
        <v>73.650000000000006</v>
      </c>
      <c r="D43" s="79">
        <v>73.650000000000006</v>
      </c>
      <c r="E43" s="79">
        <v>76.489999999999995</v>
      </c>
      <c r="F43" s="79">
        <v>76.489999999999995</v>
      </c>
      <c r="G43" s="79">
        <v>81.92</v>
      </c>
      <c r="H43" s="79">
        <v>97.42</v>
      </c>
      <c r="I43" s="79">
        <v>97.59</v>
      </c>
      <c r="J43" s="79">
        <v>105.92</v>
      </c>
      <c r="K43" s="79">
        <v>113.42</v>
      </c>
      <c r="L43" s="79">
        <v>124.84</v>
      </c>
      <c r="M43" s="79">
        <v>129.57</v>
      </c>
      <c r="N43" s="79">
        <v>136.09</v>
      </c>
      <c r="O43" s="79">
        <v>142.15</v>
      </c>
      <c r="P43" s="79">
        <v>151.1</v>
      </c>
      <c r="Q43" s="79">
        <v>163.62</v>
      </c>
      <c r="R43" s="79">
        <v>178.27</v>
      </c>
      <c r="S43" s="79">
        <v>191.86</v>
      </c>
      <c r="T43" s="79">
        <v>203</v>
      </c>
      <c r="U43" s="79">
        <v>210.79</v>
      </c>
      <c r="V43" s="79">
        <v>215.29</v>
      </c>
      <c r="W43" s="79">
        <v>218.69</v>
      </c>
      <c r="X43" s="79">
        <v>220.42</v>
      </c>
      <c r="Y43" s="79">
        <v>220.28</v>
      </c>
      <c r="Z43" s="79">
        <v>220.33</v>
      </c>
      <c r="AA43" s="79">
        <v>221.04</v>
      </c>
      <c r="AB43" s="79">
        <v>222.09</v>
      </c>
      <c r="AC43" s="79">
        <v>223.48</v>
      </c>
      <c r="AD43" s="79">
        <v>224.84</v>
      </c>
      <c r="AE43" s="79">
        <v>226.11</v>
      </c>
      <c r="AF43" s="79">
        <v>227.27</v>
      </c>
      <c r="AG43" s="79">
        <v>228.24</v>
      </c>
      <c r="AH43" s="79">
        <v>229.12</v>
      </c>
      <c r="AI43" s="79">
        <v>229.85</v>
      </c>
      <c r="AJ43" s="79">
        <v>230.45</v>
      </c>
      <c r="AK43" s="79">
        <v>231.1</v>
      </c>
    </row>
    <row r="44" spans="1:37" x14ac:dyDescent="0.25">
      <c r="A44" s="79" t="s">
        <v>397</v>
      </c>
      <c r="B44" s="79">
        <v>2.83</v>
      </c>
      <c r="C44" s="79">
        <v>2.83</v>
      </c>
      <c r="D44" s="79">
        <v>2.83</v>
      </c>
      <c r="E44" s="79">
        <v>0</v>
      </c>
      <c r="F44" s="79">
        <v>0</v>
      </c>
      <c r="G44" s="79">
        <v>1.02</v>
      </c>
      <c r="H44" s="79">
        <v>0.93</v>
      </c>
      <c r="I44" s="79">
        <v>1.02</v>
      </c>
      <c r="J44" s="79">
        <v>1.05</v>
      </c>
      <c r="K44" s="79">
        <v>1.22</v>
      </c>
      <c r="L44" s="79">
        <v>1.22</v>
      </c>
      <c r="M44" s="79">
        <v>1.19</v>
      </c>
      <c r="N44" s="79">
        <v>1.19</v>
      </c>
      <c r="O44" s="79">
        <v>1.1599999999999999</v>
      </c>
      <c r="P44" s="79">
        <v>1.05</v>
      </c>
      <c r="Q44" s="79">
        <v>0.96</v>
      </c>
      <c r="R44" s="79">
        <v>0.93</v>
      </c>
      <c r="S44" s="79">
        <v>0.93</v>
      </c>
      <c r="T44" s="79">
        <v>0.96</v>
      </c>
      <c r="U44" s="79">
        <v>0.99</v>
      </c>
      <c r="V44" s="79">
        <v>1.02</v>
      </c>
      <c r="W44" s="79">
        <v>1.02</v>
      </c>
      <c r="X44" s="79">
        <v>1.05</v>
      </c>
      <c r="Y44" s="79">
        <v>1.08</v>
      </c>
      <c r="Z44" s="79">
        <v>1.1000000000000001</v>
      </c>
      <c r="AA44" s="79">
        <v>1.1000000000000001</v>
      </c>
      <c r="AB44" s="79">
        <v>1.1000000000000001</v>
      </c>
      <c r="AC44" s="79">
        <v>1.1299999999999999</v>
      </c>
      <c r="AD44" s="79">
        <v>1.1299999999999999</v>
      </c>
      <c r="AE44" s="79">
        <v>1.1299999999999999</v>
      </c>
      <c r="AF44" s="79">
        <v>1.1299999999999999</v>
      </c>
      <c r="AG44" s="79">
        <v>1.1000000000000001</v>
      </c>
      <c r="AH44" s="79">
        <v>1.1000000000000001</v>
      </c>
      <c r="AI44" s="79">
        <v>1.1000000000000001</v>
      </c>
      <c r="AJ44" s="79">
        <v>1.08</v>
      </c>
      <c r="AK44" s="79">
        <v>1.08</v>
      </c>
    </row>
    <row r="45" spans="1:37" x14ac:dyDescent="0.25">
      <c r="A45" s="79" t="s">
        <v>398</v>
      </c>
      <c r="B45" s="79">
        <v>50.99</v>
      </c>
      <c r="C45" s="79">
        <v>50.99</v>
      </c>
      <c r="D45" s="79">
        <v>50.99</v>
      </c>
      <c r="E45" s="79">
        <v>50.99</v>
      </c>
      <c r="F45" s="79">
        <v>50.99</v>
      </c>
      <c r="G45" s="79">
        <v>42.66</v>
      </c>
      <c r="H45" s="79">
        <v>39.46</v>
      </c>
      <c r="I45" s="79">
        <v>32.1</v>
      </c>
      <c r="J45" s="79">
        <v>28.84</v>
      </c>
      <c r="K45" s="79">
        <v>25.5</v>
      </c>
      <c r="L45" s="79">
        <v>22.61</v>
      </c>
      <c r="M45" s="79">
        <v>20.54</v>
      </c>
      <c r="N45" s="79">
        <v>18.75</v>
      </c>
      <c r="O45" s="79">
        <v>17.190000000000001</v>
      </c>
      <c r="P45" s="79">
        <v>15.84</v>
      </c>
      <c r="Q45" s="79">
        <v>14.62</v>
      </c>
      <c r="R45" s="79">
        <v>13.51</v>
      </c>
      <c r="S45" s="79">
        <v>12.55</v>
      </c>
      <c r="T45" s="79">
        <v>11.7</v>
      </c>
      <c r="U45" s="79">
        <v>10.93</v>
      </c>
      <c r="V45" s="79">
        <v>10.23</v>
      </c>
      <c r="W45" s="79">
        <v>9.6</v>
      </c>
      <c r="X45" s="79">
        <v>9.0399999999999991</v>
      </c>
      <c r="Y45" s="79">
        <v>8.5299999999999994</v>
      </c>
      <c r="Z45" s="79">
        <v>8.1</v>
      </c>
      <c r="AA45" s="79">
        <v>7.71</v>
      </c>
      <c r="AB45" s="79">
        <v>7.37</v>
      </c>
      <c r="AC45" s="79">
        <v>7.08</v>
      </c>
      <c r="AD45" s="79">
        <v>6.83</v>
      </c>
      <c r="AE45" s="79">
        <v>6.6</v>
      </c>
      <c r="AF45" s="79">
        <v>6.4</v>
      </c>
      <c r="AG45" s="79">
        <v>6.2</v>
      </c>
      <c r="AH45" s="79">
        <v>6.06</v>
      </c>
      <c r="AI45" s="79">
        <v>5.92</v>
      </c>
      <c r="AJ45" s="79">
        <v>5.78</v>
      </c>
      <c r="AK45" s="79">
        <v>5.69</v>
      </c>
    </row>
    <row r="46" spans="1:37" x14ac:dyDescent="0.25">
      <c r="A46" s="79" t="s">
        <v>399</v>
      </c>
      <c r="B46" s="79">
        <v>19.829999999999998</v>
      </c>
      <c r="C46" s="79">
        <v>22.66</v>
      </c>
      <c r="D46" s="79">
        <v>22.66</v>
      </c>
      <c r="E46" s="79">
        <v>25.5</v>
      </c>
      <c r="F46" s="79">
        <v>22.66</v>
      </c>
      <c r="G46" s="79">
        <v>33.26</v>
      </c>
      <c r="H46" s="79">
        <v>45.92</v>
      </c>
      <c r="I46" s="79">
        <v>51.61</v>
      </c>
      <c r="J46" s="79">
        <v>59.94</v>
      </c>
      <c r="K46" s="79">
        <v>72.12</v>
      </c>
      <c r="L46" s="79">
        <v>87.5</v>
      </c>
      <c r="M46" s="79">
        <v>95.61</v>
      </c>
      <c r="N46" s="79">
        <v>104.84</v>
      </c>
      <c r="O46" s="79">
        <v>112.86</v>
      </c>
      <c r="P46" s="79">
        <v>122.57</v>
      </c>
      <c r="Q46" s="79">
        <v>134.56</v>
      </c>
      <c r="R46" s="79">
        <v>147.84</v>
      </c>
      <c r="S46" s="79">
        <v>160.11000000000001</v>
      </c>
      <c r="T46" s="79">
        <v>170.31</v>
      </c>
      <c r="U46" s="79">
        <v>177.81</v>
      </c>
      <c r="V46" s="79">
        <v>182.6</v>
      </c>
      <c r="W46" s="79">
        <v>186.37</v>
      </c>
      <c r="X46" s="79">
        <v>188.69</v>
      </c>
      <c r="Y46" s="79">
        <v>189.51</v>
      </c>
      <c r="Z46" s="79">
        <v>190.39</v>
      </c>
      <c r="AA46" s="79">
        <v>191.75</v>
      </c>
      <c r="AB46" s="79">
        <v>193.28</v>
      </c>
      <c r="AC46" s="79">
        <v>194.98</v>
      </c>
      <c r="AD46" s="79">
        <v>196.65</v>
      </c>
      <c r="AE46" s="79">
        <v>198.15</v>
      </c>
      <c r="AF46" s="79">
        <v>199.51</v>
      </c>
      <c r="AG46" s="79">
        <v>200.67</v>
      </c>
      <c r="AH46" s="79">
        <v>201.67</v>
      </c>
      <c r="AI46" s="79">
        <v>202.52</v>
      </c>
      <c r="AJ46" s="79">
        <v>203.25</v>
      </c>
      <c r="AK46" s="79">
        <v>203.93</v>
      </c>
    </row>
    <row r="47" spans="1:37" x14ac:dyDescent="0.25">
      <c r="A47" s="79" t="s">
        <v>400</v>
      </c>
      <c r="B47" s="79">
        <v>0</v>
      </c>
      <c r="C47" s="79">
        <v>0</v>
      </c>
      <c r="D47" s="79">
        <v>0</v>
      </c>
      <c r="E47" s="79">
        <v>0</v>
      </c>
      <c r="F47" s="79">
        <v>2.83</v>
      </c>
      <c r="G47" s="79">
        <v>4.99</v>
      </c>
      <c r="H47" s="79">
        <v>11.1</v>
      </c>
      <c r="I47" s="79">
        <v>12.86</v>
      </c>
      <c r="J47" s="79">
        <v>16.09</v>
      </c>
      <c r="K47" s="79">
        <v>14.59</v>
      </c>
      <c r="L47" s="79">
        <v>13.51</v>
      </c>
      <c r="M47" s="79">
        <v>12.24</v>
      </c>
      <c r="N47" s="79">
        <v>11.3</v>
      </c>
      <c r="O47" s="79">
        <v>10.93</v>
      </c>
      <c r="P47" s="79">
        <v>11.64</v>
      </c>
      <c r="Q47" s="79">
        <v>13.48</v>
      </c>
      <c r="R47" s="79">
        <v>15.98</v>
      </c>
      <c r="S47" s="79">
        <v>18.27</v>
      </c>
      <c r="T47" s="79">
        <v>20.03</v>
      </c>
      <c r="U47" s="79">
        <v>21.05</v>
      </c>
      <c r="V47" s="79">
        <v>21.44</v>
      </c>
      <c r="W47" s="79">
        <v>21.7</v>
      </c>
      <c r="X47" s="79">
        <v>21.64</v>
      </c>
      <c r="Y47" s="79">
        <v>21.16</v>
      </c>
      <c r="Z47" s="79">
        <v>20.74</v>
      </c>
      <c r="AA47" s="79">
        <v>20.48</v>
      </c>
      <c r="AB47" s="79">
        <v>20.34</v>
      </c>
      <c r="AC47" s="79">
        <v>20.28</v>
      </c>
      <c r="AD47" s="79">
        <v>20.23</v>
      </c>
      <c r="AE47" s="79">
        <v>20.23</v>
      </c>
      <c r="AF47" s="79">
        <v>20.23</v>
      </c>
      <c r="AG47" s="79">
        <v>20.25</v>
      </c>
      <c r="AH47" s="79">
        <v>20.28</v>
      </c>
      <c r="AI47" s="79">
        <v>20.309999999999999</v>
      </c>
      <c r="AJ47" s="79">
        <v>20.34</v>
      </c>
      <c r="AK47" s="79">
        <v>20.399999999999999</v>
      </c>
    </row>
    <row r="49" spans="1:37" ht="18.75" x14ac:dyDescent="0.3">
      <c r="A49" s="80" t="s">
        <v>340</v>
      </c>
    </row>
    <row r="50" spans="1:37" x14ac:dyDescent="0.25">
      <c r="A50" s="79" t="s">
        <v>314</v>
      </c>
      <c r="B50" s="79" t="s">
        <v>313</v>
      </c>
      <c r="C50" s="79" t="s">
        <v>312</v>
      </c>
      <c r="D50" s="79" t="s">
        <v>311</v>
      </c>
      <c r="E50" s="79" t="s">
        <v>310</v>
      </c>
      <c r="F50" s="79" t="s">
        <v>309</v>
      </c>
      <c r="G50" s="79" t="s">
        <v>308</v>
      </c>
      <c r="H50" s="79" t="s">
        <v>307</v>
      </c>
      <c r="I50" s="79" t="s">
        <v>306</v>
      </c>
      <c r="J50" s="79" t="s">
        <v>305</v>
      </c>
      <c r="K50" s="79" t="s">
        <v>304</v>
      </c>
      <c r="L50" s="79" t="s">
        <v>303</v>
      </c>
      <c r="M50" s="79" t="s">
        <v>302</v>
      </c>
      <c r="N50" s="79" t="s">
        <v>301</v>
      </c>
      <c r="O50" s="79" t="s">
        <v>300</v>
      </c>
      <c r="P50" s="79" t="s">
        <v>299</v>
      </c>
      <c r="Q50" s="79" t="s">
        <v>298</v>
      </c>
      <c r="R50" s="79" t="s">
        <v>297</v>
      </c>
      <c r="S50" s="79" t="s">
        <v>296</v>
      </c>
      <c r="T50" s="79" t="s">
        <v>295</v>
      </c>
      <c r="U50" s="79" t="s">
        <v>294</v>
      </c>
      <c r="V50" s="79" t="s">
        <v>293</v>
      </c>
      <c r="W50" s="79" t="s">
        <v>292</v>
      </c>
      <c r="X50" s="79" t="s">
        <v>291</v>
      </c>
      <c r="Y50" s="79" t="s">
        <v>290</v>
      </c>
      <c r="Z50" s="79" t="s">
        <v>289</v>
      </c>
      <c r="AA50" s="79" t="s">
        <v>288</v>
      </c>
      <c r="AB50" s="79" t="s">
        <v>287</v>
      </c>
      <c r="AC50" s="79" t="s">
        <v>286</v>
      </c>
      <c r="AD50" s="79" t="s">
        <v>285</v>
      </c>
      <c r="AE50" s="79" t="s">
        <v>284</v>
      </c>
      <c r="AF50" s="79" t="s">
        <v>283</v>
      </c>
      <c r="AG50" s="79" t="s">
        <v>282</v>
      </c>
      <c r="AH50" s="79" t="s">
        <v>281</v>
      </c>
      <c r="AI50" s="79" t="s">
        <v>280</v>
      </c>
      <c r="AJ50" s="79" t="s">
        <v>279</v>
      </c>
      <c r="AK50" s="79" t="s">
        <v>278</v>
      </c>
    </row>
    <row r="51" spans="1:37" x14ac:dyDescent="0.25">
      <c r="A51" s="79" t="s">
        <v>41</v>
      </c>
      <c r="B51" s="79">
        <v>19.829999999999998</v>
      </c>
      <c r="C51" s="79">
        <v>19.829999999999998</v>
      </c>
      <c r="D51" s="79">
        <v>19.829999999999998</v>
      </c>
      <c r="E51" s="79">
        <v>17</v>
      </c>
      <c r="F51" s="79">
        <v>17</v>
      </c>
      <c r="G51" s="79">
        <v>14.25</v>
      </c>
      <c r="H51" s="79">
        <v>13.03</v>
      </c>
      <c r="I51" s="79">
        <v>12.12</v>
      </c>
      <c r="J51" s="79">
        <v>11.73</v>
      </c>
      <c r="K51" s="79">
        <v>12.32</v>
      </c>
      <c r="L51" s="79">
        <v>11.87</v>
      </c>
      <c r="M51" s="79">
        <v>11.3</v>
      </c>
      <c r="N51" s="79">
        <v>10.79</v>
      </c>
      <c r="O51" s="79">
        <v>10.34</v>
      </c>
      <c r="P51" s="79">
        <v>9.94</v>
      </c>
      <c r="Q51" s="79">
        <v>9.57</v>
      </c>
      <c r="R51" s="79">
        <v>9.26</v>
      </c>
      <c r="S51" s="79">
        <v>8.98</v>
      </c>
      <c r="T51" s="79">
        <v>8.6999999999999993</v>
      </c>
      <c r="U51" s="79">
        <v>8.4700000000000006</v>
      </c>
      <c r="V51" s="79">
        <v>8.19</v>
      </c>
      <c r="W51" s="79">
        <v>7.93</v>
      </c>
      <c r="X51" s="79">
        <v>7.71</v>
      </c>
      <c r="Y51" s="79">
        <v>7.45</v>
      </c>
      <c r="Z51" s="79">
        <v>7.22</v>
      </c>
      <c r="AA51" s="79">
        <v>7.03</v>
      </c>
      <c r="AB51" s="79">
        <v>6.86</v>
      </c>
      <c r="AC51" s="79">
        <v>6.66</v>
      </c>
      <c r="AD51" s="79">
        <v>6.52</v>
      </c>
      <c r="AE51" s="79">
        <v>6.35</v>
      </c>
      <c r="AF51" s="79">
        <v>6.23</v>
      </c>
      <c r="AG51" s="79">
        <v>6.09</v>
      </c>
      <c r="AH51" s="79">
        <v>5.95</v>
      </c>
      <c r="AI51" s="79">
        <v>5.86</v>
      </c>
      <c r="AJ51" s="79">
        <v>5.75</v>
      </c>
      <c r="AK51" s="79">
        <v>5.64</v>
      </c>
    </row>
    <row r="52" spans="1:37" x14ac:dyDescent="0.25">
      <c r="A52" s="79" t="s">
        <v>397</v>
      </c>
      <c r="B52" s="79">
        <v>2.83</v>
      </c>
      <c r="C52" s="79">
        <v>2.83</v>
      </c>
      <c r="D52" s="79">
        <v>2.83</v>
      </c>
      <c r="E52" s="79">
        <v>2.83</v>
      </c>
      <c r="F52" s="79">
        <v>2.83</v>
      </c>
      <c r="G52" s="79">
        <v>3.85</v>
      </c>
      <c r="H52" s="79">
        <v>4.1900000000000004</v>
      </c>
      <c r="I52" s="79">
        <v>3.74</v>
      </c>
      <c r="J52" s="79">
        <v>4.1100000000000003</v>
      </c>
      <c r="K52" s="79">
        <v>5.16</v>
      </c>
      <c r="L52" s="79">
        <v>5.47</v>
      </c>
      <c r="M52" s="79">
        <v>5.5</v>
      </c>
      <c r="N52" s="79">
        <v>5.5</v>
      </c>
      <c r="O52" s="79">
        <v>5.52</v>
      </c>
      <c r="P52" s="79">
        <v>5.55</v>
      </c>
      <c r="Q52" s="79">
        <v>5.55</v>
      </c>
      <c r="R52" s="79">
        <v>5.58</v>
      </c>
      <c r="S52" s="79">
        <v>5.61</v>
      </c>
      <c r="T52" s="79">
        <v>5.64</v>
      </c>
      <c r="U52" s="79">
        <v>5.64</v>
      </c>
      <c r="V52" s="79">
        <v>5.61</v>
      </c>
      <c r="W52" s="79">
        <v>5.55</v>
      </c>
      <c r="X52" s="79">
        <v>5.5</v>
      </c>
      <c r="Y52" s="79">
        <v>5.41</v>
      </c>
      <c r="Z52" s="79">
        <v>5.35</v>
      </c>
      <c r="AA52" s="79">
        <v>5.3</v>
      </c>
      <c r="AB52" s="79">
        <v>5.24</v>
      </c>
      <c r="AC52" s="79">
        <v>5.16</v>
      </c>
      <c r="AD52" s="79">
        <v>5.0999999999999996</v>
      </c>
      <c r="AE52" s="79">
        <v>5.04</v>
      </c>
      <c r="AF52" s="79">
        <v>4.99</v>
      </c>
      <c r="AG52" s="79">
        <v>4.93</v>
      </c>
      <c r="AH52" s="79">
        <v>4.87</v>
      </c>
      <c r="AI52" s="79">
        <v>4.82</v>
      </c>
      <c r="AJ52" s="79">
        <v>4.76</v>
      </c>
      <c r="AK52" s="79">
        <v>4.7</v>
      </c>
    </row>
    <row r="53" spans="1:37" x14ac:dyDescent="0.25">
      <c r="A53" s="79" t="s">
        <v>398</v>
      </c>
      <c r="B53" s="79">
        <v>5.67</v>
      </c>
      <c r="C53" s="79">
        <v>5.67</v>
      </c>
      <c r="D53" s="79">
        <v>5.67</v>
      </c>
      <c r="E53" s="79">
        <v>5.67</v>
      </c>
      <c r="F53" s="79">
        <v>2.83</v>
      </c>
      <c r="G53" s="79">
        <v>2.95</v>
      </c>
      <c r="H53" s="79">
        <v>2.41</v>
      </c>
      <c r="I53" s="79">
        <v>2.0699999999999998</v>
      </c>
      <c r="J53" s="79">
        <v>1.84</v>
      </c>
      <c r="K53" s="79">
        <v>1.7</v>
      </c>
      <c r="L53" s="79">
        <v>1.44</v>
      </c>
      <c r="M53" s="79">
        <v>1.33</v>
      </c>
      <c r="N53" s="79">
        <v>1.25</v>
      </c>
      <c r="O53" s="79">
        <v>1.1599999999999999</v>
      </c>
      <c r="P53" s="79">
        <v>1.08</v>
      </c>
      <c r="Q53" s="79">
        <v>1.02</v>
      </c>
      <c r="R53" s="79">
        <v>0.96</v>
      </c>
      <c r="S53" s="79">
        <v>0.91</v>
      </c>
      <c r="T53" s="79">
        <v>0.85</v>
      </c>
      <c r="U53" s="79">
        <v>0.82</v>
      </c>
      <c r="V53" s="79">
        <v>0.76</v>
      </c>
      <c r="W53" s="79">
        <v>0.74</v>
      </c>
      <c r="X53" s="79">
        <v>0.71</v>
      </c>
      <c r="Y53" s="79">
        <v>0.68</v>
      </c>
      <c r="Z53" s="79">
        <v>0.65</v>
      </c>
      <c r="AA53" s="79">
        <v>0.62</v>
      </c>
      <c r="AB53" s="79">
        <v>0.62</v>
      </c>
      <c r="AC53" s="79">
        <v>0.59</v>
      </c>
      <c r="AD53" s="79">
        <v>0.59</v>
      </c>
      <c r="AE53" s="79">
        <v>0.56999999999999995</v>
      </c>
      <c r="AF53" s="79">
        <v>0.56999999999999995</v>
      </c>
      <c r="AG53" s="79">
        <v>0.56999999999999995</v>
      </c>
      <c r="AH53" s="79">
        <v>0.54</v>
      </c>
      <c r="AI53" s="79">
        <v>0.54</v>
      </c>
      <c r="AJ53" s="79">
        <v>0.54</v>
      </c>
      <c r="AK53" s="79">
        <v>0.54</v>
      </c>
    </row>
    <row r="54" spans="1:37" x14ac:dyDescent="0.25">
      <c r="A54" s="79" t="s">
        <v>399</v>
      </c>
      <c r="B54" s="79">
        <v>11.33</v>
      </c>
      <c r="C54" s="79">
        <v>11.33</v>
      </c>
      <c r="D54" s="79">
        <v>11.33</v>
      </c>
      <c r="E54" s="79">
        <v>8.5</v>
      </c>
      <c r="F54" s="79">
        <v>8.5</v>
      </c>
      <c r="G54" s="79">
        <v>7.45</v>
      </c>
      <c r="H54" s="79">
        <v>6.43</v>
      </c>
      <c r="I54" s="79">
        <v>6.32</v>
      </c>
      <c r="J54" s="79">
        <v>5.78</v>
      </c>
      <c r="K54" s="79">
        <v>5.47</v>
      </c>
      <c r="L54" s="79">
        <v>4.96</v>
      </c>
      <c r="M54" s="79">
        <v>4.4800000000000004</v>
      </c>
      <c r="N54" s="79">
        <v>4.05</v>
      </c>
      <c r="O54" s="79">
        <v>3.65</v>
      </c>
      <c r="P54" s="79">
        <v>3.31</v>
      </c>
      <c r="Q54" s="79">
        <v>3</v>
      </c>
      <c r="R54" s="79">
        <v>2.72</v>
      </c>
      <c r="S54" s="79">
        <v>2.46</v>
      </c>
      <c r="T54" s="79">
        <v>2.21</v>
      </c>
      <c r="U54" s="79">
        <v>2.0099999999999998</v>
      </c>
      <c r="V54" s="79">
        <v>1.81</v>
      </c>
      <c r="W54" s="79">
        <v>1.64</v>
      </c>
      <c r="X54" s="79">
        <v>1.5</v>
      </c>
      <c r="Y54" s="79">
        <v>1.36</v>
      </c>
      <c r="Z54" s="79">
        <v>1.22</v>
      </c>
      <c r="AA54" s="79">
        <v>1.1000000000000001</v>
      </c>
      <c r="AB54" s="79">
        <v>0.99</v>
      </c>
      <c r="AC54" s="79">
        <v>0.91</v>
      </c>
      <c r="AD54" s="79">
        <v>0.82</v>
      </c>
      <c r="AE54" s="79">
        <v>0.74</v>
      </c>
      <c r="AF54" s="79">
        <v>0.68</v>
      </c>
      <c r="AG54" s="79">
        <v>0.59</v>
      </c>
      <c r="AH54" s="79">
        <v>0.54</v>
      </c>
      <c r="AI54" s="79">
        <v>0.51</v>
      </c>
      <c r="AJ54" s="79">
        <v>0.45</v>
      </c>
      <c r="AK54" s="79">
        <v>0.4</v>
      </c>
    </row>
    <row r="56" spans="1:37" ht="18.75" x14ac:dyDescent="0.3">
      <c r="A56" s="80" t="s">
        <v>341</v>
      </c>
    </row>
    <row r="57" spans="1:37" x14ac:dyDescent="0.25">
      <c r="A57" s="79" t="s">
        <v>314</v>
      </c>
      <c r="B57" s="79" t="s">
        <v>313</v>
      </c>
      <c r="C57" s="79" t="s">
        <v>312</v>
      </c>
      <c r="D57" s="79" t="s">
        <v>311</v>
      </c>
      <c r="E57" s="79" t="s">
        <v>310</v>
      </c>
      <c r="F57" s="79" t="s">
        <v>309</v>
      </c>
      <c r="G57" s="79" t="s">
        <v>308</v>
      </c>
      <c r="H57" s="79" t="s">
        <v>307</v>
      </c>
      <c r="I57" s="79" t="s">
        <v>306</v>
      </c>
      <c r="J57" s="79" t="s">
        <v>305</v>
      </c>
      <c r="K57" s="79" t="s">
        <v>304</v>
      </c>
      <c r="L57" s="79" t="s">
        <v>303</v>
      </c>
      <c r="M57" s="79" t="s">
        <v>302</v>
      </c>
      <c r="N57" s="79" t="s">
        <v>301</v>
      </c>
      <c r="O57" s="79" t="s">
        <v>300</v>
      </c>
      <c r="P57" s="79" t="s">
        <v>299</v>
      </c>
      <c r="Q57" s="79" t="s">
        <v>298</v>
      </c>
      <c r="R57" s="79" t="s">
        <v>297</v>
      </c>
      <c r="S57" s="79" t="s">
        <v>296</v>
      </c>
      <c r="T57" s="79" t="s">
        <v>295</v>
      </c>
      <c r="U57" s="79" t="s">
        <v>294</v>
      </c>
      <c r="V57" s="79" t="s">
        <v>293</v>
      </c>
      <c r="W57" s="79" t="s">
        <v>292</v>
      </c>
      <c r="X57" s="79" t="s">
        <v>291</v>
      </c>
      <c r="Y57" s="79" t="s">
        <v>290</v>
      </c>
      <c r="Z57" s="79" t="s">
        <v>289</v>
      </c>
      <c r="AA57" s="79" t="s">
        <v>288</v>
      </c>
      <c r="AB57" s="79" t="s">
        <v>287</v>
      </c>
      <c r="AC57" s="79" t="s">
        <v>286</v>
      </c>
      <c r="AD57" s="79" t="s">
        <v>285</v>
      </c>
      <c r="AE57" s="79" t="s">
        <v>284</v>
      </c>
      <c r="AF57" s="79" t="s">
        <v>283</v>
      </c>
      <c r="AG57" s="79" t="s">
        <v>282</v>
      </c>
      <c r="AH57" s="79" t="s">
        <v>281</v>
      </c>
      <c r="AI57" s="79" t="s">
        <v>280</v>
      </c>
      <c r="AJ57" s="79" t="s">
        <v>279</v>
      </c>
      <c r="AK57" s="79" t="s">
        <v>278</v>
      </c>
    </row>
    <row r="58" spans="1:37" x14ac:dyDescent="0.25">
      <c r="A58" s="79" t="s">
        <v>41</v>
      </c>
      <c r="B58" s="79">
        <v>0</v>
      </c>
      <c r="C58" s="79">
        <v>0</v>
      </c>
      <c r="D58" s="79">
        <v>0</v>
      </c>
      <c r="E58" s="79">
        <v>0</v>
      </c>
      <c r="F58" s="79">
        <v>0</v>
      </c>
      <c r="G58" s="79">
        <v>0.53</v>
      </c>
      <c r="H58" s="79">
        <v>0.48</v>
      </c>
      <c r="I58" s="79">
        <v>0.46</v>
      </c>
      <c r="J58" s="79">
        <v>0.34</v>
      </c>
      <c r="K58" s="79">
        <v>0.31</v>
      </c>
      <c r="L58" s="79">
        <v>0.28000000000000003</v>
      </c>
      <c r="M58" s="79">
        <v>0.23</v>
      </c>
      <c r="N58" s="79">
        <v>0.2</v>
      </c>
      <c r="O58" s="79">
        <v>0.17</v>
      </c>
      <c r="P58" s="79">
        <v>0.14000000000000001</v>
      </c>
      <c r="Q58" s="79">
        <v>0.14000000000000001</v>
      </c>
      <c r="R58" s="79">
        <v>0.11</v>
      </c>
      <c r="S58" s="79">
        <v>0.11</v>
      </c>
      <c r="T58" s="79">
        <v>0.08</v>
      </c>
      <c r="U58" s="79">
        <v>0.08</v>
      </c>
      <c r="V58" s="79">
        <v>0.06</v>
      </c>
      <c r="W58" s="79">
        <v>0.06</v>
      </c>
      <c r="X58" s="79">
        <v>0.06</v>
      </c>
      <c r="Y58" s="79">
        <v>0.06</v>
      </c>
      <c r="Z58" s="79">
        <v>0.03</v>
      </c>
      <c r="AA58" s="79">
        <v>0.03</v>
      </c>
      <c r="AB58" s="79">
        <v>0.03</v>
      </c>
      <c r="AC58" s="79">
        <v>0.03</v>
      </c>
      <c r="AD58" s="79">
        <v>0.03</v>
      </c>
      <c r="AE58" s="79">
        <v>0.03</v>
      </c>
      <c r="AF58" s="79">
        <v>0.03</v>
      </c>
      <c r="AG58" s="79">
        <v>0.03</v>
      </c>
      <c r="AH58" s="79">
        <v>0</v>
      </c>
      <c r="AI58" s="79">
        <v>0</v>
      </c>
      <c r="AJ58" s="79">
        <v>0</v>
      </c>
      <c r="AK58" s="79">
        <v>0</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K66"/>
  <sheetViews>
    <sheetView workbookViewId="0">
      <selection activeCell="E32" activeCellId="1" sqref="L11:AA11 E32"/>
    </sheetView>
  </sheetViews>
  <sheetFormatPr defaultColWidth="8.85546875" defaultRowHeight="15" x14ac:dyDescent="0.25"/>
  <cols>
    <col min="1" max="16384" width="8.85546875" style="79"/>
  </cols>
  <sheetData>
    <row r="1" spans="1:37" ht="21" x14ac:dyDescent="0.35">
      <c r="A1" s="81" t="s">
        <v>320</v>
      </c>
    </row>
    <row r="2" spans="1:37" ht="21" x14ac:dyDescent="0.35">
      <c r="A2" s="81" t="s">
        <v>323</v>
      </c>
    </row>
    <row r="3" spans="1:37" ht="21" x14ac:dyDescent="0.35">
      <c r="A3" s="81" t="s">
        <v>318</v>
      </c>
    </row>
    <row r="4" spans="1:37" ht="21" x14ac:dyDescent="0.35">
      <c r="A4" s="81" t="s">
        <v>324</v>
      </c>
    </row>
    <row r="7" spans="1:37" ht="18.75" x14ac:dyDescent="0.3">
      <c r="A7" s="80" t="s">
        <v>325</v>
      </c>
    </row>
    <row r="8" spans="1:37" x14ac:dyDescent="0.25">
      <c r="A8" s="79" t="s">
        <v>314</v>
      </c>
      <c r="B8" s="79" t="s">
        <v>313</v>
      </c>
      <c r="C8" s="79" t="s">
        <v>312</v>
      </c>
      <c r="D8" s="79" t="s">
        <v>311</v>
      </c>
      <c r="E8" s="79" t="s">
        <v>310</v>
      </c>
      <c r="F8" s="79" t="s">
        <v>309</v>
      </c>
      <c r="G8" s="79" t="s">
        <v>308</v>
      </c>
      <c r="H8" s="79" t="s">
        <v>307</v>
      </c>
      <c r="I8" s="79" t="s">
        <v>306</v>
      </c>
      <c r="J8" s="79" t="s">
        <v>305</v>
      </c>
      <c r="K8" s="79" t="s">
        <v>304</v>
      </c>
      <c r="L8" s="79" t="s">
        <v>303</v>
      </c>
      <c r="M8" s="79" t="s">
        <v>302</v>
      </c>
      <c r="N8" s="79" t="s">
        <v>301</v>
      </c>
      <c r="O8" s="79" t="s">
        <v>300</v>
      </c>
      <c r="P8" s="79" t="s">
        <v>299</v>
      </c>
      <c r="Q8" s="79" t="s">
        <v>298</v>
      </c>
      <c r="R8" s="79" t="s">
        <v>297</v>
      </c>
      <c r="S8" s="79" t="s">
        <v>296</v>
      </c>
      <c r="T8" s="79" t="s">
        <v>295</v>
      </c>
      <c r="U8" s="79" t="s">
        <v>294</v>
      </c>
      <c r="V8" s="79" t="s">
        <v>293</v>
      </c>
      <c r="W8" s="79" t="s">
        <v>292</v>
      </c>
      <c r="X8" s="79" t="s">
        <v>291</v>
      </c>
      <c r="Y8" s="79" t="s">
        <v>290</v>
      </c>
      <c r="Z8" s="79" t="s">
        <v>289</v>
      </c>
      <c r="AA8" s="79" t="s">
        <v>288</v>
      </c>
      <c r="AB8" s="79" t="s">
        <v>287</v>
      </c>
      <c r="AC8" s="79" t="s">
        <v>286</v>
      </c>
      <c r="AD8" s="79" t="s">
        <v>285</v>
      </c>
      <c r="AE8" s="79" t="s">
        <v>284</v>
      </c>
      <c r="AF8" s="79" t="s">
        <v>283</v>
      </c>
      <c r="AG8" s="79" t="s">
        <v>282</v>
      </c>
      <c r="AH8" s="79" t="s">
        <v>281</v>
      </c>
      <c r="AI8" s="79" t="s">
        <v>280</v>
      </c>
      <c r="AJ8" s="79" t="s">
        <v>279</v>
      </c>
      <c r="AK8" s="79" t="s">
        <v>278</v>
      </c>
    </row>
    <row r="9" spans="1:37" x14ac:dyDescent="0.25">
      <c r="A9" s="79" t="s">
        <v>41</v>
      </c>
      <c r="B9" s="79">
        <v>2594.33</v>
      </c>
      <c r="C9" s="79">
        <v>2769.83</v>
      </c>
      <c r="D9" s="79">
        <v>2881.46</v>
      </c>
      <c r="E9" s="79">
        <v>2820.25</v>
      </c>
      <c r="F9" s="79">
        <v>2860.22</v>
      </c>
      <c r="G9" s="79">
        <v>2985.17</v>
      </c>
      <c r="H9" s="79">
        <v>3147.12</v>
      </c>
      <c r="I9" s="79">
        <v>3376.8</v>
      </c>
      <c r="J9" s="79">
        <v>3628.69</v>
      </c>
      <c r="K9" s="79">
        <v>3887.44</v>
      </c>
      <c r="L9" s="79">
        <v>4093.06</v>
      </c>
      <c r="M9" s="79">
        <v>4372.55</v>
      </c>
      <c r="N9" s="79">
        <v>4607.18</v>
      </c>
      <c r="O9" s="79">
        <v>4778.3900000000003</v>
      </c>
      <c r="P9" s="79">
        <v>4863.3</v>
      </c>
      <c r="Q9" s="79">
        <v>4882.74</v>
      </c>
      <c r="R9" s="79">
        <v>4931.21</v>
      </c>
      <c r="S9" s="79">
        <v>5035.91</v>
      </c>
      <c r="T9" s="79">
        <v>5164.4799999999996</v>
      </c>
      <c r="U9" s="79">
        <v>5295.2</v>
      </c>
      <c r="V9" s="79">
        <v>5475.82</v>
      </c>
      <c r="W9" s="79">
        <v>5538.84</v>
      </c>
      <c r="X9" s="79">
        <v>5602.98</v>
      </c>
      <c r="Y9" s="79">
        <v>5672.09</v>
      </c>
      <c r="Z9" s="79">
        <v>5732.34</v>
      </c>
      <c r="AA9" s="79">
        <v>5786.41</v>
      </c>
      <c r="AB9" s="79">
        <v>5833.89</v>
      </c>
      <c r="AC9" s="79">
        <v>5873.86</v>
      </c>
      <c r="AD9" s="79">
        <v>5905.49</v>
      </c>
      <c r="AE9" s="79">
        <v>5941.19</v>
      </c>
      <c r="AF9" s="79">
        <v>5968.02</v>
      </c>
      <c r="AG9" s="79">
        <v>6000.2</v>
      </c>
      <c r="AH9" s="79">
        <v>6019.81</v>
      </c>
      <c r="AI9" s="79">
        <v>6032.39</v>
      </c>
      <c r="AJ9" s="79">
        <v>6042.02</v>
      </c>
      <c r="AK9" s="79">
        <v>6056.13</v>
      </c>
    </row>
    <row r="10" spans="1:37" x14ac:dyDescent="0.25">
      <c r="A10" s="79" t="s">
        <v>326</v>
      </c>
      <c r="B10" s="79">
        <v>807.19</v>
      </c>
      <c r="C10" s="79">
        <v>794.96</v>
      </c>
      <c r="D10" s="79">
        <v>855.33</v>
      </c>
      <c r="E10" s="79">
        <v>853.34</v>
      </c>
      <c r="F10" s="79">
        <v>756.67</v>
      </c>
      <c r="G10" s="79">
        <v>769.54</v>
      </c>
      <c r="H10" s="79">
        <v>802.8</v>
      </c>
      <c r="I10" s="79">
        <v>825.05</v>
      </c>
      <c r="J10" s="79">
        <v>897.64</v>
      </c>
      <c r="K10" s="79">
        <v>891.3</v>
      </c>
      <c r="L10" s="79">
        <v>879.56</v>
      </c>
      <c r="M10" s="79">
        <v>910.02</v>
      </c>
      <c r="N10" s="79">
        <v>894.33</v>
      </c>
      <c r="O10" s="79">
        <v>955.55</v>
      </c>
      <c r="P10" s="79">
        <v>960.04</v>
      </c>
      <c r="Q10" s="79">
        <v>916.83</v>
      </c>
      <c r="R10" s="79">
        <v>909.11</v>
      </c>
      <c r="S10" s="79">
        <v>918.13</v>
      </c>
      <c r="T10" s="79">
        <v>888.56</v>
      </c>
      <c r="U10" s="79">
        <v>892.75</v>
      </c>
      <c r="V10" s="79">
        <v>984.85</v>
      </c>
      <c r="W10" s="79">
        <v>954.03</v>
      </c>
      <c r="X10" s="79">
        <v>925.9</v>
      </c>
      <c r="Y10" s="79">
        <v>908.16</v>
      </c>
      <c r="Z10" s="79">
        <v>896.71</v>
      </c>
      <c r="AA10" s="79">
        <v>887.05</v>
      </c>
      <c r="AB10" s="79">
        <v>867.63</v>
      </c>
      <c r="AC10" s="79">
        <v>843.74</v>
      </c>
      <c r="AD10" s="79">
        <v>825.34</v>
      </c>
      <c r="AE10" s="79">
        <v>817.52</v>
      </c>
      <c r="AF10" s="79">
        <v>796.56</v>
      </c>
      <c r="AG10" s="79">
        <v>781.78</v>
      </c>
      <c r="AH10" s="79">
        <v>766.76</v>
      </c>
      <c r="AI10" s="79">
        <v>749.42</v>
      </c>
      <c r="AJ10" s="79">
        <v>731.86</v>
      </c>
      <c r="AK10" s="79">
        <v>720.14</v>
      </c>
    </row>
    <row r="11" spans="1:37" x14ac:dyDescent="0.25">
      <c r="A11" s="79" t="s">
        <v>327</v>
      </c>
      <c r="B11" s="79">
        <v>556.85</v>
      </c>
      <c r="C11" s="79">
        <v>549.35</v>
      </c>
      <c r="D11" s="79">
        <v>533.80999999999995</v>
      </c>
      <c r="E11" s="79">
        <v>496.85</v>
      </c>
      <c r="F11" s="79">
        <v>461.43</v>
      </c>
      <c r="G11" s="79">
        <v>453.82</v>
      </c>
      <c r="H11" s="79">
        <v>453.1</v>
      </c>
      <c r="I11" s="79">
        <v>484.83</v>
      </c>
      <c r="J11" s="79">
        <v>490.5</v>
      </c>
      <c r="K11" s="79">
        <v>502.56</v>
      </c>
      <c r="L11" s="79">
        <v>497</v>
      </c>
      <c r="M11" s="79">
        <v>487.19</v>
      </c>
      <c r="N11" s="79">
        <v>476.8</v>
      </c>
      <c r="O11" s="79">
        <v>467.13</v>
      </c>
      <c r="P11" s="79">
        <v>458.34</v>
      </c>
      <c r="Q11" s="79">
        <v>450.57</v>
      </c>
      <c r="R11" s="79">
        <v>443.8</v>
      </c>
      <c r="S11" s="79">
        <v>438.39</v>
      </c>
      <c r="T11" s="79">
        <v>434.03</v>
      </c>
      <c r="U11" s="79">
        <v>430.76</v>
      </c>
      <c r="V11" s="79">
        <v>428.37</v>
      </c>
      <c r="W11" s="79">
        <v>426.49</v>
      </c>
      <c r="X11" s="79">
        <v>424.79</v>
      </c>
      <c r="Y11" s="79">
        <v>422.66</v>
      </c>
      <c r="Z11" s="79">
        <v>419.36</v>
      </c>
      <c r="AA11" s="79">
        <v>415.05</v>
      </c>
      <c r="AB11" s="79">
        <v>410.13</v>
      </c>
      <c r="AC11" s="79">
        <v>404.41</v>
      </c>
      <c r="AD11" s="79">
        <v>397.97</v>
      </c>
      <c r="AE11" s="79">
        <v>391.27</v>
      </c>
      <c r="AF11" s="79">
        <v>384.17</v>
      </c>
      <c r="AG11" s="79">
        <v>377.45</v>
      </c>
      <c r="AH11" s="79">
        <v>369.93</v>
      </c>
      <c r="AI11" s="79">
        <v>362.76</v>
      </c>
      <c r="AJ11" s="79">
        <v>355.48</v>
      </c>
      <c r="AK11" s="79">
        <v>348.06</v>
      </c>
    </row>
    <row r="12" spans="1:37" x14ac:dyDescent="0.25">
      <c r="A12" s="79" t="s">
        <v>328</v>
      </c>
      <c r="B12" s="79">
        <v>151.88</v>
      </c>
      <c r="C12" s="79">
        <v>156.09</v>
      </c>
      <c r="D12" s="79">
        <v>154.36000000000001</v>
      </c>
      <c r="E12" s="79">
        <v>145.41999999999999</v>
      </c>
      <c r="F12" s="79">
        <v>134.59</v>
      </c>
      <c r="G12" s="79">
        <v>132.12</v>
      </c>
      <c r="H12" s="79">
        <v>129.35</v>
      </c>
      <c r="I12" s="79">
        <v>126.44</v>
      </c>
      <c r="J12" s="79">
        <v>133.04</v>
      </c>
      <c r="K12" s="79">
        <v>156.65</v>
      </c>
      <c r="L12" s="79">
        <v>165.19</v>
      </c>
      <c r="M12" s="79">
        <v>165.82</v>
      </c>
      <c r="N12" s="79">
        <v>167.7</v>
      </c>
      <c r="O12" s="79">
        <v>169.36</v>
      </c>
      <c r="P12" s="79">
        <v>171.57</v>
      </c>
      <c r="Q12" s="79">
        <v>174.21</v>
      </c>
      <c r="R12" s="79">
        <v>177.2</v>
      </c>
      <c r="S12" s="79">
        <v>180.01</v>
      </c>
      <c r="T12" s="79">
        <v>182.28</v>
      </c>
      <c r="U12" s="79">
        <v>183.89</v>
      </c>
      <c r="V12" s="79">
        <v>184.73</v>
      </c>
      <c r="W12" s="79">
        <v>185.16</v>
      </c>
      <c r="X12" s="79">
        <v>185.26</v>
      </c>
      <c r="Y12" s="79">
        <v>185.09</v>
      </c>
      <c r="Z12" s="79">
        <v>185.02</v>
      </c>
      <c r="AA12" s="79">
        <v>185.32</v>
      </c>
      <c r="AB12" s="79">
        <v>185.79</v>
      </c>
      <c r="AC12" s="79">
        <v>186.46</v>
      </c>
      <c r="AD12" s="79">
        <v>186.71</v>
      </c>
      <c r="AE12" s="79">
        <v>186.69</v>
      </c>
      <c r="AF12" s="79">
        <v>186.57</v>
      </c>
      <c r="AG12" s="79">
        <v>186.4</v>
      </c>
      <c r="AH12" s="79">
        <v>186.26</v>
      </c>
      <c r="AI12" s="79">
        <v>186.02</v>
      </c>
      <c r="AJ12" s="79">
        <v>185.87</v>
      </c>
      <c r="AK12" s="79">
        <v>185.77</v>
      </c>
    </row>
    <row r="13" spans="1:37" x14ac:dyDescent="0.25">
      <c r="A13" s="79" t="s">
        <v>329</v>
      </c>
      <c r="B13" s="79">
        <v>13.17</v>
      </c>
      <c r="C13" s="79">
        <v>14.81</v>
      </c>
      <c r="D13" s="79">
        <v>17.27</v>
      </c>
      <c r="E13" s="79">
        <v>19.68</v>
      </c>
      <c r="F13" s="79">
        <v>18.21</v>
      </c>
      <c r="G13" s="79">
        <v>17.04</v>
      </c>
      <c r="H13" s="79">
        <v>17.72</v>
      </c>
      <c r="I13" s="79">
        <v>18.260000000000002</v>
      </c>
      <c r="J13" s="79">
        <v>22.35</v>
      </c>
      <c r="K13" s="79">
        <v>32.799999999999997</v>
      </c>
      <c r="L13" s="79">
        <v>35.64</v>
      </c>
      <c r="M13" s="79">
        <v>35.51</v>
      </c>
      <c r="N13" s="79">
        <v>35.4</v>
      </c>
      <c r="O13" s="79">
        <v>35.32</v>
      </c>
      <c r="P13" s="79">
        <v>34.78</v>
      </c>
      <c r="Q13" s="79">
        <v>34.22</v>
      </c>
      <c r="R13" s="79">
        <v>34.25</v>
      </c>
      <c r="S13" s="79">
        <v>34.86</v>
      </c>
      <c r="T13" s="79">
        <v>35.51</v>
      </c>
      <c r="U13" s="79">
        <v>36.14</v>
      </c>
      <c r="V13" s="79">
        <v>36.93</v>
      </c>
      <c r="W13" s="79">
        <v>37.729999999999997</v>
      </c>
      <c r="X13" s="79">
        <v>38.520000000000003</v>
      </c>
      <c r="Y13" s="79">
        <v>39.24</v>
      </c>
      <c r="Z13" s="79">
        <v>39.81</v>
      </c>
      <c r="AA13" s="79">
        <v>40.22</v>
      </c>
      <c r="AB13" s="79">
        <v>40.479999999999997</v>
      </c>
      <c r="AC13" s="79">
        <v>40.58</v>
      </c>
      <c r="AD13" s="79">
        <v>40.520000000000003</v>
      </c>
      <c r="AE13" s="79">
        <v>40.4</v>
      </c>
      <c r="AF13" s="79">
        <v>40.11</v>
      </c>
      <c r="AG13" s="79">
        <v>39.81</v>
      </c>
      <c r="AH13" s="79">
        <v>39.47</v>
      </c>
      <c r="AI13" s="79">
        <v>39.130000000000003</v>
      </c>
      <c r="AJ13" s="79">
        <v>38.71</v>
      </c>
      <c r="AK13" s="79">
        <v>38.25</v>
      </c>
    </row>
    <row r="14" spans="1:37" x14ac:dyDescent="0.25">
      <c r="A14" s="79" t="s">
        <v>330</v>
      </c>
      <c r="B14" s="79">
        <v>626.67999999999995</v>
      </c>
      <c r="C14" s="79">
        <v>760.7</v>
      </c>
      <c r="D14" s="79">
        <v>784.61</v>
      </c>
      <c r="E14" s="79">
        <v>721.69</v>
      </c>
      <c r="F14" s="79">
        <v>825.51</v>
      </c>
      <c r="G14" s="79">
        <v>856.97</v>
      </c>
      <c r="H14" s="79">
        <v>892.21</v>
      </c>
      <c r="I14" s="79">
        <v>929.96</v>
      </c>
      <c r="J14" s="79">
        <v>976.52</v>
      </c>
      <c r="K14" s="79">
        <v>1038.18</v>
      </c>
      <c r="L14" s="79">
        <v>1131.44</v>
      </c>
      <c r="M14" s="79">
        <v>1258.8599999999999</v>
      </c>
      <c r="N14" s="79">
        <v>1364.59</v>
      </c>
      <c r="O14" s="79">
        <v>1417.64</v>
      </c>
      <c r="P14" s="79">
        <v>1462.99</v>
      </c>
      <c r="Q14" s="79">
        <v>1475.21</v>
      </c>
      <c r="R14" s="79">
        <v>1475.96</v>
      </c>
      <c r="S14" s="79">
        <v>1490.36</v>
      </c>
      <c r="T14" s="79">
        <v>1524.93</v>
      </c>
      <c r="U14" s="79">
        <v>1549.24</v>
      </c>
      <c r="V14" s="79">
        <v>1556.99</v>
      </c>
      <c r="W14" s="79">
        <v>1561.49</v>
      </c>
      <c r="X14" s="79">
        <v>1570.86</v>
      </c>
      <c r="Y14" s="79">
        <v>1581.44</v>
      </c>
      <c r="Z14" s="79">
        <v>1583.56</v>
      </c>
      <c r="AA14" s="79">
        <v>1583.56</v>
      </c>
      <c r="AB14" s="79">
        <v>1592.03</v>
      </c>
      <c r="AC14" s="79">
        <v>1602.62</v>
      </c>
      <c r="AD14" s="79">
        <v>1604.74</v>
      </c>
      <c r="AE14" s="79">
        <v>1604.74</v>
      </c>
      <c r="AF14" s="79">
        <v>1613.21</v>
      </c>
      <c r="AG14" s="79">
        <v>1623.8</v>
      </c>
      <c r="AH14" s="79">
        <v>1625.91</v>
      </c>
      <c r="AI14" s="79">
        <v>1625.91</v>
      </c>
      <c r="AJ14" s="79">
        <v>1625.91</v>
      </c>
      <c r="AK14" s="79">
        <v>1625.91</v>
      </c>
    </row>
    <row r="15" spans="1:37" x14ac:dyDescent="0.25">
      <c r="A15" s="79" t="s">
        <v>331</v>
      </c>
      <c r="B15" s="79">
        <v>438.55</v>
      </c>
      <c r="C15" s="79">
        <v>493.92</v>
      </c>
      <c r="D15" s="79">
        <v>536.08000000000004</v>
      </c>
      <c r="E15" s="79">
        <v>583.27</v>
      </c>
      <c r="F15" s="79">
        <v>663.81</v>
      </c>
      <c r="G15" s="79">
        <v>755.67</v>
      </c>
      <c r="H15" s="79">
        <v>851.94</v>
      </c>
      <c r="I15" s="79">
        <v>992.25</v>
      </c>
      <c r="J15" s="79">
        <v>1108.6500000000001</v>
      </c>
      <c r="K15" s="79">
        <v>1265.95</v>
      </c>
      <c r="L15" s="79">
        <v>1384.24</v>
      </c>
      <c r="M15" s="79">
        <v>1515.14</v>
      </c>
      <c r="N15" s="79">
        <v>1668.36</v>
      </c>
      <c r="O15" s="79">
        <v>1733.4</v>
      </c>
      <c r="P15" s="79">
        <v>1775.58</v>
      </c>
      <c r="Q15" s="79">
        <v>1831.7</v>
      </c>
      <c r="R15" s="79">
        <v>1890.89</v>
      </c>
      <c r="S15" s="79">
        <v>1974.17</v>
      </c>
      <c r="T15" s="79">
        <v>2099.17</v>
      </c>
      <c r="U15" s="79">
        <v>2202.42</v>
      </c>
      <c r="V15" s="79">
        <v>2283.96</v>
      </c>
      <c r="W15" s="79">
        <v>2373.96</v>
      </c>
      <c r="X15" s="79">
        <v>2457.66</v>
      </c>
      <c r="Y15" s="79">
        <v>2535.5</v>
      </c>
      <c r="Z15" s="79">
        <v>2607.89</v>
      </c>
      <c r="AA15" s="79">
        <v>2675.21</v>
      </c>
      <c r="AB15" s="79">
        <v>2737.83</v>
      </c>
      <c r="AC15" s="79">
        <v>2796.06</v>
      </c>
      <c r="AD15" s="79">
        <v>2850.21</v>
      </c>
      <c r="AE15" s="79">
        <v>2900.57</v>
      </c>
      <c r="AF15" s="79">
        <v>2947.41</v>
      </c>
      <c r="AG15" s="79">
        <v>2990.97</v>
      </c>
      <c r="AH15" s="79">
        <v>3031.48</v>
      </c>
      <c r="AI15" s="79">
        <v>3069.15</v>
      </c>
      <c r="AJ15" s="79">
        <v>3104.19</v>
      </c>
      <c r="AK15" s="79">
        <v>3138</v>
      </c>
    </row>
    <row r="16" spans="1:37" x14ac:dyDescent="0.25">
      <c r="A16" s="79" t="s">
        <v>332</v>
      </c>
      <c r="B16" s="79">
        <v>546.77</v>
      </c>
      <c r="C16" s="79">
        <v>658.14</v>
      </c>
      <c r="D16" s="79">
        <v>687.72</v>
      </c>
      <c r="E16" s="79">
        <v>653.74</v>
      </c>
      <c r="F16" s="79">
        <v>765.74</v>
      </c>
      <c r="G16" s="79">
        <v>794.68</v>
      </c>
      <c r="H16" s="79">
        <v>862.63</v>
      </c>
      <c r="I16" s="79">
        <v>913.6</v>
      </c>
      <c r="J16" s="79">
        <v>936.25</v>
      </c>
      <c r="K16" s="79">
        <v>954.5</v>
      </c>
      <c r="L16" s="79">
        <v>998.54</v>
      </c>
      <c r="M16" s="79">
        <v>1018.49</v>
      </c>
      <c r="N16" s="79">
        <v>1056.74</v>
      </c>
      <c r="O16" s="79">
        <v>1112.0899999999999</v>
      </c>
      <c r="P16" s="79">
        <v>1155.1400000000001</v>
      </c>
      <c r="Q16" s="79">
        <v>1165.53</v>
      </c>
      <c r="R16" s="79">
        <v>1166.17</v>
      </c>
      <c r="S16" s="79">
        <v>1166.17</v>
      </c>
      <c r="T16" s="79">
        <v>1173.3699999999999</v>
      </c>
      <c r="U16" s="79">
        <v>1182.3699999999999</v>
      </c>
      <c r="V16" s="79">
        <v>1184.17</v>
      </c>
      <c r="W16" s="79">
        <v>1184.17</v>
      </c>
      <c r="X16" s="79">
        <v>1191.3699999999999</v>
      </c>
      <c r="Y16" s="79">
        <v>1200.3699999999999</v>
      </c>
      <c r="Z16" s="79">
        <v>1202.17</v>
      </c>
      <c r="AA16" s="79">
        <v>1202.17</v>
      </c>
      <c r="AB16" s="79">
        <v>1209.3699999999999</v>
      </c>
      <c r="AC16" s="79">
        <v>1218.3699999999999</v>
      </c>
      <c r="AD16" s="79">
        <v>1220.17</v>
      </c>
      <c r="AE16" s="79">
        <v>1220.17</v>
      </c>
      <c r="AF16" s="79">
        <v>1227.3699999999999</v>
      </c>
      <c r="AG16" s="79">
        <v>1236.3699999999999</v>
      </c>
      <c r="AH16" s="79">
        <v>1238.17</v>
      </c>
      <c r="AI16" s="79">
        <v>1238.17</v>
      </c>
      <c r="AJ16" s="79">
        <v>1238.17</v>
      </c>
      <c r="AK16" s="79">
        <v>1238.17</v>
      </c>
    </row>
    <row r="18" spans="1:37" ht="18.75" x14ac:dyDescent="0.3">
      <c r="A18" s="80" t="s">
        <v>333</v>
      </c>
    </row>
    <row r="19" spans="1:37" x14ac:dyDescent="0.25">
      <c r="A19" s="79" t="s">
        <v>314</v>
      </c>
      <c r="B19" s="79" t="s">
        <v>313</v>
      </c>
      <c r="C19" s="79" t="s">
        <v>312</v>
      </c>
      <c r="D19" s="79" t="s">
        <v>311</v>
      </c>
      <c r="E19" s="79" t="s">
        <v>310</v>
      </c>
      <c r="F19" s="79" t="s">
        <v>309</v>
      </c>
      <c r="G19" s="79" t="s">
        <v>308</v>
      </c>
      <c r="H19" s="79" t="s">
        <v>307</v>
      </c>
      <c r="I19" s="79" t="s">
        <v>306</v>
      </c>
      <c r="J19" s="79" t="s">
        <v>305</v>
      </c>
      <c r="K19" s="79" t="s">
        <v>304</v>
      </c>
      <c r="L19" s="79" t="s">
        <v>303</v>
      </c>
      <c r="M19" s="79" t="s">
        <v>302</v>
      </c>
      <c r="N19" s="79" t="s">
        <v>301</v>
      </c>
      <c r="O19" s="79" t="s">
        <v>300</v>
      </c>
      <c r="P19" s="79" t="s">
        <v>299</v>
      </c>
      <c r="Q19" s="79" t="s">
        <v>298</v>
      </c>
      <c r="R19" s="79" t="s">
        <v>297</v>
      </c>
      <c r="S19" s="79" t="s">
        <v>296</v>
      </c>
      <c r="T19" s="79" t="s">
        <v>295</v>
      </c>
      <c r="U19" s="79" t="s">
        <v>294</v>
      </c>
      <c r="V19" s="79" t="s">
        <v>293</v>
      </c>
      <c r="W19" s="79" t="s">
        <v>292</v>
      </c>
      <c r="X19" s="79" t="s">
        <v>291</v>
      </c>
      <c r="Y19" s="79" t="s">
        <v>290</v>
      </c>
      <c r="Z19" s="79" t="s">
        <v>289</v>
      </c>
      <c r="AA19" s="79" t="s">
        <v>288</v>
      </c>
      <c r="AB19" s="79" t="s">
        <v>287</v>
      </c>
      <c r="AC19" s="79" t="s">
        <v>286</v>
      </c>
      <c r="AD19" s="79" t="s">
        <v>285</v>
      </c>
      <c r="AE19" s="79" t="s">
        <v>284</v>
      </c>
      <c r="AF19" s="79" t="s">
        <v>283</v>
      </c>
      <c r="AG19" s="79" t="s">
        <v>282</v>
      </c>
      <c r="AH19" s="79" t="s">
        <v>281</v>
      </c>
      <c r="AI19" s="79" t="s">
        <v>280</v>
      </c>
      <c r="AJ19" s="79" t="s">
        <v>279</v>
      </c>
      <c r="AK19" s="79" t="s">
        <v>278</v>
      </c>
    </row>
    <row r="20" spans="1:37" x14ac:dyDescent="0.25">
      <c r="A20" s="79" t="s">
        <v>41</v>
      </c>
      <c r="B20" s="79">
        <v>304.95</v>
      </c>
      <c r="C20" s="79">
        <v>303.76</v>
      </c>
      <c r="D20" s="79">
        <v>368.57</v>
      </c>
      <c r="E20" s="79">
        <v>343.26</v>
      </c>
      <c r="F20" s="79">
        <v>267.73</v>
      </c>
      <c r="G20" s="79">
        <v>275.92</v>
      </c>
      <c r="H20" s="79">
        <v>265.14</v>
      </c>
      <c r="I20" s="79">
        <v>197.75</v>
      </c>
      <c r="J20" s="79">
        <v>232</v>
      </c>
      <c r="K20" s="79">
        <v>216.1</v>
      </c>
      <c r="L20" s="79">
        <v>213.6</v>
      </c>
      <c r="M20" s="79">
        <v>257.3</v>
      </c>
      <c r="N20" s="79">
        <v>248.85</v>
      </c>
      <c r="O20" s="79">
        <v>315.87</v>
      </c>
      <c r="P20" s="79">
        <v>325.58999999999997</v>
      </c>
      <c r="Q20" s="79">
        <v>285.33</v>
      </c>
      <c r="R20" s="79">
        <v>277.76</v>
      </c>
      <c r="S20" s="79">
        <v>283.47000000000003</v>
      </c>
      <c r="T20" s="79">
        <v>248.58</v>
      </c>
      <c r="U20" s="79">
        <v>245.93</v>
      </c>
      <c r="V20" s="79">
        <v>329.3</v>
      </c>
      <c r="W20" s="79">
        <v>289.06</v>
      </c>
      <c r="X20" s="79">
        <v>251.58</v>
      </c>
      <c r="Y20" s="79">
        <v>225.91</v>
      </c>
      <c r="Z20" s="79">
        <v>208.75</v>
      </c>
      <c r="AA20" s="79">
        <v>195.43</v>
      </c>
      <c r="AB20" s="79">
        <v>174.49</v>
      </c>
      <c r="AC20" s="79">
        <v>151.28</v>
      </c>
      <c r="AD20" s="79">
        <v>135.86000000000001</v>
      </c>
      <c r="AE20" s="79">
        <v>132.66</v>
      </c>
      <c r="AF20" s="79">
        <v>119.97</v>
      </c>
      <c r="AG20" s="79">
        <v>112.28</v>
      </c>
      <c r="AH20" s="79">
        <v>104.99</v>
      </c>
      <c r="AI20" s="79">
        <v>95.17</v>
      </c>
      <c r="AJ20" s="79">
        <v>86.59</v>
      </c>
      <c r="AK20" s="79">
        <v>84.34</v>
      </c>
    </row>
    <row r="21" spans="1:37" x14ac:dyDescent="0.25">
      <c r="A21" s="79" t="s">
        <v>326</v>
      </c>
      <c r="B21" s="79">
        <v>304.95</v>
      </c>
      <c r="C21" s="79">
        <v>303.76</v>
      </c>
      <c r="D21" s="79">
        <v>368.57</v>
      </c>
      <c r="E21" s="79">
        <v>343.26</v>
      </c>
      <c r="F21" s="79">
        <v>267.73</v>
      </c>
      <c r="G21" s="79">
        <v>275.92</v>
      </c>
      <c r="H21" s="79">
        <v>265.14</v>
      </c>
      <c r="I21" s="79">
        <v>197.75</v>
      </c>
      <c r="J21" s="79">
        <v>232</v>
      </c>
      <c r="K21" s="79">
        <v>216.1</v>
      </c>
      <c r="L21" s="79">
        <v>213.6</v>
      </c>
      <c r="M21" s="79">
        <v>257.3</v>
      </c>
      <c r="N21" s="79">
        <v>248.85</v>
      </c>
      <c r="O21" s="79">
        <v>315.87</v>
      </c>
      <c r="P21" s="79">
        <v>325.58999999999997</v>
      </c>
      <c r="Q21" s="79">
        <v>285.33</v>
      </c>
      <c r="R21" s="79">
        <v>277.76</v>
      </c>
      <c r="S21" s="79">
        <v>283.47000000000003</v>
      </c>
      <c r="T21" s="79">
        <v>248.58</v>
      </c>
      <c r="U21" s="79">
        <v>245.93</v>
      </c>
      <c r="V21" s="79">
        <v>329.3</v>
      </c>
      <c r="W21" s="79">
        <v>289.06</v>
      </c>
      <c r="X21" s="79">
        <v>251.58</v>
      </c>
      <c r="Y21" s="79">
        <v>225.91</v>
      </c>
      <c r="Z21" s="79">
        <v>208.75</v>
      </c>
      <c r="AA21" s="79">
        <v>195.43</v>
      </c>
      <c r="AB21" s="79">
        <v>174.49</v>
      </c>
      <c r="AC21" s="79">
        <v>151.28</v>
      </c>
      <c r="AD21" s="79">
        <v>135.86000000000001</v>
      </c>
      <c r="AE21" s="79">
        <v>132.66</v>
      </c>
      <c r="AF21" s="79">
        <v>119.97</v>
      </c>
      <c r="AG21" s="79">
        <v>112.28</v>
      </c>
      <c r="AH21" s="79">
        <v>104.99</v>
      </c>
      <c r="AI21" s="79">
        <v>95.17</v>
      </c>
      <c r="AJ21" s="79">
        <v>86.59</v>
      </c>
      <c r="AK21" s="79">
        <v>84.34</v>
      </c>
    </row>
    <row r="23" spans="1:37" ht="18.75" x14ac:dyDescent="0.3">
      <c r="A23" s="80" t="s">
        <v>334</v>
      </c>
    </row>
    <row r="24" spans="1:37" x14ac:dyDescent="0.25">
      <c r="A24" s="79" t="s">
        <v>314</v>
      </c>
      <c r="B24" s="79" t="s">
        <v>313</v>
      </c>
      <c r="C24" s="79" t="s">
        <v>312</v>
      </c>
      <c r="D24" s="79" t="s">
        <v>311</v>
      </c>
      <c r="E24" s="79" t="s">
        <v>310</v>
      </c>
      <c r="F24" s="79" t="s">
        <v>309</v>
      </c>
      <c r="G24" s="79" t="s">
        <v>308</v>
      </c>
      <c r="H24" s="79" t="s">
        <v>307</v>
      </c>
      <c r="I24" s="79" t="s">
        <v>306</v>
      </c>
      <c r="J24" s="79" t="s">
        <v>305</v>
      </c>
      <c r="K24" s="79" t="s">
        <v>304</v>
      </c>
      <c r="L24" s="79" t="s">
        <v>303</v>
      </c>
      <c r="M24" s="79" t="s">
        <v>302</v>
      </c>
      <c r="N24" s="79" t="s">
        <v>301</v>
      </c>
      <c r="O24" s="79" t="s">
        <v>300</v>
      </c>
      <c r="P24" s="79" t="s">
        <v>299</v>
      </c>
      <c r="Q24" s="79" t="s">
        <v>298</v>
      </c>
      <c r="R24" s="79" t="s">
        <v>297</v>
      </c>
      <c r="S24" s="79" t="s">
        <v>296</v>
      </c>
      <c r="T24" s="79" t="s">
        <v>295</v>
      </c>
      <c r="U24" s="79" t="s">
        <v>294</v>
      </c>
      <c r="V24" s="79" t="s">
        <v>293</v>
      </c>
      <c r="W24" s="79" t="s">
        <v>292</v>
      </c>
      <c r="X24" s="79" t="s">
        <v>291</v>
      </c>
      <c r="Y24" s="79" t="s">
        <v>290</v>
      </c>
      <c r="Z24" s="79" t="s">
        <v>289</v>
      </c>
      <c r="AA24" s="79" t="s">
        <v>288</v>
      </c>
      <c r="AB24" s="79" t="s">
        <v>287</v>
      </c>
      <c r="AC24" s="79" t="s">
        <v>286</v>
      </c>
      <c r="AD24" s="79" t="s">
        <v>285</v>
      </c>
      <c r="AE24" s="79" t="s">
        <v>284</v>
      </c>
      <c r="AF24" s="79" t="s">
        <v>283</v>
      </c>
      <c r="AG24" s="79" t="s">
        <v>282</v>
      </c>
      <c r="AH24" s="79" t="s">
        <v>281</v>
      </c>
      <c r="AI24" s="79" t="s">
        <v>280</v>
      </c>
      <c r="AJ24" s="79" t="s">
        <v>279</v>
      </c>
      <c r="AK24" s="79" t="s">
        <v>278</v>
      </c>
    </row>
    <row r="25" spans="1:37" x14ac:dyDescent="0.25">
      <c r="A25" s="79" t="s">
        <v>41</v>
      </c>
      <c r="B25" s="79">
        <v>12.93</v>
      </c>
      <c r="C25" s="79">
        <v>12.03</v>
      </c>
      <c r="D25" s="79">
        <v>11.86</v>
      </c>
      <c r="E25" s="79">
        <v>11.03</v>
      </c>
      <c r="F25" s="79">
        <v>7.08</v>
      </c>
      <c r="G25" s="79">
        <v>6.71</v>
      </c>
      <c r="H25" s="79">
        <v>5.41</v>
      </c>
      <c r="I25" s="79">
        <v>3.68</v>
      </c>
      <c r="J25" s="79">
        <v>2.06</v>
      </c>
      <c r="K25" s="79">
        <v>2.88</v>
      </c>
      <c r="L25" s="79">
        <v>2.72</v>
      </c>
      <c r="M25" s="79">
        <v>2.56</v>
      </c>
      <c r="N25" s="79">
        <v>2.4300000000000002</v>
      </c>
      <c r="O25" s="79">
        <v>2.29</v>
      </c>
      <c r="P25" s="79">
        <v>2.16</v>
      </c>
      <c r="Q25" s="79">
        <v>2.04</v>
      </c>
      <c r="R25" s="79">
        <v>1.93</v>
      </c>
      <c r="S25" s="79">
        <v>1.82</v>
      </c>
      <c r="T25" s="79">
        <v>1.72</v>
      </c>
      <c r="U25" s="79">
        <v>1.62</v>
      </c>
      <c r="V25" s="79">
        <v>1.53</v>
      </c>
      <c r="W25" s="79">
        <v>1.44</v>
      </c>
      <c r="X25" s="79">
        <v>1.36</v>
      </c>
      <c r="Y25" s="79">
        <v>1.28</v>
      </c>
      <c r="Z25" s="79">
        <v>1.22</v>
      </c>
      <c r="AA25" s="79">
        <v>1.1499999999999999</v>
      </c>
      <c r="AB25" s="79">
        <v>1.08</v>
      </c>
      <c r="AC25" s="79">
        <v>1.02</v>
      </c>
      <c r="AD25" s="79">
        <v>0.96</v>
      </c>
      <c r="AE25" s="79">
        <v>0.91</v>
      </c>
      <c r="AF25" s="79">
        <v>0.86</v>
      </c>
      <c r="AG25" s="79">
        <v>0.81</v>
      </c>
      <c r="AH25" s="79">
        <v>0.77</v>
      </c>
      <c r="AI25" s="79">
        <v>0.72</v>
      </c>
      <c r="AJ25" s="79">
        <v>0.68</v>
      </c>
      <c r="AK25" s="79">
        <v>0.64</v>
      </c>
    </row>
    <row r="26" spans="1:37" x14ac:dyDescent="0.25">
      <c r="A26" s="79" t="s">
        <v>328</v>
      </c>
      <c r="B26" s="79">
        <v>12.93</v>
      </c>
      <c r="C26" s="79">
        <v>12.03</v>
      </c>
      <c r="D26" s="79">
        <v>11.86</v>
      </c>
      <c r="E26" s="79">
        <v>11.03</v>
      </c>
      <c r="F26" s="79">
        <v>7.08</v>
      </c>
      <c r="G26" s="79">
        <v>6.71</v>
      </c>
      <c r="H26" s="79">
        <v>5.41</v>
      </c>
      <c r="I26" s="79">
        <v>3.68</v>
      </c>
      <c r="J26" s="79">
        <v>2.06</v>
      </c>
      <c r="K26" s="79">
        <v>2.88</v>
      </c>
      <c r="L26" s="79">
        <v>2.72</v>
      </c>
      <c r="M26" s="79">
        <v>2.56</v>
      </c>
      <c r="N26" s="79">
        <v>2.4300000000000002</v>
      </c>
      <c r="O26" s="79">
        <v>2.29</v>
      </c>
      <c r="P26" s="79">
        <v>2.16</v>
      </c>
      <c r="Q26" s="79">
        <v>2.04</v>
      </c>
      <c r="R26" s="79">
        <v>1.93</v>
      </c>
      <c r="S26" s="79">
        <v>1.82</v>
      </c>
      <c r="T26" s="79">
        <v>1.72</v>
      </c>
      <c r="U26" s="79">
        <v>1.62</v>
      </c>
      <c r="V26" s="79">
        <v>1.53</v>
      </c>
      <c r="W26" s="79">
        <v>1.44</v>
      </c>
      <c r="X26" s="79">
        <v>1.36</v>
      </c>
      <c r="Y26" s="79">
        <v>1.28</v>
      </c>
      <c r="Z26" s="79">
        <v>1.22</v>
      </c>
      <c r="AA26" s="79">
        <v>1.1499999999999999</v>
      </c>
      <c r="AB26" s="79">
        <v>1.08</v>
      </c>
      <c r="AC26" s="79">
        <v>1.02</v>
      </c>
      <c r="AD26" s="79">
        <v>0.96</v>
      </c>
      <c r="AE26" s="79">
        <v>0.91</v>
      </c>
      <c r="AF26" s="79">
        <v>0.86</v>
      </c>
      <c r="AG26" s="79">
        <v>0.81</v>
      </c>
      <c r="AH26" s="79">
        <v>0.77</v>
      </c>
      <c r="AI26" s="79">
        <v>0.72</v>
      </c>
      <c r="AJ26" s="79">
        <v>0.68</v>
      </c>
      <c r="AK26" s="79">
        <v>0.64</v>
      </c>
    </row>
    <row r="28" spans="1:37" ht="18.75" x14ac:dyDescent="0.3">
      <c r="A28" s="80" t="s">
        <v>335</v>
      </c>
    </row>
    <row r="29" spans="1:37" x14ac:dyDescent="0.25">
      <c r="A29" s="79" t="s">
        <v>314</v>
      </c>
      <c r="B29" s="79" t="s">
        <v>313</v>
      </c>
      <c r="C29" s="79" t="s">
        <v>312</v>
      </c>
      <c r="D29" s="79" t="s">
        <v>311</v>
      </c>
      <c r="E29" s="79" t="s">
        <v>310</v>
      </c>
      <c r="F29" s="79" t="s">
        <v>309</v>
      </c>
      <c r="G29" s="79" t="s">
        <v>308</v>
      </c>
      <c r="H29" s="79" t="s">
        <v>307</v>
      </c>
      <c r="I29" s="79" t="s">
        <v>306</v>
      </c>
      <c r="J29" s="79" t="s">
        <v>305</v>
      </c>
      <c r="K29" s="79" t="s">
        <v>304</v>
      </c>
      <c r="L29" s="79" t="s">
        <v>303</v>
      </c>
      <c r="M29" s="79" t="s">
        <v>302</v>
      </c>
      <c r="N29" s="79" t="s">
        <v>301</v>
      </c>
      <c r="O29" s="79" t="s">
        <v>300</v>
      </c>
      <c r="P29" s="79" t="s">
        <v>299</v>
      </c>
      <c r="Q29" s="79" t="s">
        <v>298</v>
      </c>
      <c r="R29" s="79" t="s">
        <v>297</v>
      </c>
      <c r="S29" s="79" t="s">
        <v>296</v>
      </c>
      <c r="T29" s="79" t="s">
        <v>295</v>
      </c>
      <c r="U29" s="79" t="s">
        <v>294</v>
      </c>
      <c r="V29" s="79" t="s">
        <v>293</v>
      </c>
      <c r="W29" s="79" t="s">
        <v>292</v>
      </c>
      <c r="X29" s="79" t="s">
        <v>291</v>
      </c>
      <c r="Y29" s="79" t="s">
        <v>290</v>
      </c>
      <c r="Z29" s="79" t="s">
        <v>289</v>
      </c>
      <c r="AA29" s="79" t="s">
        <v>288</v>
      </c>
      <c r="AB29" s="79" t="s">
        <v>287</v>
      </c>
      <c r="AC29" s="79" t="s">
        <v>286</v>
      </c>
      <c r="AD29" s="79" t="s">
        <v>285</v>
      </c>
      <c r="AE29" s="79" t="s">
        <v>284</v>
      </c>
      <c r="AF29" s="79" t="s">
        <v>283</v>
      </c>
      <c r="AG29" s="79" t="s">
        <v>282</v>
      </c>
      <c r="AH29" s="79" t="s">
        <v>281</v>
      </c>
      <c r="AI29" s="79" t="s">
        <v>280</v>
      </c>
      <c r="AJ29" s="79" t="s">
        <v>279</v>
      </c>
      <c r="AK29" s="79" t="s">
        <v>278</v>
      </c>
    </row>
    <row r="30" spans="1:37" x14ac:dyDescent="0.25">
      <c r="A30" s="79" t="s">
        <v>41</v>
      </c>
      <c r="B30" s="79">
        <v>2.42</v>
      </c>
      <c r="C30" s="79">
        <v>2.23</v>
      </c>
      <c r="D30" s="79">
        <v>2.12</v>
      </c>
      <c r="E30" s="79">
        <v>1.7</v>
      </c>
      <c r="F30" s="79">
        <v>1.57</v>
      </c>
      <c r="G30" s="79">
        <v>1.51</v>
      </c>
      <c r="H30" s="79">
        <v>1.4</v>
      </c>
      <c r="I30" s="79">
        <v>1.38</v>
      </c>
      <c r="J30" s="79">
        <v>1.29</v>
      </c>
      <c r="K30" s="79">
        <v>1.2</v>
      </c>
      <c r="L30" s="79">
        <v>1.1100000000000001</v>
      </c>
      <c r="M30" s="79">
        <v>1.04</v>
      </c>
      <c r="N30" s="79">
        <v>0.96</v>
      </c>
      <c r="O30" s="79">
        <v>0.9</v>
      </c>
      <c r="P30" s="79">
        <v>0.83</v>
      </c>
      <c r="Q30" s="79">
        <v>0.77</v>
      </c>
      <c r="R30" s="79">
        <v>0.72</v>
      </c>
      <c r="S30" s="79">
        <v>0.67</v>
      </c>
      <c r="T30" s="79">
        <v>0.62</v>
      </c>
      <c r="U30" s="79">
        <v>0.56999999999999995</v>
      </c>
      <c r="V30" s="79">
        <v>0.53</v>
      </c>
      <c r="W30" s="79">
        <v>0.49</v>
      </c>
      <c r="X30" s="79">
        <v>0.44</v>
      </c>
      <c r="Y30" s="79">
        <v>0.4</v>
      </c>
      <c r="Z30" s="79">
        <v>0.36</v>
      </c>
      <c r="AA30" s="79">
        <v>0.32</v>
      </c>
      <c r="AB30" s="79">
        <v>0.28999999999999998</v>
      </c>
      <c r="AC30" s="79">
        <v>0.25</v>
      </c>
      <c r="AD30" s="79">
        <v>0.22</v>
      </c>
      <c r="AE30" s="79">
        <v>0.19</v>
      </c>
      <c r="AF30" s="79">
        <v>0.16</v>
      </c>
      <c r="AG30" s="79">
        <v>0.12</v>
      </c>
      <c r="AH30" s="79">
        <v>0.1</v>
      </c>
      <c r="AI30" s="79">
        <v>7.0000000000000007E-2</v>
      </c>
      <c r="AJ30" s="79">
        <v>0.04</v>
      </c>
      <c r="AK30" s="79">
        <v>0.02</v>
      </c>
    </row>
    <row r="31" spans="1:37" x14ac:dyDescent="0.25">
      <c r="A31" s="79" t="s">
        <v>326</v>
      </c>
      <c r="B31" s="79">
        <v>2.37</v>
      </c>
      <c r="C31" s="79">
        <v>2.15</v>
      </c>
      <c r="D31" s="79">
        <v>1.89</v>
      </c>
      <c r="E31" s="79">
        <v>1.7</v>
      </c>
      <c r="F31" s="79">
        <v>1.57</v>
      </c>
      <c r="G31" s="79">
        <v>1.51</v>
      </c>
      <c r="H31" s="79">
        <v>1.4</v>
      </c>
      <c r="I31" s="79">
        <v>1.38</v>
      </c>
      <c r="J31" s="79">
        <v>1.29</v>
      </c>
      <c r="K31" s="79">
        <v>1.2</v>
      </c>
      <c r="L31" s="79">
        <v>1.1100000000000001</v>
      </c>
      <c r="M31" s="79">
        <v>1.04</v>
      </c>
      <c r="N31" s="79">
        <v>0.96</v>
      </c>
      <c r="O31" s="79">
        <v>0.9</v>
      </c>
      <c r="P31" s="79">
        <v>0.83</v>
      </c>
      <c r="Q31" s="79">
        <v>0.77</v>
      </c>
      <c r="R31" s="79">
        <v>0.72</v>
      </c>
      <c r="S31" s="79">
        <v>0.67</v>
      </c>
      <c r="T31" s="79">
        <v>0.62</v>
      </c>
      <c r="U31" s="79">
        <v>0.56999999999999995</v>
      </c>
      <c r="V31" s="79">
        <v>0.53</v>
      </c>
      <c r="W31" s="79">
        <v>0.49</v>
      </c>
      <c r="X31" s="79">
        <v>0.44</v>
      </c>
      <c r="Y31" s="79">
        <v>0.4</v>
      </c>
      <c r="Z31" s="79">
        <v>0.36</v>
      </c>
      <c r="AA31" s="79">
        <v>0.32</v>
      </c>
      <c r="AB31" s="79">
        <v>0.28999999999999998</v>
      </c>
      <c r="AC31" s="79">
        <v>0.25</v>
      </c>
      <c r="AD31" s="79">
        <v>0.22</v>
      </c>
      <c r="AE31" s="79">
        <v>0.19</v>
      </c>
      <c r="AF31" s="79">
        <v>0.16</v>
      </c>
      <c r="AG31" s="79">
        <v>0.12</v>
      </c>
      <c r="AH31" s="79">
        <v>0.1</v>
      </c>
      <c r="AI31" s="79">
        <v>7.0000000000000007E-2</v>
      </c>
      <c r="AJ31" s="79">
        <v>0.04</v>
      </c>
      <c r="AK31" s="79">
        <v>0.02</v>
      </c>
    </row>
    <row r="33" spans="1:37" ht="18.75" x14ac:dyDescent="0.3">
      <c r="A33" s="80" t="s">
        <v>336</v>
      </c>
    </row>
    <row r="34" spans="1:37" x14ac:dyDescent="0.25">
      <c r="A34" s="79" t="s">
        <v>314</v>
      </c>
      <c r="B34" s="79" t="s">
        <v>313</v>
      </c>
      <c r="C34" s="79" t="s">
        <v>312</v>
      </c>
      <c r="D34" s="79" t="s">
        <v>311</v>
      </c>
      <c r="E34" s="79" t="s">
        <v>310</v>
      </c>
      <c r="F34" s="79" t="s">
        <v>309</v>
      </c>
      <c r="G34" s="79" t="s">
        <v>308</v>
      </c>
      <c r="H34" s="79" t="s">
        <v>307</v>
      </c>
      <c r="I34" s="79" t="s">
        <v>306</v>
      </c>
      <c r="J34" s="79" t="s">
        <v>305</v>
      </c>
      <c r="K34" s="79" t="s">
        <v>304</v>
      </c>
      <c r="L34" s="79" t="s">
        <v>303</v>
      </c>
      <c r="M34" s="79" t="s">
        <v>302</v>
      </c>
      <c r="N34" s="79" t="s">
        <v>301</v>
      </c>
      <c r="O34" s="79" t="s">
        <v>300</v>
      </c>
      <c r="P34" s="79" t="s">
        <v>299</v>
      </c>
      <c r="Q34" s="79" t="s">
        <v>298</v>
      </c>
      <c r="R34" s="79" t="s">
        <v>297</v>
      </c>
      <c r="S34" s="79" t="s">
        <v>296</v>
      </c>
      <c r="T34" s="79" t="s">
        <v>295</v>
      </c>
      <c r="U34" s="79" t="s">
        <v>294</v>
      </c>
      <c r="V34" s="79" t="s">
        <v>293</v>
      </c>
      <c r="W34" s="79" t="s">
        <v>292</v>
      </c>
      <c r="X34" s="79" t="s">
        <v>291</v>
      </c>
      <c r="Y34" s="79" t="s">
        <v>290</v>
      </c>
      <c r="Z34" s="79" t="s">
        <v>289</v>
      </c>
      <c r="AA34" s="79" t="s">
        <v>288</v>
      </c>
      <c r="AB34" s="79" t="s">
        <v>287</v>
      </c>
      <c r="AC34" s="79" t="s">
        <v>286</v>
      </c>
      <c r="AD34" s="79" t="s">
        <v>285</v>
      </c>
      <c r="AE34" s="79" t="s">
        <v>284</v>
      </c>
      <c r="AF34" s="79" t="s">
        <v>283</v>
      </c>
      <c r="AG34" s="79" t="s">
        <v>282</v>
      </c>
      <c r="AH34" s="79" t="s">
        <v>281</v>
      </c>
      <c r="AI34" s="79" t="s">
        <v>280</v>
      </c>
      <c r="AJ34" s="79" t="s">
        <v>279</v>
      </c>
      <c r="AK34" s="79" t="s">
        <v>278</v>
      </c>
    </row>
    <row r="35" spans="1:37" x14ac:dyDescent="0.25">
      <c r="A35" s="79" t="s">
        <v>41</v>
      </c>
      <c r="B35" s="79">
        <v>13.9</v>
      </c>
      <c r="C35" s="79">
        <v>18.98</v>
      </c>
      <c r="D35" s="79">
        <v>22.22</v>
      </c>
      <c r="E35" s="79">
        <v>23.53</v>
      </c>
      <c r="F35" s="79">
        <v>25.65</v>
      </c>
      <c r="G35" s="79">
        <v>27.81</v>
      </c>
      <c r="H35" s="79">
        <v>40.65</v>
      </c>
      <c r="I35" s="79">
        <v>51.09</v>
      </c>
      <c r="J35" s="79">
        <v>55.5</v>
      </c>
      <c r="K35" s="79">
        <v>45.96</v>
      </c>
      <c r="L35" s="79">
        <v>38.11</v>
      </c>
      <c r="M35" s="79">
        <v>33.71</v>
      </c>
      <c r="N35" s="79">
        <v>30.58</v>
      </c>
      <c r="O35" s="79">
        <v>28.04</v>
      </c>
      <c r="P35" s="79">
        <v>26.08</v>
      </c>
      <c r="Q35" s="79">
        <v>24.47</v>
      </c>
      <c r="R35" s="79">
        <v>23.1</v>
      </c>
      <c r="S35" s="79">
        <v>21.97</v>
      </c>
      <c r="T35" s="79">
        <v>21.06</v>
      </c>
      <c r="U35" s="79">
        <v>20.329999999999998</v>
      </c>
      <c r="V35" s="79">
        <v>19.78</v>
      </c>
      <c r="W35" s="79">
        <v>19.37</v>
      </c>
      <c r="X35" s="79">
        <v>19.059999999999999</v>
      </c>
      <c r="Y35" s="79">
        <v>18.760000000000002</v>
      </c>
      <c r="Z35" s="79">
        <v>18.45</v>
      </c>
      <c r="AA35" s="79">
        <v>18.100000000000001</v>
      </c>
      <c r="AB35" s="79">
        <v>17.72</v>
      </c>
      <c r="AC35" s="79">
        <v>17.37</v>
      </c>
      <c r="AD35" s="79">
        <v>16.989999999999998</v>
      </c>
      <c r="AE35" s="79">
        <v>16.489999999999998</v>
      </c>
      <c r="AF35" s="79">
        <v>15.97</v>
      </c>
      <c r="AG35" s="79">
        <v>15.48</v>
      </c>
      <c r="AH35" s="79">
        <v>14.96</v>
      </c>
      <c r="AI35" s="79">
        <v>14.64</v>
      </c>
      <c r="AJ35" s="79">
        <v>14.35</v>
      </c>
      <c r="AK35" s="79">
        <v>14.08</v>
      </c>
    </row>
    <row r="36" spans="1:37" x14ac:dyDescent="0.25">
      <c r="A36" s="79" t="s">
        <v>326</v>
      </c>
      <c r="B36" s="79">
        <v>13.9</v>
      </c>
      <c r="C36" s="79">
        <v>18.98</v>
      </c>
      <c r="D36" s="79">
        <v>22.22</v>
      </c>
      <c r="E36" s="79">
        <v>23.53</v>
      </c>
      <c r="F36" s="79">
        <v>25.65</v>
      </c>
      <c r="G36" s="79">
        <v>27.81</v>
      </c>
      <c r="H36" s="79">
        <v>40.65</v>
      </c>
      <c r="I36" s="79">
        <v>51.09</v>
      </c>
      <c r="J36" s="79">
        <v>55.5</v>
      </c>
      <c r="K36" s="79">
        <v>45.96</v>
      </c>
      <c r="L36" s="79">
        <v>38.11</v>
      </c>
      <c r="M36" s="79">
        <v>33.71</v>
      </c>
      <c r="N36" s="79">
        <v>30.58</v>
      </c>
      <c r="O36" s="79">
        <v>28.04</v>
      </c>
      <c r="P36" s="79">
        <v>26.08</v>
      </c>
      <c r="Q36" s="79">
        <v>24.47</v>
      </c>
      <c r="R36" s="79">
        <v>23.1</v>
      </c>
      <c r="S36" s="79">
        <v>21.97</v>
      </c>
      <c r="T36" s="79">
        <v>21.06</v>
      </c>
      <c r="U36" s="79">
        <v>20.329999999999998</v>
      </c>
      <c r="V36" s="79">
        <v>19.78</v>
      </c>
      <c r="W36" s="79">
        <v>19.37</v>
      </c>
      <c r="X36" s="79">
        <v>19.059999999999999</v>
      </c>
      <c r="Y36" s="79">
        <v>18.760000000000002</v>
      </c>
      <c r="Z36" s="79">
        <v>18.45</v>
      </c>
      <c r="AA36" s="79">
        <v>18.100000000000001</v>
      </c>
      <c r="AB36" s="79">
        <v>17.72</v>
      </c>
      <c r="AC36" s="79">
        <v>17.37</v>
      </c>
      <c r="AD36" s="79">
        <v>16.989999999999998</v>
      </c>
      <c r="AE36" s="79">
        <v>16.489999999999998</v>
      </c>
      <c r="AF36" s="79">
        <v>15.97</v>
      </c>
      <c r="AG36" s="79">
        <v>15.48</v>
      </c>
      <c r="AH36" s="79">
        <v>14.96</v>
      </c>
      <c r="AI36" s="79">
        <v>14.64</v>
      </c>
      <c r="AJ36" s="79">
        <v>14.35</v>
      </c>
      <c r="AK36" s="79">
        <v>14.08</v>
      </c>
    </row>
    <row r="38" spans="1:37" ht="18.75" x14ac:dyDescent="0.3">
      <c r="A38" s="80" t="s">
        <v>337</v>
      </c>
    </row>
    <row r="39" spans="1:37" x14ac:dyDescent="0.25">
      <c r="A39" s="79" t="s">
        <v>314</v>
      </c>
      <c r="B39" s="79" t="s">
        <v>313</v>
      </c>
      <c r="C39" s="79" t="s">
        <v>312</v>
      </c>
      <c r="D39" s="79" t="s">
        <v>311</v>
      </c>
      <c r="E39" s="79" t="s">
        <v>310</v>
      </c>
      <c r="F39" s="79" t="s">
        <v>309</v>
      </c>
      <c r="G39" s="79" t="s">
        <v>308</v>
      </c>
      <c r="H39" s="79" t="s">
        <v>307</v>
      </c>
      <c r="I39" s="79" t="s">
        <v>306</v>
      </c>
      <c r="J39" s="79" t="s">
        <v>305</v>
      </c>
      <c r="K39" s="79" t="s">
        <v>304</v>
      </c>
      <c r="L39" s="79" t="s">
        <v>303</v>
      </c>
      <c r="M39" s="79" t="s">
        <v>302</v>
      </c>
      <c r="N39" s="79" t="s">
        <v>301</v>
      </c>
      <c r="O39" s="79" t="s">
        <v>300</v>
      </c>
      <c r="P39" s="79" t="s">
        <v>299</v>
      </c>
      <c r="Q39" s="79" t="s">
        <v>298</v>
      </c>
      <c r="R39" s="79" t="s">
        <v>297</v>
      </c>
      <c r="S39" s="79" t="s">
        <v>296</v>
      </c>
      <c r="T39" s="79" t="s">
        <v>295</v>
      </c>
      <c r="U39" s="79" t="s">
        <v>294</v>
      </c>
      <c r="V39" s="79" t="s">
        <v>293</v>
      </c>
      <c r="W39" s="79" t="s">
        <v>292</v>
      </c>
      <c r="X39" s="79" t="s">
        <v>291</v>
      </c>
      <c r="Y39" s="79" t="s">
        <v>290</v>
      </c>
      <c r="Z39" s="79" t="s">
        <v>289</v>
      </c>
      <c r="AA39" s="79" t="s">
        <v>288</v>
      </c>
      <c r="AB39" s="79" t="s">
        <v>287</v>
      </c>
      <c r="AC39" s="79" t="s">
        <v>286</v>
      </c>
      <c r="AD39" s="79" t="s">
        <v>285</v>
      </c>
      <c r="AE39" s="79" t="s">
        <v>284</v>
      </c>
      <c r="AF39" s="79" t="s">
        <v>283</v>
      </c>
      <c r="AG39" s="79" t="s">
        <v>282</v>
      </c>
      <c r="AH39" s="79" t="s">
        <v>281</v>
      </c>
      <c r="AI39" s="79" t="s">
        <v>280</v>
      </c>
      <c r="AJ39" s="79" t="s">
        <v>279</v>
      </c>
      <c r="AK39" s="79" t="s">
        <v>278</v>
      </c>
    </row>
    <row r="40" spans="1:37" x14ac:dyDescent="0.25">
      <c r="A40" s="79" t="s">
        <v>41</v>
      </c>
      <c r="B40" s="79">
        <v>1775.66</v>
      </c>
      <c r="C40" s="79">
        <v>1943.63</v>
      </c>
      <c r="D40" s="79">
        <v>1992.32</v>
      </c>
      <c r="E40" s="79">
        <v>1949.15</v>
      </c>
      <c r="F40" s="79">
        <v>2082.75</v>
      </c>
      <c r="G40" s="79">
        <v>2199.41</v>
      </c>
      <c r="H40" s="79">
        <v>2357.98</v>
      </c>
      <c r="I40" s="79">
        <v>2599.1799999999998</v>
      </c>
      <c r="J40" s="79">
        <v>2798.39</v>
      </c>
      <c r="K40" s="79">
        <v>3051.73</v>
      </c>
      <c r="L40" s="79">
        <v>3264.25</v>
      </c>
      <c r="M40" s="79">
        <v>3503.22</v>
      </c>
      <c r="N40" s="79">
        <v>3750.36</v>
      </c>
      <c r="O40" s="79">
        <v>3858.24</v>
      </c>
      <c r="P40" s="79">
        <v>3938.65</v>
      </c>
      <c r="Q40" s="79">
        <v>4002.3</v>
      </c>
      <c r="R40" s="79">
        <v>4059.62</v>
      </c>
      <c r="S40" s="79">
        <v>4156.8500000000004</v>
      </c>
      <c r="T40" s="79">
        <v>4317.99</v>
      </c>
      <c r="U40" s="79">
        <v>4448.7</v>
      </c>
      <c r="V40" s="79">
        <v>4542.43</v>
      </c>
      <c r="W40" s="79">
        <v>4642.1099999999997</v>
      </c>
      <c r="X40" s="79">
        <v>4740.53</v>
      </c>
      <c r="Y40" s="79">
        <v>4833.55</v>
      </c>
      <c r="Z40" s="79">
        <v>4911.24</v>
      </c>
      <c r="AA40" s="79">
        <v>4980.37</v>
      </c>
      <c r="AB40" s="79">
        <v>5051.79</v>
      </c>
      <c r="AC40" s="79">
        <v>5119.3900000000003</v>
      </c>
      <c r="AD40" s="79">
        <v>5172.08</v>
      </c>
      <c r="AE40" s="79">
        <v>5218.13</v>
      </c>
      <c r="AF40" s="79">
        <v>5267.2</v>
      </c>
      <c r="AG40" s="79">
        <v>5315.51</v>
      </c>
      <c r="AH40" s="79">
        <v>5351.93</v>
      </c>
      <c r="AI40" s="79">
        <v>5383.37</v>
      </c>
      <c r="AJ40" s="79">
        <v>5411.34</v>
      </c>
      <c r="AK40" s="79">
        <v>5437.62</v>
      </c>
    </row>
    <row r="41" spans="1:37" x14ac:dyDescent="0.25">
      <c r="A41" s="79" t="s">
        <v>326</v>
      </c>
      <c r="B41" s="79">
        <v>373.74</v>
      </c>
      <c r="C41" s="79">
        <v>359.9</v>
      </c>
      <c r="D41" s="79">
        <v>346.69</v>
      </c>
      <c r="E41" s="79">
        <v>346.69</v>
      </c>
      <c r="F41" s="79">
        <v>318.38</v>
      </c>
      <c r="G41" s="79">
        <v>319</v>
      </c>
      <c r="H41" s="79">
        <v>350.46</v>
      </c>
      <c r="I41" s="79">
        <v>408.98</v>
      </c>
      <c r="J41" s="79">
        <v>429.74</v>
      </c>
      <c r="K41" s="79">
        <v>437.17</v>
      </c>
      <c r="L41" s="79">
        <v>432.11</v>
      </c>
      <c r="M41" s="79">
        <v>420.36</v>
      </c>
      <c r="N41" s="79">
        <v>412.68</v>
      </c>
      <c r="O41" s="79">
        <v>406.17</v>
      </c>
      <c r="P41" s="79">
        <v>401.87</v>
      </c>
      <c r="Q41" s="79">
        <v>399.6</v>
      </c>
      <c r="R41" s="79">
        <v>398.76</v>
      </c>
      <c r="S41" s="79">
        <v>399.55</v>
      </c>
      <c r="T41" s="79">
        <v>402.01</v>
      </c>
      <c r="U41" s="79">
        <v>405.74</v>
      </c>
      <c r="V41" s="79">
        <v>410.62</v>
      </c>
      <c r="W41" s="79">
        <v>416.16</v>
      </c>
      <c r="X41" s="79">
        <v>421.73</v>
      </c>
      <c r="Y41" s="79">
        <v>426.62</v>
      </c>
      <c r="Z41" s="79">
        <v>430.27</v>
      </c>
      <c r="AA41" s="79">
        <v>432.6</v>
      </c>
      <c r="AB41" s="79">
        <v>433.63</v>
      </c>
      <c r="AC41" s="79">
        <v>433.28</v>
      </c>
      <c r="AD41" s="79">
        <v>431.4</v>
      </c>
      <c r="AE41" s="79">
        <v>429.09</v>
      </c>
      <c r="AF41" s="79">
        <v>425.38</v>
      </c>
      <c r="AG41" s="79">
        <v>421.87</v>
      </c>
      <c r="AH41" s="79">
        <v>418</v>
      </c>
      <c r="AI41" s="79">
        <v>414.1</v>
      </c>
      <c r="AJ41" s="79">
        <v>409.38</v>
      </c>
      <c r="AK41" s="79">
        <v>404.21</v>
      </c>
    </row>
    <row r="42" spans="1:37" x14ac:dyDescent="0.25">
      <c r="A42" s="79" t="s">
        <v>327</v>
      </c>
      <c r="B42" s="79">
        <v>197.57</v>
      </c>
      <c r="C42" s="79">
        <v>183.73</v>
      </c>
      <c r="D42" s="79">
        <v>178.06</v>
      </c>
      <c r="E42" s="79">
        <v>156.04</v>
      </c>
      <c r="F42" s="79">
        <v>142.83000000000001</v>
      </c>
      <c r="G42" s="79">
        <v>140.31</v>
      </c>
      <c r="H42" s="79">
        <v>139.68</v>
      </c>
      <c r="I42" s="79">
        <v>146.6</v>
      </c>
      <c r="J42" s="79">
        <v>152.9</v>
      </c>
      <c r="K42" s="79">
        <v>153.22</v>
      </c>
      <c r="L42" s="79">
        <v>149.83000000000001</v>
      </c>
      <c r="M42" s="79">
        <v>145.47999999999999</v>
      </c>
      <c r="N42" s="79">
        <v>141.28</v>
      </c>
      <c r="O42" s="79">
        <v>137.51</v>
      </c>
      <c r="P42" s="79">
        <v>134.29</v>
      </c>
      <c r="Q42" s="79">
        <v>131.52000000000001</v>
      </c>
      <c r="R42" s="79">
        <v>129.18</v>
      </c>
      <c r="S42" s="79">
        <v>127.3</v>
      </c>
      <c r="T42" s="79">
        <v>125.82</v>
      </c>
      <c r="U42" s="79">
        <v>124.72</v>
      </c>
      <c r="V42" s="79">
        <v>123.98</v>
      </c>
      <c r="W42" s="79">
        <v>123.48</v>
      </c>
      <c r="X42" s="79">
        <v>123.13</v>
      </c>
      <c r="Y42" s="79">
        <v>122.72</v>
      </c>
      <c r="Z42" s="79">
        <v>122.11</v>
      </c>
      <c r="AA42" s="79">
        <v>121.26</v>
      </c>
      <c r="AB42" s="79">
        <v>120.16</v>
      </c>
      <c r="AC42" s="79">
        <v>118.8</v>
      </c>
      <c r="AD42" s="79">
        <v>117.13</v>
      </c>
      <c r="AE42" s="79">
        <v>115.37</v>
      </c>
      <c r="AF42" s="79">
        <v>113.22</v>
      </c>
      <c r="AG42" s="79">
        <v>111.29</v>
      </c>
      <c r="AH42" s="79">
        <v>109.33</v>
      </c>
      <c r="AI42" s="79">
        <v>107.43</v>
      </c>
      <c r="AJ42" s="79">
        <v>105.46</v>
      </c>
      <c r="AK42" s="79">
        <v>103.45</v>
      </c>
    </row>
    <row r="43" spans="1:37" x14ac:dyDescent="0.25">
      <c r="A43" s="79" t="s">
        <v>328</v>
      </c>
      <c r="B43" s="79">
        <v>129.4</v>
      </c>
      <c r="C43" s="79">
        <v>134.34</v>
      </c>
      <c r="D43" s="79">
        <v>133.74</v>
      </c>
      <c r="E43" s="79">
        <v>126.29</v>
      </c>
      <c r="F43" s="79">
        <v>118.52</v>
      </c>
      <c r="G43" s="79">
        <v>115.36</v>
      </c>
      <c r="H43" s="79">
        <v>111.5</v>
      </c>
      <c r="I43" s="79">
        <v>108.8</v>
      </c>
      <c r="J43" s="79">
        <v>114.26</v>
      </c>
      <c r="K43" s="79">
        <v>133.6</v>
      </c>
      <c r="L43" s="79">
        <v>143.30000000000001</v>
      </c>
      <c r="M43" s="79">
        <v>140.68</v>
      </c>
      <c r="N43" s="79">
        <v>141.16</v>
      </c>
      <c r="O43" s="79">
        <v>141.6</v>
      </c>
      <c r="P43" s="79">
        <v>142.22</v>
      </c>
      <c r="Q43" s="79">
        <v>142.69999999999999</v>
      </c>
      <c r="R43" s="79">
        <v>143.29</v>
      </c>
      <c r="S43" s="79">
        <v>143.9</v>
      </c>
      <c r="T43" s="79">
        <v>144.35</v>
      </c>
      <c r="U43" s="79">
        <v>144.66999999999999</v>
      </c>
      <c r="V43" s="79">
        <v>144.72</v>
      </c>
      <c r="W43" s="79">
        <v>144.56</v>
      </c>
      <c r="X43" s="79">
        <v>144.38</v>
      </c>
      <c r="Y43" s="79">
        <v>144.24</v>
      </c>
      <c r="Z43" s="79">
        <v>144.16999999999999</v>
      </c>
      <c r="AA43" s="79">
        <v>144.38</v>
      </c>
      <c r="AB43" s="79">
        <v>144.72</v>
      </c>
      <c r="AC43" s="79">
        <v>145.22999999999999</v>
      </c>
      <c r="AD43" s="79">
        <v>145.31</v>
      </c>
      <c r="AE43" s="79">
        <v>145.19999999999999</v>
      </c>
      <c r="AF43" s="79">
        <v>145.01</v>
      </c>
      <c r="AG43" s="79">
        <v>144.80000000000001</v>
      </c>
      <c r="AH43" s="79">
        <v>144.63</v>
      </c>
      <c r="AI43" s="79">
        <v>144.41</v>
      </c>
      <c r="AJ43" s="79">
        <v>144.28</v>
      </c>
      <c r="AK43" s="79">
        <v>144.22</v>
      </c>
    </row>
    <row r="44" spans="1:37" x14ac:dyDescent="0.25">
      <c r="A44" s="79" t="s">
        <v>329</v>
      </c>
      <c r="B44" s="79">
        <v>9.7100000000000009</v>
      </c>
      <c r="C44" s="79">
        <v>11.03</v>
      </c>
      <c r="D44" s="79">
        <v>13.14</v>
      </c>
      <c r="E44" s="79">
        <v>15.17</v>
      </c>
      <c r="F44" s="79">
        <v>13.7</v>
      </c>
      <c r="G44" s="79">
        <v>12.09</v>
      </c>
      <c r="H44" s="79">
        <v>12.19</v>
      </c>
      <c r="I44" s="79">
        <v>12.59</v>
      </c>
      <c r="J44" s="79">
        <v>16.32</v>
      </c>
      <c r="K44" s="79">
        <v>23.8</v>
      </c>
      <c r="L44" s="79">
        <v>23.33</v>
      </c>
      <c r="M44" s="79">
        <v>22.7</v>
      </c>
      <c r="N44" s="79">
        <v>22.28</v>
      </c>
      <c r="O44" s="79">
        <v>21.93</v>
      </c>
      <c r="P44" s="79">
        <v>21.7</v>
      </c>
      <c r="Q44" s="79">
        <v>21.58</v>
      </c>
      <c r="R44" s="79">
        <v>21.53</v>
      </c>
      <c r="S44" s="79">
        <v>21.58</v>
      </c>
      <c r="T44" s="79">
        <v>21.71</v>
      </c>
      <c r="U44" s="79">
        <v>21.91</v>
      </c>
      <c r="V44" s="79">
        <v>22.17</v>
      </c>
      <c r="W44" s="79">
        <v>22.47</v>
      </c>
      <c r="X44" s="79">
        <v>22.77</v>
      </c>
      <c r="Y44" s="79">
        <v>23.04</v>
      </c>
      <c r="Z44" s="79">
        <v>23.23</v>
      </c>
      <c r="AA44" s="79">
        <v>23.36</v>
      </c>
      <c r="AB44" s="79">
        <v>23.42</v>
      </c>
      <c r="AC44" s="79">
        <v>23.4</v>
      </c>
      <c r="AD44" s="79">
        <v>23.3</v>
      </c>
      <c r="AE44" s="79">
        <v>23.17</v>
      </c>
      <c r="AF44" s="79">
        <v>22.97</v>
      </c>
      <c r="AG44" s="79">
        <v>22.78</v>
      </c>
      <c r="AH44" s="79">
        <v>22.57</v>
      </c>
      <c r="AI44" s="79">
        <v>22.36</v>
      </c>
      <c r="AJ44" s="79">
        <v>22.11</v>
      </c>
      <c r="AK44" s="79">
        <v>21.83</v>
      </c>
    </row>
    <row r="45" spans="1:37" x14ac:dyDescent="0.25">
      <c r="A45" s="79" t="s">
        <v>330</v>
      </c>
      <c r="B45" s="79">
        <v>626.67999999999995</v>
      </c>
      <c r="C45" s="79">
        <v>760.7</v>
      </c>
      <c r="D45" s="79">
        <v>784.61</v>
      </c>
      <c r="E45" s="79">
        <v>721.69</v>
      </c>
      <c r="F45" s="79">
        <v>825.51</v>
      </c>
      <c r="G45" s="79">
        <v>856.97</v>
      </c>
      <c r="H45" s="79">
        <v>892.21</v>
      </c>
      <c r="I45" s="79">
        <v>929.96</v>
      </c>
      <c r="J45" s="79">
        <v>976.52</v>
      </c>
      <c r="K45" s="79">
        <v>1038.18</v>
      </c>
      <c r="L45" s="79">
        <v>1131.44</v>
      </c>
      <c r="M45" s="79">
        <v>1258.8599999999999</v>
      </c>
      <c r="N45" s="79">
        <v>1364.59</v>
      </c>
      <c r="O45" s="79">
        <v>1417.64</v>
      </c>
      <c r="P45" s="79">
        <v>1462.99</v>
      </c>
      <c r="Q45" s="79">
        <v>1475.21</v>
      </c>
      <c r="R45" s="79">
        <v>1475.96</v>
      </c>
      <c r="S45" s="79">
        <v>1490.36</v>
      </c>
      <c r="T45" s="79">
        <v>1524.93</v>
      </c>
      <c r="U45" s="79">
        <v>1549.24</v>
      </c>
      <c r="V45" s="79">
        <v>1556.99</v>
      </c>
      <c r="W45" s="79">
        <v>1561.49</v>
      </c>
      <c r="X45" s="79">
        <v>1570.86</v>
      </c>
      <c r="Y45" s="79">
        <v>1581.44</v>
      </c>
      <c r="Z45" s="79">
        <v>1583.56</v>
      </c>
      <c r="AA45" s="79">
        <v>1583.56</v>
      </c>
      <c r="AB45" s="79">
        <v>1592.03</v>
      </c>
      <c r="AC45" s="79">
        <v>1602.62</v>
      </c>
      <c r="AD45" s="79">
        <v>1604.74</v>
      </c>
      <c r="AE45" s="79">
        <v>1604.74</v>
      </c>
      <c r="AF45" s="79">
        <v>1613.21</v>
      </c>
      <c r="AG45" s="79">
        <v>1623.8</v>
      </c>
      <c r="AH45" s="79">
        <v>1625.91</v>
      </c>
      <c r="AI45" s="79">
        <v>1625.91</v>
      </c>
      <c r="AJ45" s="79">
        <v>1625.91</v>
      </c>
      <c r="AK45" s="79">
        <v>1625.91</v>
      </c>
    </row>
    <row r="46" spans="1:37" x14ac:dyDescent="0.25">
      <c r="A46" s="79" t="s">
        <v>331</v>
      </c>
      <c r="B46" s="79">
        <v>438.55</v>
      </c>
      <c r="C46" s="79">
        <v>493.92</v>
      </c>
      <c r="D46" s="79">
        <v>536.08000000000004</v>
      </c>
      <c r="E46" s="79">
        <v>583.27</v>
      </c>
      <c r="F46" s="79">
        <v>663.81</v>
      </c>
      <c r="G46" s="79">
        <v>755.67</v>
      </c>
      <c r="H46" s="79">
        <v>851.94</v>
      </c>
      <c r="I46" s="79">
        <v>992.25</v>
      </c>
      <c r="J46" s="79">
        <v>1108.6500000000001</v>
      </c>
      <c r="K46" s="79">
        <v>1265.95</v>
      </c>
      <c r="L46" s="79">
        <v>1384.24</v>
      </c>
      <c r="M46" s="79">
        <v>1515.14</v>
      </c>
      <c r="N46" s="79">
        <v>1668.36</v>
      </c>
      <c r="O46" s="79">
        <v>1733.4</v>
      </c>
      <c r="P46" s="79">
        <v>1775.58</v>
      </c>
      <c r="Q46" s="79">
        <v>1831.7</v>
      </c>
      <c r="R46" s="79">
        <v>1890.89</v>
      </c>
      <c r="S46" s="79">
        <v>1974.17</v>
      </c>
      <c r="T46" s="79">
        <v>2099.17</v>
      </c>
      <c r="U46" s="79">
        <v>2202.42</v>
      </c>
      <c r="V46" s="79">
        <v>2283.96</v>
      </c>
      <c r="W46" s="79">
        <v>2373.96</v>
      </c>
      <c r="X46" s="79">
        <v>2457.66</v>
      </c>
      <c r="Y46" s="79">
        <v>2535.5</v>
      </c>
      <c r="Z46" s="79">
        <v>2607.89</v>
      </c>
      <c r="AA46" s="79">
        <v>2675.21</v>
      </c>
      <c r="AB46" s="79">
        <v>2737.83</v>
      </c>
      <c r="AC46" s="79">
        <v>2796.06</v>
      </c>
      <c r="AD46" s="79">
        <v>2850.21</v>
      </c>
      <c r="AE46" s="79">
        <v>2900.57</v>
      </c>
      <c r="AF46" s="79">
        <v>2947.41</v>
      </c>
      <c r="AG46" s="79">
        <v>2990.97</v>
      </c>
      <c r="AH46" s="79">
        <v>3031.48</v>
      </c>
      <c r="AI46" s="79">
        <v>3069.15</v>
      </c>
      <c r="AJ46" s="79">
        <v>3104.19</v>
      </c>
      <c r="AK46" s="79">
        <v>3138</v>
      </c>
    </row>
    <row r="47" spans="1:37" x14ac:dyDescent="0.25">
      <c r="A47" s="79" t="s">
        <v>332</v>
      </c>
      <c r="B47" s="79">
        <v>546.77</v>
      </c>
      <c r="C47" s="79">
        <v>658.14</v>
      </c>
      <c r="D47" s="79">
        <v>687.72</v>
      </c>
      <c r="E47" s="79">
        <v>653.74</v>
      </c>
      <c r="F47" s="79">
        <v>765.74</v>
      </c>
      <c r="G47" s="79">
        <v>794.68</v>
      </c>
      <c r="H47" s="79">
        <v>862.63</v>
      </c>
      <c r="I47" s="79">
        <v>913.6</v>
      </c>
      <c r="J47" s="79">
        <v>936.25</v>
      </c>
      <c r="K47" s="79">
        <v>954.5</v>
      </c>
      <c r="L47" s="79">
        <v>998.54</v>
      </c>
      <c r="M47" s="79">
        <v>1018.49</v>
      </c>
      <c r="N47" s="79">
        <v>1056.74</v>
      </c>
      <c r="O47" s="79">
        <v>1112.0899999999999</v>
      </c>
      <c r="P47" s="79">
        <v>1155.1400000000001</v>
      </c>
      <c r="Q47" s="79">
        <v>1165.53</v>
      </c>
      <c r="R47" s="79">
        <v>1166.17</v>
      </c>
      <c r="S47" s="79">
        <v>1166.17</v>
      </c>
      <c r="T47" s="79">
        <v>1173.3699999999999</v>
      </c>
      <c r="U47" s="79">
        <v>1182.3699999999999</v>
      </c>
      <c r="V47" s="79">
        <v>1184.17</v>
      </c>
      <c r="W47" s="79">
        <v>1184.17</v>
      </c>
      <c r="X47" s="79">
        <v>1191.3699999999999</v>
      </c>
      <c r="Y47" s="79">
        <v>1200.3699999999999</v>
      </c>
      <c r="Z47" s="79">
        <v>1202.17</v>
      </c>
      <c r="AA47" s="79">
        <v>1202.17</v>
      </c>
      <c r="AB47" s="79">
        <v>1209.3699999999999</v>
      </c>
      <c r="AC47" s="79">
        <v>1218.3699999999999</v>
      </c>
      <c r="AD47" s="79">
        <v>1220.17</v>
      </c>
      <c r="AE47" s="79">
        <v>1220.17</v>
      </c>
      <c r="AF47" s="79">
        <v>1227.3699999999999</v>
      </c>
      <c r="AG47" s="79">
        <v>1236.3699999999999</v>
      </c>
      <c r="AH47" s="79">
        <v>1238.17</v>
      </c>
      <c r="AI47" s="79">
        <v>1238.17</v>
      </c>
      <c r="AJ47" s="79">
        <v>1238.17</v>
      </c>
      <c r="AK47" s="79">
        <v>1238.17</v>
      </c>
    </row>
    <row r="49" spans="1:37" ht="18.75" x14ac:dyDescent="0.3">
      <c r="A49" s="80" t="s">
        <v>338</v>
      </c>
    </row>
    <row r="50" spans="1:37" x14ac:dyDescent="0.25">
      <c r="A50" s="79" t="s">
        <v>314</v>
      </c>
      <c r="B50" s="79" t="s">
        <v>313</v>
      </c>
      <c r="C50" s="79" t="s">
        <v>312</v>
      </c>
      <c r="D50" s="79" t="s">
        <v>311</v>
      </c>
      <c r="E50" s="79" t="s">
        <v>310</v>
      </c>
      <c r="F50" s="79" t="s">
        <v>309</v>
      </c>
      <c r="G50" s="79" t="s">
        <v>308</v>
      </c>
      <c r="H50" s="79" t="s">
        <v>307</v>
      </c>
      <c r="I50" s="79" t="s">
        <v>306</v>
      </c>
      <c r="J50" s="79" t="s">
        <v>305</v>
      </c>
      <c r="K50" s="79" t="s">
        <v>304</v>
      </c>
      <c r="L50" s="79" t="s">
        <v>303</v>
      </c>
      <c r="M50" s="79" t="s">
        <v>302</v>
      </c>
      <c r="N50" s="79" t="s">
        <v>301</v>
      </c>
      <c r="O50" s="79" t="s">
        <v>300</v>
      </c>
      <c r="P50" s="79" t="s">
        <v>299</v>
      </c>
      <c r="Q50" s="79" t="s">
        <v>298</v>
      </c>
      <c r="R50" s="79" t="s">
        <v>297</v>
      </c>
      <c r="S50" s="79" t="s">
        <v>296</v>
      </c>
      <c r="T50" s="79" t="s">
        <v>295</v>
      </c>
      <c r="U50" s="79" t="s">
        <v>294</v>
      </c>
      <c r="V50" s="79" t="s">
        <v>293</v>
      </c>
      <c r="W50" s="79" t="s">
        <v>292</v>
      </c>
      <c r="X50" s="79" t="s">
        <v>291</v>
      </c>
      <c r="Y50" s="79" t="s">
        <v>290</v>
      </c>
      <c r="Z50" s="79" t="s">
        <v>289</v>
      </c>
      <c r="AA50" s="79" t="s">
        <v>288</v>
      </c>
      <c r="AB50" s="79" t="s">
        <v>287</v>
      </c>
      <c r="AC50" s="79" t="s">
        <v>286</v>
      </c>
      <c r="AD50" s="79" t="s">
        <v>285</v>
      </c>
      <c r="AE50" s="79" t="s">
        <v>284</v>
      </c>
      <c r="AF50" s="79" t="s">
        <v>283</v>
      </c>
      <c r="AG50" s="79" t="s">
        <v>282</v>
      </c>
      <c r="AH50" s="79" t="s">
        <v>281</v>
      </c>
      <c r="AI50" s="79" t="s">
        <v>280</v>
      </c>
      <c r="AJ50" s="79" t="s">
        <v>279</v>
      </c>
      <c r="AK50" s="79" t="s">
        <v>278</v>
      </c>
    </row>
    <row r="51" spans="1:37" x14ac:dyDescent="0.25">
      <c r="A51" s="79" t="s">
        <v>41</v>
      </c>
      <c r="B51" s="79">
        <v>45.85</v>
      </c>
      <c r="C51" s="79">
        <v>41.67</v>
      </c>
      <c r="D51" s="79">
        <v>38.6</v>
      </c>
      <c r="E51" s="79">
        <v>34.99</v>
      </c>
      <c r="F51" s="79">
        <v>34.35</v>
      </c>
      <c r="G51" s="79">
        <v>34.94</v>
      </c>
      <c r="H51" s="79">
        <v>37.14</v>
      </c>
      <c r="I51" s="79">
        <v>39.69</v>
      </c>
      <c r="J51" s="79">
        <v>41.31</v>
      </c>
      <c r="K51" s="79">
        <v>49.54</v>
      </c>
      <c r="L51" s="79">
        <v>54.86</v>
      </c>
      <c r="M51" s="79">
        <v>57.7</v>
      </c>
      <c r="N51" s="79">
        <v>60.15</v>
      </c>
      <c r="O51" s="79">
        <v>62.32</v>
      </c>
      <c r="P51" s="79">
        <v>63.04</v>
      </c>
      <c r="Q51" s="79">
        <v>63.8</v>
      </c>
      <c r="R51" s="79">
        <v>66.39</v>
      </c>
      <c r="S51" s="79">
        <v>70.3</v>
      </c>
      <c r="T51" s="79">
        <v>73.7</v>
      </c>
      <c r="U51" s="79">
        <v>76.33</v>
      </c>
      <c r="V51" s="79">
        <v>78.75</v>
      </c>
      <c r="W51" s="79">
        <v>80.900000000000006</v>
      </c>
      <c r="X51" s="79">
        <v>82.76</v>
      </c>
      <c r="Y51" s="79">
        <v>84.24</v>
      </c>
      <c r="Z51" s="79">
        <v>85.48</v>
      </c>
      <c r="AA51" s="79">
        <v>86.57</v>
      </c>
      <c r="AB51" s="79">
        <v>87.46</v>
      </c>
      <c r="AC51" s="79">
        <v>88.14</v>
      </c>
      <c r="AD51" s="79">
        <v>88.57</v>
      </c>
      <c r="AE51" s="79">
        <v>88.84</v>
      </c>
      <c r="AF51" s="79">
        <v>88.79</v>
      </c>
      <c r="AG51" s="79">
        <v>88.66</v>
      </c>
      <c r="AH51" s="79">
        <v>88.44</v>
      </c>
      <c r="AI51" s="79">
        <v>88.18</v>
      </c>
      <c r="AJ51" s="79">
        <v>87.82</v>
      </c>
      <c r="AK51" s="79">
        <v>87.37</v>
      </c>
    </row>
    <row r="52" spans="1:37" x14ac:dyDescent="0.25">
      <c r="A52" s="79" t="s">
        <v>326</v>
      </c>
      <c r="B52" s="79">
        <v>33.42</v>
      </c>
      <c r="C52" s="79">
        <v>28.8</v>
      </c>
      <c r="D52" s="79">
        <v>26.36</v>
      </c>
      <c r="E52" s="79">
        <v>23.13</v>
      </c>
      <c r="F52" s="79">
        <v>21.94</v>
      </c>
      <c r="G52" s="79">
        <v>21.08</v>
      </c>
      <c r="H52" s="79">
        <v>20.39</v>
      </c>
      <c r="I52" s="79">
        <v>21.27</v>
      </c>
      <c r="J52" s="79">
        <v>19.78</v>
      </c>
      <c r="K52" s="79">
        <v>21.58</v>
      </c>
      <c r="L52" s="79">
        <v>24.6</v>
      </c>
      <c r="M52" s="79">
        <v>25.62</v>
      </c>
      <c r="N52" s="79">
        <v>26.22</v>
      </c>
      <c r="O52" s="79">
        <v>26.77</v>
      </c>
      <c r="P52" s="79">
        <v>26.15</v>
      </c>
      <c r="Q52" s="79">
        <v>25.28</v>
      </c>
      <c r="R52" s="79">
        <v>25.43</v>
      </c>
      <c r="S52" s="79">
        <v>26.57</v>
      </c>
      <c r="T52" s="79">
        <v>27.6</v>
      </c>
      <c r="U52" s="79">
        <v>28.46</v>
      </c>
      <c r="V52" s="79">
        <v>29.51</v>
      </c>
      <c r="W52" s="79">
        <v>30.51</v>
      </c>
      <c r="X52" s="79">
        <v>31.49</v>
      </c>
      <c r="Y52" s="79">
        <v>32.4</v>
      </c>
      <c r="Z52" s="79">
        <v>33.14</v>
      </c>
      <c r="AA52" s="79">
        <v>33.71</v>
      </c>
      <c r="AB52" s="79">
        <v>34.119999999999997</v>
      </c>
      <c r="AC52" s="79">
        <v>34.369999999999997</v>
      </c>
      <c r="AD52" s="79">
        <v>34.44</v>
      </c>
      <c r="AE52" s="79">
        <v>34.450000000000003</v>
      </c>
      <c r="AF52" s="79">
        <v>34.270000000000003</v>
      </c>
      <c r="AG52" s="79">
        <v>34.049999999999997</v>
      </c>
      <c r="AH52" s="79">
        <v>33.799999999999997</v>
      </c>
      <c r="AI52" s="79">
        <v>33.54</v>
      </c>
      <c r="AJ52" s="79">
        <v>33.22</v>
      </c>
      <c r="AK52" s="79">
        <v>32.840000000000003</v>
      </c>
    </row>
    <row r="53" spans="1:37" x14ac:dyDescent="0.25">
      <c r="A53" s="79" t="s">
        <v>328</v>
      </c>
      <c r="B53" s="79">
        <v>8.9700000000000006</v>
      </c>
      <c r="C53" s="79">
        <v>9.09</v>
      </c>
      <c r="D53" s="79">
        <v>8.11</v>
      </c>
      <c r="E53" s="79">
        <v>7.35</v>
      </c>
      <c r="F53" s="79">
        <v>7.91</v>
      </c>
      <c r="G53" s="79">
        <v>8.92</v>
      </c>
      <c r="H53" s="79">
        <v>11.22</v>
      </c>
      <c r="I53" s="79">
        <v>12.75</v>
      </c>
      <c r="J53" s="79">
        <v>15.5</v>
      </c>
      <c r="K53" s="79">
        <v>18.95</v>
      </c>
      <c r="L53" s="79">
        <v>17.95</v>
      </c>
      <c r="M53" s="79">
        <v>19.27</v>
      </c>
      <c r="N53" s="79">
        <v>20.81</v>
      </c>
      <c r="O53" s="79">
        <v>22.16</v>
      </c>
      <c r="P53" s="79">
        <v>23.81</v>
      </c>
      <c r="Q53" s="79">
        <v>25.88</v>
      </c>
      <c r="R53" s="79">
        <v>28.24</v>
      </c>
      <c r="S53" s="79">
        <v>30.45</v>
      </c>
      <c r="T53" s="79">
        <v>32.29</v>
      </c>
      <c r="U53" s="79">
        <v>33.630000000000003</v>
      </c>
      <c r="V53" s="79">
        <v>34.479999999999997</v>
      </c>
      <c r="W53" s="79">
        <v>35.130000000000003</v>
      </c>
      <c r="X53" s="79">
        <v>35.520000000000003</v>
      </c>
      <c r="Y53" s="79">
        <v>35.630000000000003</v>
      </c>
      <c r="Z53" s="79">
        <v>35.770000000000003</v>
      </c>
      <c r="AA53" s="79">
        <v>36</v>
      </c>
      <c r="AB53" s="79">
        <v>36.270000000000003</v>
      </c>
      <c r="AC53" s="79">
        <v>36.590000000000003</v>
      </c>
      <c r="AD53" s="79">
        <v>36.909999999999997</v>
      </c>
      <c r="AE53" s="79">
        <v>37.159999999999997</v>
      </c>
      <c r="AF53" s="79">
        <v>37.39</v>
      </c>
      <c r="AG53" s="79">
        <v>37.58</v>
      </c>
      <c r="AH53" s="79">
        <v>37.74</v>
      </c>
      <c r="AI53" s="79">
        <v>37.880000000000003</v>
      </c>
      <c r="AJ53" s="79">
        <v>38</v>
      </c>
      <c r="AK53" s="79">
        <v>38.11</v>
      </c>
    </row>
    <row r="54" spans="1:37" x14ac:dyDescent="0.25">
      <c r="A54" s="79" t="s">
        <v>339</v>
      </c>
      <c r="B54" s="79">
        <v>3.46</v>
      </c>
      <c r="C54" s="79">
        <v>3.78</v>
      </c>
      <c r="D54" s="79">
        <v>4.13</v>
      </c>
      <c r="E54" s="79">
        <v>4.51</v>
      </c>
      <c r="F54" s="79">
        <v>4.51</v>
      </c>
      <c r="G54" s="79">
        <v>4.95</v>
      </c>
      <c r="H54" s="79">
        <v>5.53</v>
      </c>
      <c r="I54" s="79">
        <v>5.67</v>
      </c>
      <c r="J54" s="79">
        <v>6.03</v>
      </c>
      <c r="K54" s="79">
        <v>9</v>
      </c>
      <c r="L54" s="79">
        <v>12.3</v>
      </c>
      <c r="M54" s="79">
        <v>12.81</v>
      </c>
      <c r="N54" s="79">
        <v>13.11</v>
      </c>
      <c r="O54" s="79">
        <v>13.39</v>
      </c>
      <c r="P54" s="79">
        <v>13.08</v>
      </c>
      <c r="Q54" s="79">
        <v>12.64</v>
      </c>
      <c r="R54" s="79">
        <v>12.71</v>
      </c>
      <c r="S54" s="79">
        <v>13.28</v>
      </c>
      <c r="T54" s="79">
        <v>13.8</v>
      </c>
      <c r="U54" s="79">
        <v>14.23</v>
      </c>
      <c r="V54" s="79">
        <v>14.76</v>
      </c>
      <c r="W54" s="79">
        <v>15.25</v>
      </c>
      <c r="X54" s="79">
        <v>15.75</v>
      </c>
      <c r="Y54" s="79">
        <v>16.2</v>
      </c>
      <c r="Z54" s="79">
        <v>16.57</v>
      </c>
      <c r="AA54" s="79">
        <v>16.86</v>
      </c>
      <c r="AB54" s="79">
        <v>17.059999999999999</v>
      </c>
      <c r="AC54" s="79">
        <v>17.18</v>
      </c>
      <c r="AD54" s="79">
        <v>17.22</v>
      </c>
      <c r="AE54" s="79">
        <v>17.23</v>
      </c>
      <c r="AF54" s="79">
        <v>17.13</v>
      </c>
      <c r="AG54" s="79">
        <v>17.03</v>
      </c>
      <c r="AH54" s="79">
        <v>16.899999999999999</v>
      </c>
      <c r="AI54" s="79">
        <v>16.77</v>
      </c>
      <c r="AJ54" s="79">
        <v>16.61</v>
      </c>
      <c r="AK54" s="79">
        <v>16.420000000000002</v>
      </c>
    </row>
    <row r="56" spans="1:37" ht="18.75" x14ac:dyDescent="0.3">
      <c r="A56" s="80" t="s">
        <v>340</v>
      </c>
    </row>
    <row r="57" spans="1:37" x14ac:dyDescent="0.25">
      <c r="A57" s="79" t="s">
        <v>314</v>
      </c>
      <c r="B57" s="79" t="s">
        <v>313</v>
      </c>
      <c r="C57" s="79" t="s">
        <v>312</v>
      </c>
      <c r="D57" s="79" t="s">
        <v>311</v>
      </c>
      <c r="E57" s="79" t="s">
        <v>310</v>
      </c>
      <c r="F57" s="79" t="s">
        <v>309</v>
      </c>
      <c r="G57" s="79" t="s">
        <v>308</v>
      </c>
      <c r="H57" s="79" t="s">
        <v>307</v>
      </c>
      <c r="I57" s="79" t="s">
        <v>306</v>
      </c>
      <c r="J57" s="79" t="s">
        <v>305</v>
      </c>
      <c r="K57" s="79" t="s">
        <v>304</v>
      </c>
      <c r="L57" s="79" t="s">
        <v>303</v>
      </c>
      <c r="M57" s="79" t="s">
        <v>302</v>
      </c>
      <c r="N57" s="79" t="s">
        <v>301</v>
      </c>
      <c r="O57" s="79" t="s">
        <v>300</v>
      </c>
      <c r="P57" s="79" t="s">
        <v>299</v>
      </c>
      <c r="Q57" s="79" t="s">
        <v>298</v>
      </c>
      <c r="R57" s="79" t="s">
        <v>297</v>
      </c>
      <c r="S57" s="79" t="s">
        <v>296</v>
      </c>
      <c r="T57" s="79" t="s">
        <v>295</v>
      </c>
      <c r="U57" s="79" t="s">
        <v>294</v>
      </c>
      <c r="V57" s="79" t="s">
        <v>293</v>
      </c>
      <c r="W57" s="79" t="s">
        <v>292</v>
      </c>
      <c r="X57" s="79" t="s">
        <v>291</v>
      </c>
      <c r="Y57" s="79" t="s">
        <v>290</v>
      </c>
      <c r="Z57" s="79" t="s">
        <v>289</v>
      </c>
      <c r="AA57" s="79" t="s">
        <v>288</v>
      </c>
      <c r="AB57" s="79" t="s">
        <v>287</v>
      </c>
      <c r="AC57" s="79" t="s">
        <v>286</v>
      </c>
      <c r="AD57" s="79" t="s">
        <v>285</v>
      </c>
      <c r="AE57" s="79" t="s">
        <v>284</v>
      </c>
      <c r="AF57" s="79" t="s">
        <v>283</v>
      </c>
      <c r="AG57" s="79" t="s">
        <v>282</v>
      </c>
      <c r="AH57" s="79" t="s">
        <v>281</v>
      </c>
      <c r="AI57" s="79" t="s">
        <v>280</v>
      </c>
      <c r="AJ57" s="79" t="s">
        <v>279</v>
      </c>
      <c r="AK57" s="79" t="s">
        <v>278</v>
      </c>
    </row>
    <row r="58" spans="1:37" x14ac:dyDescent="0.25">
      <c r="A58" s="79" t="s">
        <v>41</v>
      </c>
      <c r="B58" s="79">
        <v>419.88</v>
      </c>
      <c r="C58" s="79">
        <v>428.95</v>
      </c>
      <c r="D58" s="79">
        <v>428.48</v>
      </c>
      <c r="E58" s="79">
        <v>440.36</v>
      </c>
      <c r="F58" s="79">
        <v>425.55</v>
      </c>
      <c r="G58" s="79">
        <v>423.82</v>
      </c>
      <c r="H58" s="79">
        <v>428.89</v>
      </c>
      <c r="I58" s="79">
        <v>471.01</v>
      </c>
      <c r="J58" s="79">
        <v>485.79</v>
      </c>
      <c r="K58" s="79">
        <v>509.2</v>
      </c>
      <c r="L58" s="79">
        <v>508.27</v>
      </c>
      <c r="M58" s="79">
        <v>507.39</v>
      </c>
      <c r="N58" s="79">
        <v>504.7</v>
      </c>
      <c r="O58" s="79">
        <v>502.05</v>
      </c>
      <c r="P58" s="79">
        <v>498.69</v>
      </c>
      <c r="Q58" s="79">
        <v>496.19</v>
      </c>
      <c r="R58" s="79">
        <v>494.26</v>
      </c>
      <c r="S58" s="79">
        <v>493.75</v>
      </c>
      <c r="T58" s="79">
        <v>494.09</v>
      </c>
      <c r="U58" s="79">
        <v>495.33</v>
      </c>
      <c r="V58" s="79">
        <v>497.43</v>
      </c>
      <c r="W58" s="79">
        <v>499.7</v>
      </c>
      <c r="X58" s="79">
        <v>501.78</v>
      </c>
      <c r="Y58" s="79">
        <v>502.73</v>
      </c>
      <c r="Z58" s="79">
        <v>501.9</v>
      </c>
      <c r="AA58" s="79">
        <v>499.77</v>
      </c>
      <c r="AB58" s="79">
        <v>496.59</v>
      </c>
      <c r="AC58" s="79">
        <v>492.17</v>
      </c>
      <c r="AD58" s="79">
        <v>486.78</v>
      </c>
      <c r="AE58" s="79">
        <v>480.14</v>
      </c>
      <c r="AF58" s="79">
        <v>471.44</v>
      </c>
      <c r="AG58" s="79">
        <v>463.9</v>
      </c>
      <c r="AH58" s="79">
        <v>455.36</v>
      </c>
      <c r="AI58" s="79">
        <v>447.12</v>
      </c>
      <c r="AJ58" s="79">
        <v>438.24</v>
      </c>
      <c r="AK58" s="79">
        <v>429.25</v>
      </c>
    </row>
    <row r="59" spans="1:37" x14ac:dyDescent="0.25">
      <c r="A59" s="79" t="s">
        <v>326</v>
      </c>
      <c r="B59" s="79">
        <v>60.02</v>
      </c>
      <c r="C59" s="79">
        <v>62.71</v>
      </c>
      <c r="D59" s="79">
        <v>72.069999999999993</v>
      </c>
      <c r="E59" s="79">
        <v>98.81</v>
      </c>
      <c r="F59" s="79">
        <v>105.87</v>
      </c>
      <c r="G59" s="79">
        <v>109.18</v>
      </c>
      <c r="H59" s="79">
        <v>114.25</v>
      </c>
      <c r="I59" s="79">
        <v>131.57</v>
      </c>
      <c r="J59" s="79">
        <v>146.97</v>
      </c>
      <c r="K59" s="79">
        <v>158.65</v>
      </c>
      <c r="L59" s="79">
        <v>159.88999999999999</v>
      </c>
      <c r="M59" s="79">
        <v>162.37</v>
      </c>
      <c r="N59" s="79">
        <v>165.89</v>
      </c>
      <c r="O59" s="79">
        <v>169.12</v>
      </c>
      <c r="P59" s="79">
        <v>171.26</v>
      </c>
      <c r="Q59" s="79">
        <v>173.54</v>
      </c>
      <c r="R59" s="79">
        <v>175.9</v>
      </c>
      <c r="S59" s="79">
        <v>178.82</v>
      </c>
      <c r="T59" s="79">
        <v>181.97</v>
      </c>
      <c r="U59" s="79">
        <v>185.32</v>
      </c>
      <c r="V59" s="79">
        <v>189.03</v>
      </c>
      <c r="W59" s="79">
        <v>192.68</v>
      </c>
      <c r="X59" s="79">
        <v>196.12</v>
      </c>
      <c r="Y59" s="79">
        <v>198.86</v>
      </c>
      <c r="Z59" s="79">
        <v>200.79</v>
      </c>
      <c r="AA59" s="79">
        <v>202.19</v>
      </c>
      <c r="AB59" s="79">
        <v>202.91</v>
      </c>
      <c r="AC59" s="79">
        <v>202.94</v>
      </c>
      <c r="AD59" s="79">
        <v>202.41</v>
      </c>
      <c r="AE59" s="79">
        <v>200.82</v>
      </c>
      <c r="AF59" s="79">
        <v>197.18</v>
      </c>
      <c r="AG59" s="79">
        <v>194.53</v>
      </c>
      <c r="AH59" s="79">
        <v>191.64</v>
      </c>
      <c r="AI59" s="79">
        <v>188.78</v>
      </c>
      <c r="AJ59" s="79">
        <v>185.32</v>
      </c>
      <c r="AK59" s="79">
        <v>181.84</v>
      </c>
    </row>
    <row r="60" spans="1:37" x14ac:dyDescent="0.25">
      <c r="A60" s="79" t="s">
        <v>327</v>
      </c>
      <c r="B60" s="79">
        <v>359.29</v>
      </c>
      <c r="C60" s="79">
        <v>365.63</v>
      </c>
      <c r="D60" s="79">
        <v>355.75</v>
      </c>
      <c r="E60" s="79">
        <v>340.81</v>
      </c>
      <c r="F60" s="79">
        <v>318.60000000000002</v>
      </c>
      <c r="G60" s="79">
        <v>313.51</v>
      </c>
      <c r="H60" s="79">
        <v>313.42</v>
      </c>
      <c r="I60" s="79">
        <v>338.23</v>
      </c>
      <c r="J60" s="79">
        <v>337.6</v>
      </c>
      <c r="K60" s="79">
        <v>349.33</v>
      </c>
      <c r="L60" s="79">
        <v>347.17</v>
      </c>
      <c r="M60" s="79">
        <v>341.71</v>
      </c>
      <c r="N60" s="79">
        <v>335.51</v>
      </c>
      <c r="O60" s="79">
        <v>329.62</v>
      </c>
      <c r="P60" s="79">
        <v>324.05</v>
      </c>
      <c r="Q60" s="79">
        <v>319.05</v>
      </c>
      <c r="R60" s="79">
        <v>314.62</v>
      </c>
      <c r="S60" s="79">
        <v>311.08999999999997</v>
      </c>
      <c r="T60" s="79">
        <v>308.2</v>
      </c>
      <c r="U60" s="79">
        <v>306.04000000000002</v>
      </c>
      <c r="V60" s="79">
        <v>304.39</v>
      </c>
      <c r="W60" s="79">
        <v>303</v>
      </c>
      <c r="X60" s="79">
        <v>301.67</v>
      </c>
      <c r="Y60" s="79">
        <v>299.94</v>
      </c>
      <c r="Z60" s="79">
        <v>297.25</v>
      </c>
      <c r="AA60" s="79">
        <v>293.79000000000002</v>
      </c>
      <c r="AB60" s="79">
        <v>289.97000000000003</v>
      </c>
      <c r="AC60" s="79">
        <v>285.61</v>
      </c>
      <c r="AD60" s="79">
        <v>280.83999999999997</v>
      </c>
      <c r="AE60" s="79">
        <v>275.91000000000003</v>
      </c>
      <c r="AF60" s="79">
        <v>270.95</v>
      </c>
      <c r="AG60" s="79">
        <v>266.16000000000003</v>
      </c>
      <c r="AH60" s="79">
        <v>260.60000000000002</v>
      </c>
      <c r="AI60" s="79">
        <v>255.33</v>
      </c>
      <c r="AJ60" s="79">
        <v>250.01</v>
      </c>
      <c r="AK60" s="79">
        <v>244.61</v>
      </c>
    </row>
    <row r="61" spans="1:37" x14ac:dyDescent="0.25">
      <c r="A61" s="79" t="s">
        <v>328</v>
      </c>
      <c r="B61" s="79">
        <v>0.57999999999999996</v>
      </c>
      <c r="C61" s="79">
        <v>0.62</v>
      </c>
      <c r="D61" s="79">
        <v>0.65</v>
      </c>
      <c r="E61" s="79">
        <v>0.74</v>
      </c>
      <c r="F61" s="79">
        <v>1.08</v>
      </c>
      <c r="G61" s="79">
        <v>1.1299999999999999</v>
      </c>
      <c r="H61" s="79">
        <v>1.21</v>
      </c>
      <c r="I61" s="79">
        <v>1.21</v>
      </c>
      <c r="J61" s="79">
        <v>1.21</v>
      </c>
      <c r="K61" s="79">
        <v>1.21</v>
      </c>
      <c r="L61" s="79">
        <v>1.21</v>
      </c>
      <c r="M61" s="79">
        <v>3.3</v>
      </c>
      <c r="N61" s="79">
        <v>3.3</v>
      </c>
      <c r="O61" s="79">
        <v>3.31</v>
      </c>
      <c r="P61" s="79">
        <v>3.38</v>
      </c>
      <c r="Q61" s="79">
        <v>3.6</v>
      </c>
      <c r="R61" s="79">
        <v>3.74</v>
      </c>
      <c r="S61" s="79">
        <v>3.84</v>
      </c>
      <c r="T61" s="79">
        <v>3.92</v>
      </c>
      <c r="U61" s="79">
        <v>3.97</v>
      </c>
      <c r="V61" s="79">
        <v>4.01</v>
      </c>
      <c r="W61" s="79">
        <v>4.0199999999999996</v>
      </c>
      <c r="X61" s="79">
        <v>3.99</v>
      </c>
      <c r="Y61" s="79">
        <v>3.93</v>
      </c>
      <c r="Z61" s="79">
        <v>3.86</v>
      </c>
      <c r="AA61" s="79">
        <v>3.79</v>
      </c>
      <c r="AB61" s="79">
        <v>3.71</v>
      </c>
      <c r="AC61" s="79">
        <v>3.63</v>
      </c>
      <c r="AD61" s="79">
        <v>3.53</v>
      </c>
      <c r="AE61" s="79">
        <v>3.42</v>
      </c>
      <c r="AF61" s="79">
        <v>3.31</v>
      </c>
      <c r="AG61" s="79">
        <v>3.21</v>
      </c>
      <c r="AH61" s="79">
        <v>3.12</v>
      </c>
      <c r="AI61" s="79">
        <v>3.01</v>
      </c>
      <c r="AJ61" s="79">
        <v>2.9</v>
      </c>
      <c r="AK61" s="79">
        <v>2.8</v>
      </c>
    </row>
    <row r="63" spans="1:37" ht="18.75" x14ac:dyDescent="0.3">
      <c r="A63" s="80" t="s">
        <v>341</v>
      </c>
    </row>
    <row r="64" spans="1:37" x14ac:dyDescent="0.25">
      <c r="A64" s="79" t="s">
        <v>314</v>
      </c>
      <c r="B64" s="79" t="s">
        <v>313</v>
      </c>
      <c r="C64" s="79" t="s">
        <v>312</v>
      </c>
      <c r="D64" s="79" t="s">
        <v>311</v>
      </c>
      <c r="E64" s="79" t="s">
        <v>310</v>
      </c>
      <c r="F64" s="79" t="s">
        <v>309</v>
      </c>
      <c r="G64" s="79" t="s">
        <v>308</v>
      </c>
      <c r="H64" s="79" t="s">
        <v>307</v>
      </c>
      <c r="I64" s="79" t="s">
        <v>306</v>
      </c>
      <c r="J64" s="79" t="s">
        <v>305</v>
      </c>
      <c r="K64" s="79" t="s">
        <v>304</v>
      </c>
      <c r="L64" s="79" t="s">
        <v>303</v>
      </c>
      <c r="M64" s="79" t="s">
        <v>302</v>
      </c>
      <c r="N64" s="79" t="s">
        <v>301</v>
      </c>
      <c r="O64" s="79" t="s">
        <v>300</v>
      </c>
      <c r="P64" s="79" t="s">
        <v>299</v>
      </c>
      <c r="Q64" s="79" t="s">
        <v>298</v>
      </c>
      <c r="R64" s="79" t="s">
        <v>297</v>
      </c>
      <c r="S64" s="79" t="s">
        <v>296</v>
      </c>
      <c r="T64" s="79" t="s">
        <v>295</v>
      </c>
      <c r="U64" s="79" t="s">
        <v>294</v>
      </c>
      <c r="V64" s="79" t="s">
        <v>293</v>
      </c>
      <c r="W64" s="79" t="s">
        <v>292</v>
      </c>
      <c r="X64" s="79" t="s">
        <v>291</v>
      </c>
      <c r="Y64" s="79" t="s">
        <v>290</v>
      </c>
      <c r="Z64" s="79" t="s">
        <v>289</v>
      </c>
      <c r="AA64" s="79" t="s">
        <v>288</v>
      </c>
      <c r="AB64" s="79" t="s">
        <v>287</v>
      </c>
      <c r="AC64" s="79" t="s">
        <v>286</v>
      </c>
      <c r="AD64" s="79" t="s">
        <v>285</v>
      </c>
      <c r="AE64" s="79" t="s">
        <v>284</v>
      </c>
      <c r="AF64" s="79" t="s">
        <v>283</v>
      </c>
      <c r="AG64" s="79" t="s">
        <v>282</v>
      </c>
      <c r="AH64" s="79" t="s">
        <v>281</v>
      </c>
      <c r="AI64" s="79" t="s">
        <v>280</v>
      </c>
      <c r="AJ64" s="79" t="s">
        <v>279</v>
      </c>
      <c r="AK64" s="79" t="s">
        <v>278</v>
      </c>
    </row>
    <row r="65" spans="1:37" x14ac:dyDescent="0.25">
      <c r="A65" s="79" t="s">
        <v>41</v>
      </c>
      <c r="B65" s="79">
        <v>18.79</v>
      </c>
      <c r="C65" s="79">
        <v>18.66</v>
      </c>
      <c r="D65" s="79">
        <v>17.53</v>
      </c>
      <c r="E65" s="79">
        <v>16.23</v>
      </c>
      <c r="F65" s="79">
        <v>15.54</v>
      </c>
      <c r="G65" s="79">
        <v>15.04</v>
      </c>
      <c r="H65" s="79">
        <v>10.51</v>
      </c>
      <c r="I65" s="79">
        <v>13.01</v>
      </c>
      <c r="J65" s="79">
        <v>12.36</v>
      </c>
      <c r="K65" s="79">
        <v>10.63</v>
      </c>
      <c r="L65" s="79">
        <v>10.130000000000001</v>
      </c>
      <c r="M65" s="79">
        <v>9.6199999999999992</v>
      </c>
      <c r="N65" s="79">
        <v>9.14</v>
      </c>
      <c r="O65" s="79">
        <v>8.69</v>
      </c>
      <c r="P65" s="79">
        <v>8.25</v>
      </c>
      <c r="Q65" s="79">
        <v>7.84</v>
      </c>
      <c r="R65" s="79">
        <v>7.45</v>
      </c>
      <c r="S65" s="79">
        <v>7.07</v>
      </c>
      <c r="T65" s="79">
        <v>6.72</v>
      </c>
      <c r="U65" s="79">
        <v>6.38</v>
      </c>
      <c r="V65" s="79">
        <v>6.07</v>
      </c>
      <c r="W65" s="79">
        <v>5.76</v>
      </c>
      <c r="X65" s="79">
        <v>5.47</v>
      </c>
      <c r="Y65" s="79">
        <v>5.2</v>
      </c>
      <c r="Z65" s="79">
        <v>4.9400000000000004</v>
      </c>
      <c r="AA65" s="79">
        <v>4.6900000000000004</v>
      </c>
      <c r="AB65" s="79">
        <v>4.46</v>
      </c>
      <c r="AC65" s="79">
        <v>4.24</v>
      </c>
      <c r="AD65" s="79">
        <v>4.0199999999999996</v>
      </c>
      <c r="AE65" s="79">
        <v>3.82</v>
      </c>
      <c r="AF65" s="79">
        <v>3.63</v>
      </c>
      <c r="AG65" s="79">
        <v>3.45</v>
      </c>
      <c r="AH65" s="79">
        <v>3.28</v>
      </c>
      <c r="AI65" s="79">
        <v>3.11</v>
      </c>
      <c r="AJ65" s="79">
        <v>2.96</v>
      </c>
      <c r="AK65" s="79">
        <v>2.81</v>
      </c>
    </row>
    <row r="66" spans="1:37" x14ac:dyDescent="0.25">
      <c r="A66" s="79" t="s">
        <v>326</v>
      </c>
      <c r="B66" s="79">
        <v>18.79</v>
      </c>
      <c r="C66" s="79">
        <v>18.66</v>
      </c>
      <c r="D66" s="79">
        <v>17.53</v>
      </c>
      <c r="E66" s="79">
        <v>16.23</v>
      </c>
      <c r="F66" s="79">
        <v>15.54</v>
      </c>
      <c r="G66" s="79">
        <v>15.04</v>
      </c>
      <c r="H66" s="79">
        <v>10.51</v>
      </c>
      <c r="I66" s="79">
        <v>13.01</v>
      </c>
      <c r="J66" s="79">
        <v>12.36</v>
      </c>
      <c r="K66" s="79">
        <v>10.63</v>
      </c>
      <c r="L66" s="79">
        <v>10.130000000000001</v>
      </c>
      <c r="M66" s="79">
        <v>9.6199999999999992</v>
      </c>
      <c r="N66" s="79">
        <v>9.14</v>
      </c>
      <c r="O66" s="79">
        <v>8.69</v>
      </c>
      <c r="P66" s="79">
        <v>8.25</v>
      </c>
      <c r="Q66" s="79">
        <v>7.84</v>
      </c>
      <c r="R66" s="79">
        <v>7.45</v>
      </c>
      <c r="S66" s="79">
        <v>7.07</v>
      </c>
      <c r="T66" s="79">
        <v>6.72</v>
      </c>
      <c r="U66" s="79">
        <v>6.38</v>
      </c>
      <c r="V66" s="79">
        <v>6.07</v>
      </c>
      <c r="W66" s="79">
        <v>5.76</v>
      </c>
      <c r="X66" s="79">
        <v>5.47</v>
      </c>
      <c r="Y66" s="79">
        <v>5.2</v>
      </c>
      <c r="Z66" s="79">
        <v>4.9400000000000004</v>
      </c>
      <c r="AA66" s="79">
        <v>4.6900000000000004</v>
      </c>
      <c r="AB66" s="79">
        <v>4.46</v>
      </c>
      <c r="AC66" s="79">
        <v>4.24</v>
      </c>
      <c r="AD66" s="79">
        <v>4.0199999999999996</v>
      </c>
      <c r="AE66" s="79">
        <v>3.82</v>
      </c>
      <c r="AF66" s="79">
        <v>3.63</v>
      </c>
      <c r="AG66" s="79">
        <v>3.45</v>
      </c>
      <c r="AH66" s="79">
        <v>3.28</v>
      </c>
      <c r="AI66" s="79">
        <v>3.11</v>
      </c>
      <c r="AJ66" s="79">
        <v>2.96</v>
      </c>
      <c r="AK66" s="79">
        <v>2.81</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K29"/>
  <sheetViews>
    <sheetView workbookViewId="0">
      <selection activeCell="E32" activeCellId="1" sqref="L11:AA11 E32"/>
    </sheetView>
  </sheetViews>
  <sheetFormatPr defaultColWidth="8.85546875" defaultRowHeight="15" x14ac:dyDescent="0.25"/>
  <cols>
    <col min="1" max="16384" width="8.85546875" style="79"/>
  </cols>
  <sheetData>
    <row r="1" spans="1:37" ht="21" x14ac:dyDescent="0.35">
      <c r="A1" s="81" t="s">
        <v>320</v>
      </c>
    </row>
    <row r="2" spans="1:37" ht="21" x14ac:dyDescent="0.35">
      <c r="A2" s="81" t="s">
        <v>343</v>
      </c>
    </row>
    <row r="3" spans="1:37" ht="21" x14ac:dyDescent="0.35">
      <c r="A3" s="81" t="s">
        <v>318</v>
      </c>
    </row>
    <row r="4" spans="1:37" ht="21" x14ac:dyDescent="0.35">
      <c r="A4" s="81" t="s">
        <v>324</v>
      </c>
    </row>
    <row r="7" spans="1:37" ht="18.75" x14ac:dyDescent="0.3">
      <c r="A7" s="80" t="s">
        <v>344</v>
      </c>
    </row>
    <row r="8" spans="1:37" x14ac:dyDescent="0.25">
      <c r="A8" s="79" t="s">
        <v>314</v>
      </c>
      <c r="B8" s="79" t="s">
        <v>313</v>
      </c>
      <c r="C8" s="79" t="s">
        <v>312</v>
      </c>
      <c r="D8" s="79" t="s">
        <v>311</v>
      </c>
      <c r="E8" s="79" t="s">
        <v>310</v>
      </c>
      <c r="F8" s="79" t="s">
        <v>309</v>
      </c>
      <c r="G8" s="79" t="s">
        <v>308</v>
      </c>
      <c r="H8" s="79" t="s">
        <v>307</v>
      </c>
      <c r="I8" s="79" t="s">
        <v>306</v>
      </c>
      <c r="J8" s="79" t="s">
        <v>305</v>
      </c>
      <c r="K8" s="79" t="s">
        <v>304</v>
      </c>
      <c r="L8" s="79" t="s">
        <v>303</v>
      </c>
      <c r="M8" s="79" t="s">
        <v>302</v>
      </c>
      <c r="N8" s="79" t="s">
        <v>301</v>
      </c>
      <c r="O8" s="79" t="s">
        <v>300</v>
      </c>
      <c r="P8" s="79" t="s">
        <v>299</v>
      </c>
      <c r="Q8" s="79" t="s">
        <v>298</v>
      </c>
      <c r="R8" s="79" t="s">
        <v>297</v>
      </c>
      <c r="S8" s="79" t="s">
        <v>296</v>
      </c>
      <c r="T8" s="79" t="s">
        <v>295</v>
      </c>
      <c r="U8" s="79" t="s">
        <v>294</v>
      </c>
      <c r="V8" s="79" t="s">
        <v>293</v>
      </c>
      <c r="W8" s="79" t="s">
        <v>292</v>
      </c>
      <c r="X8" s="79" t="s">
        <v>291</v>
      </c>
      <c r="Y8" s="79" t="s">
        <v>290</v>
      </c>
      <c r="Z8" s="79" t="s">
        <v>289</v>
      </c>
      <c r="AA8" s="79" t="s">
        <v>288</v>
      </c>
      <c r="AB8" s="79" t="s">
        <v>287</v>
      </c>
      <c r="AC8" s="79" t="s">
        <v>286</v>
      </c>
      <c r="AD8" s="79" t="s">
        <v>285</v>
      </c>
      <c r="AE8" s="79" t="s">
        <v>284</v>
      </c>
      <c r="AF8" s="79" t="s">
        <v>283</v>
      </c>
      <c r="AG8" s="79" t="s">
        <v>282</v>
      </c>
      <c r="AH8" s="79" t="s">
        <v>281</v>
      </c>
      <c r="AI8" s="79" t="s">
        <v>280</v>
      </c>
      <c r="AJ8" s="79" t="s">
        <v>279</v>
      </c>
      <c r="AK8" s="79" t="s">
        <v>278</v>
      </c>
    </row>
    <row r="9" spans="1:37" x14ac:dyDescent="0.25">
      <c r="A9" s="79" t="s">
        <v>345</v>
      </c>
      <c r="B9" s="79">
        <v>1760.98</v>
      </c>
      <c r="C9" s="79">
        <v>1771.41</v>
      </c>
      <c r="D9" s="79">
        <v>1789.54</v>
      </c>
      <c r="E9" s="79">
        <v>1778.57</v>
      </c>
      <c r="F9" s="79">
        <v>1658.2</v>
      </c>
      <c r="G9" s="79">
        <v>1807.99</v>
      </c>
      <c r="H9" s="79">
        <v>1865.52</v>
      </c>
      <c r="I9" s="79">
        <v>1821.77</v>
      </c>
      <c r="J9" s="79">
        <v>1841.86</v>
      </c>
      <c r="K9" s="79">
        <v>1870.19</v>
      </c>
      <c r="L9" s="79">
        <v>1987.16</v>
      </c>
      <c r="M9" s="79">
        <v>2007.93</v>
      </c>
      <c r="N9" s="79">
        <v>2031.84</v>
      </c>
      <c r="O9" s="79">
        <v>2032.35</v>
      </c>
      <c r="P9" s="79">
        <v>2038.91</v>
      </c>
      <c r="Q9" s="79">
        <v>2033.8</v>
      </c>
      <c r="R9" s="79">
        <v>2041.64</v>
      </c>
      <c r="S9" s="79">
        <v>2037.04</v>
      </c>
      <c r="T9" s="79">
        <v>2034.88</v>
      </c>
      <c r="U9" s="79">
        <v>2027.87</v>
      </c>
      <c r="V9" s="79">
        <v>2032.82</v>
      </c>
      <c r="W9" s="79">
        <v>2029.09</v>
      </c>
      <c r="X9" s="79">
        <v>2032.6</v>
      </c>
      <c r="Y9" s="79">
        <v>2025.75</v>
      </c>
      <c r="Z9" s="79">
        <v>2034.75</v>
      </c>
      <c r="AA9" s="79">
        <v>2037.59</v>
      </c>
      <c r="AB9" s="79">
        <v>2040.88</v>
      </c>
      <c r="AC9" s="79">
        <v>2034.1</v>
      </c>
      <c r="AD9" s="79">
        <v>2041.87</v>
      </c>
      <c r="AE9" s="79">
        <v>2042.55</v>
      </c>
      <c r="AF9" s="79">
        <v>2041.58</v>
      </c>
      <c r="AG9" s="79">
        <v>2043.18</v>
      </c>
      <c r="AH9" s="79">
        <v>2059</v>
      </c>
      <c r="AI9" s="79">
        <v>2068.8000000000002</v>
      </c>
      <c r="AJ9" s="79">
        <v>2078.62</v>
      </c>
      <c r="AK9" s="79">
        <v>2083.94</v>
      </c>
    </row>
    <row r="10" spans="1:37" x14ac:dyDescent="0.25">
      <c r="A10" s="79" t="s">
        <v>346</v>
      </c>
      <c r="B10" s="79">
        <v>-279.83</v>
      </c>
      <c r="C10" s="79">
        <v>-290.22000000000003</v>
      </c>
      <c r="D10" s="79">
        <v>-264.2</v>
      </c>
      <c r="E10" s="79">
        <v>-314.88</v>
      </c>
      <c r="F10" s="79">
        <v>-237.66</v>
      </c>
      <c r="G10" s="79">
        <v>-222.72</v>
      </c>
      <c r="H10" s="79">
        <v>-306.01</v>
      </c>
      <c r="I10" s="79">
        <v>-213.63</v>
      </c>
      <c r="J10" s="79">
        <v>-219.72</v>
      </c>
      <c r="K10" s="79">
        <v>-242.2</v>
      </c>
      <c r="L10" s="79">
        <v>-264.08999999999997</v>
      </c>
      <c r="M10" s="79">
        <v>-268.52999999999997</v>
      </c>
      <c r="N10" s="79">
        <v>-259.95</v>
      </c>
      <c r="O10" s="79">
        <v>-262.02</v>
      </c>
      <c r="P10" s="79">
        <v>-264.26</v>
      </c>
      <c r="Q10" s="79">
        <v>-267.67</v>
      </c>
      <c r="R10" s="79">
        <v>-271.33</v>
      </c>
      <c r="S10" s="79">
        <v>-273.57</v>
      </c>
      <c r="T10" s="79">
        <v>-275.81</v>
      </c>
      <c r="U10" s="79">
        <v>-277.29000000000002</v>
      </c>
      <c r="V10" s="79">
        <v>-279.77999999999997</v>
      </c>
      <c r="W10" s="79">
        <v>-281.16000000000003</v>
      </c>
      <c r="X10" s="79">
        <v>-282.88</v>
      </c>
      <c r="Y10" s="79">
        <v>-283.83</v>
      </c>
      <c r="Z10" s="79">
        <v>-284.61</v>
      </c>
      <c r="AA10" s="79">
        <v>-284.61</v>
      </c>
      <c r="AB10" s="79">
        <v>-284.61</v>
      </c>
      <c r="AC10" s="79">
        <v>-282.11</v>
      </c>
      <c r="AD10" s="79">
        <v>-281.16000000000003</v>
      </c>
      <c r="AE10" s="79">
        <v>-279.43</v>
      </c>
      <c r="AF10" s="79">
        <v>-275.99</v>
      </c>
      <c r="AG10" s="79">
        <v>-271.79000000000002</v>
      </c>
      <c r="AH10" s="79">
        <v>-270.81</v>
      </c>
      <c r="AI10" s="79">
        <v>-269.08999999999997</v>
      </c>
      <c r="AJ10" s="79">
        <v>-267.37</v>
      </c>
      <c r="AK10" s="79">
        <v>-264.92</v>
      </c>
    </row>
    <row r="11" spans="1:37" x14ac:dyDescent="0.25">
      <c r="A11" s="79" t="s">
        <v>347</v>
      </c>
      <c r="B11" s="79">
        <v>443.55</v>
      </c>
      <c r="C11" s="79">
        <v>422.23</v>
      </c>
      <c r="D11" s="79">
        <v>439.16</v>
      </c>
      <c r="E11" s="79">
        <v>439.74</v>
      </c>
      <c r="F11" s="79">
        <v>419.13</v>
      </c>
      <c r="G11" s="79">
        <v>412.12</v>
      </c>
      <c r="H11" s="79">
        <v>389.71</v>
      </c>
      <c r="I11" s="79">
        <v>467.45</v>
      </c>
      <c r="J11" s="79">
        <v>497.99</v>
      </c>
      <c r="K11" s="79">
        <v>459.68</v>
      </c>
      <c r="L11" s="79">
        <v>425.1</v>
      </c>
      <c r="M11" s="79">
        <v>427.72</v>
      </c>
      <c r="N11" s="79">
        <v>428.2</v>
      </c>
      <c r="O11" s="79">
        <v>421.65</v>
      </c>
      <c r="P11" s="79">
        <v>423.72</v>
      </c>
      <c r="Q11" s="79">
        <v>424.45</v>
      </c>
      <c r="R11" s="79">
        <v>424.93</v>
      </c>
      <c r="S11" s="79">
        <v>424.06</v>
      </c>
      <c r="T11" s="79">
        <v>424.58</v>
      </c>
      <c r="U11" s="79">
        <v>423.59</v>
      </c>
      <c r="V11" s="79">
        <v>424.58</v>
      </c>
      <c r="W11" s="79">
        <v>424.58</v>
      </c>
      <c r="X11" s="79">
        <v>424.75</v>
      </c>
      <c r="Y11" s="79">
        <v>423.59</v>
      </c>
      <c r="Z11" s="79">
        <v>424.75</v>
      </c>
      <c r="AA11" s="79">
        <v>424.75</v>
      </c>
      <c r="AB11" s="79">
        <v>424.75</v>
      </c>
      <c r="AC11" s="79">
        <v>423.59</v>
      </c>
      <c r="AD11" s="79">
        <v>424.75</v>
      </c>
      <c r="AE11" s="79">
        <v>424.75</v>
      </c>
      <c r="AF11" s="79">
        <v>424.75</v>
      </c>
      <c r="AG11" s="79">
        <v>423.59</v>
      </c>
      <c r="AH11" s="79">
        <v>424.75</v>
      </c>
      <c r="AI11" s="79">
        <v>424.75</v>
      </c>
      <c r="AJ11" s="79">
        <v>424.75</v>
      </c>
      <c r="AK11" s="79">
        <v>423.59</v>
      </c>
    </row>
    <row r="12" spans="1:37" x14ac:dyDescent="0.25">
      <c r="A12" s="79" t="s">
        <v>348</v>
      </c>
      <c r="B12" s="79">
        <v>-0.66</v>
      </c>
      <c r="C12" s="79">
        <v>12.36</v>
      </c>
      <c r="D12" s="79">
        <v>12.66</v>
      </c>
      <c r="E12" s="79">
        <v>3.32</v>
      </c>
      <c r="F12" s="79">
        <v>-12.24</v>
      </c>
      <c r="G12" s="79">
        <v>-31.69</v>
      </c>
      <c r="H12" s="79">
        <v>5.0599999999999996</v>
      </c>
      <c r="I12" s="79">
        <v>2.2000000000000002</v>
      </c>
      <c r="J12" s="79">
        <v>-7.65</v>
      </c>
      <c r="K12" s="79">
        <v>18.96</v>
      </c>
      <c r="L12" s="79">
        <v>0</v>
      </c>
      <c r="M12" s="79">
        <v>0</v>
      </c>
      <c r="N12" s="79">
        <v>0</v>
      </c>
      <c r="O12" s="79">
        <v>0</v>
      </c>
      <c r="P12" s="79">
        <v>0</v>
      </c>
      <c r="Q12" s="79">
        <v>0</v>
      </c>
      <c r="R12" s="79">
        <v>0</v>
      </c>
      <c r="S12" s="79">
        <v>0</v>
      </c>
      <c r="T12" s="79">
        <v>0</v>
      </c>
      <c r="U12" s="79">
        <v>0</v>
      </c>
      <c r="V12" s="79">
        <v>0</v>
      </c>
      <c r="W12" s="79">
        <v>0</v>
      </c>
      <c r="X12" s="79">
        <v>0</v>
      </c>
      <c r="Y12" s="79">
        <v>0</v>
      </c>
      <c r="Z12" s="79">
        <v>0</v>
      </c>
      <c r="AA12" s="79">
        <v>0</v>
      </c>
      <c r="AB12" s="79">
        <v>0</v>
      </c>
      <c r="AC12" s="79">
        <v>0</v>
      </c>
      <c r="AD12" s="79">
        <v>0</v>
      </c>
      <c r="AE12" s="79">
        <v>0</v>
      </c>
      <c r="AF12" s="79">
        <v>0</v>
      </c>
      <c r="AG12" s="79">
        <v>0</v>
      </c>
      <c r="AH12" s="79">
        <v>0</v>
      </c>
      <c r="AI12" s="79">
        <v>0</v>
      </c>
      <c r="AJ12" s="79">
        <v>0</v>
      </c>
      <c r="AK12" s="79">
        <v>0</v>
      </c>
    </row>
    <row r="13" spans="1:37" x14ac:dyDescent="0.25">
      <c r="A13" s="79" t="s">
        <v>349</v>
      </c>
      <c r="B13" s="79">
        <v>127.58</v>
      </c>
      <c r="C13" s="79">
        <v>125</v>
      </c>
      <c r="D13" s="79">
        <v>128.81</v>
      </c>
      <c r="E13" s="79">
        <v>121.93</v>
      </c>
      <c r="F13" s="79">
        <v>134.69999999999999</v>
      </c>
      <c r="G13" s="79">
        <v>130.4</v>
      </c>
      <c r="H13" s="79">
        <v>113.83</v>
      </c>
      <c r="I13" s="79">
        <v>114.61</v>
      </c>
      <c r="J13" s="79">
        <v>128.16</v>
      </c>
      <c r="K13" s="79">
        <v>116.43</v>
      </c>
      <c r="L13" s="79">
        <v>118.26</v>
      </c>
      <c r="M13" s="79">
        <v>117.63</v>
      </c>
      <c r="N13" s="79">
        <v>118.17</v>
      </c>
      <c r="O13" s="79">
        <v>118.74</v>
      </c>
      <c r="P13" s="79">
        <v>118.96</v>
      </c>
      <c r="Q13" s="79">
        <v>118.68</v>
      </c>
      <c r="R13" s="79">
        <v>119.23</v>
      </c>
      <c r="S13" s="79">
        <v>119.45</v>
      </c>
      <c r="T13" s="79">
        <v>119.67</v>
      </c>
      <c r="U13" s="79">
        <v>119.57</v>
      </c>
      <c r="V13" s="79">
        <v>120.12</v>
      </c>
      <c r="W13" s="79">
        <v>120.35</v>
      </c>
      <c r="X13" s="79">
        <v>120.57</v>
      </c>
      <c r="Y13" s="79">
        <v>120.47</v>
      </c>
      <c r="Z13" s="79">
        <v>121.03</v>
      </c>
      <c r="AA13" s="79">
        <v>121.26</v>
      </c>
      <c r="AB13" s="79">
        <v>121.49</v>
      </c>
      <c r="AC13" s="79">
        <v>121.39</v>
      </c>
      <c r="AD13" s="79">
        <v>121.96</v>
      </c>
      <c r="AE13" s="79">
        <v>122.19</v>
      </c>
      <c r="AF13" s="79">
        <v>122.42</v>
      </c>
      <c r="AG13" s="79">
        <v>122.32</v>
      </c>
      <c r="AH13" s="79">
        <v>122.89</v>
      </c>
      <c r="AI13" s="79">
        <v>123.13</v>
      </c>
      <c r="AJ13" s="79">
        <v>123.37</v>
      </c>
      <c r="AK13" s="79">
        <v>123.27</v>
      </c>
    </row>
    <row r="14" spans="1:37" x14ac:dyDescent="0.25">
      <c r="A14" s="79" t="s">
        <v>350</v>
      </c>
      <c r="B14" s="79">
        <v>139.09</v>
      </c>
      <c r="C14" s="79">
        <v>136.91999999999999</v>
      </c>
      <c r="D14" s="79">
        <v>159.5</v>
      </c>
      <c r="E14" s="79">
        <v>145.46</v>
      </c>
      <c r="F14" s="79">
        <v>151.12</v>
      </c>
      <c r="G14" s="79">
        <v>146.88</v>
      </c>
      <c r="H14" s="79">
        <v>144.19999999999999</v>
      </c>
      <c r="I14" s="79">
        <v>117.83</v>
      </c>
      <c r="J14" s="79">
        <v>105.96</v>
      </c>
      <c r="K14" s="79">
        <v>105.67</v>
      </c>
      <c r="L14" s="79">
        <v>117.57</v>
      </c>
      <c r="M14" s="79">
        <v>112.04</v>
      </c>
      <c r="N14" s="79">
        <v>110.75</v>
      </c>
      <c r="O14" s="79">
        <v>112.77</v>
      </c>
      <c r="P14" s="79">
        <v>114.1</v>
      </c>
      <c r="Q14" s="79">
        <v>113.06</v>
      </c>
      <c r="R14" s="79">
        <v>113.5</v>
      </c>
      <c r="S14" s="79">
        <v>114.32</v>
      </c>
      <c r="T14" s="79">
        <v>114.63</v>
      </c>
      <c r="U14" s="79">
        <v>114.62</v>
      </c>
      <c r="V14" s="79">
        <v>115.24</v>
      </c>
      <c r="W14" s="79">
        <v>115.55</v>
      </c>
      <c r="X14" s="79">
        <v>115.86</v>
      </c>
      <c r="Y14" s="79">
        <v>115.85</v>
      </c>
      <c r="Z14" s="79">
        <v>116.48</v>
      </c>
      <c r="AA14" s="79">
        <v>116.8</v>
      </c>
      <c r="AB14" s="79">
        <v>117.11</v>
      </c>
      <c r="AC14" s="79">
        <v>117.11</v>
      </c>
      <c r="AD14" s="79">
        <v>117.74</v>
      </c>
      <c r="AE14" s="79">
        <v>118.06</v>
      </c>
      <c r="AF14" s="79">
        <v>118.38</v>
      </c>
      <c r="AG14" s="79">
        <v>118.38</v>
      </c>
      <c r="AH14" s="79">
        <v>119.03</v>
      </c>
      <c r="AI14" s="79">
        <v>119.35</v>
      </c>
      <c r="AJ14" s="79">
        <v>119.67</v>
      </c>
      <c r="AK14" s="79">
        <v>119.67</v>
      </c>
    </row>
    <row r="15" spans="1:37" x14ac:dyDescent="0.25">
      <c r="A15" s="79" t="s">
        <v>351</v>
      </c>
      <c r="B15" s="79">
        <v>0.15</v>
      </c>
      <c r="C15" s="79">
        <v>0.4</v>
      </c>
      <c r="D15" s="79">
        <v>0.77</v>
      </c>
      <c r="E15" s="79">
        <v>0.28000000000000003</v>
      </c>
      <c r="F15" s="79">
        <v>-1.4</v>
      </c>
      <c r="G15" s="79">
        <v>41.61</v>
      </c>
      <c r="H15" s="79">
        <v>-0.76</v>
      </c>
      <c r="I15" s="79">
        <v>0.62</v>
      </c>
      <c r="J15" s="79">
        <v>-16.8</v>
      </c>
      <c r="K15" s="79">
        <v>-26.94</v>
      </c>
      <c r="L15" s="79">
        <v>-11.72</v>
      </c>
      <c r="M15" s="79">
        <v>-13.58</v>
      </c>
      <c r="N15" s="79">
        <v>-17.239999999999998</v>
      </c>
      <c r="O15" s="79">
        <v>-17.579999999999998</v>
      </c>
      <c r="P15" s="79">
        <v>-15.17</v>
      </c>
      <c r="Q15" s="79">
        <v>-15.82</v>
      </c>
      <c r="R15" s="79">
        <v>-16.55</v>
      </c>
      <c r="S15" s="79">
        <v>-16.2</v>
      </c>
      <c r="T15" s="79">
        <v>-16.03</v>
      </c>
      <c r="U15" s="79">
        <v>-16.16</v>
      </c>
      <c r="V15" s="79">
        <v>-16.2</v>
      </c>
      <c r="W15" s="79">
        <v>-16.2</v>
      </c>
      <c r="X15" s="79">
        <v>-16.2</v>
      </c>
      <c r="Y15" s="79">
        <v>-16.16</v>
      </c>
      <c r="Z15" s="79">
        <v>-16.2</v>
      </c>
      <c r="AA15" s="79">
        <v>-16.2</v>
      </c>
      <c r="AB15" s="79">
        <v>-16.2</v>
      </c>
      <c r="AC15" s="79">
        <v>-16.16</v>
      </c>
      <c r="AD15" s="79">
        <v>-16.2</v>
      </c>
      <c r="AE15" s="79">
        <v>-16.2</v>
      </c>
      <c r="AF15" s="79">
        <v>-16.2</v>
      </c>
      <c r="AG15" s="79">
        <v>-16.16</v>
      </c>
      <c r="AH15" s="79">
        <v>-16.2</v>
      </c>
      <c r="AI15" s="79">
        <v>-16.2</v>
      </c>
      <c r="AJ15" s="79">
        <v>-16.2</v>
      </c>
      <c r="AK15" s="79">
        <v>-16.16</v>
      </c>
    </row>
    <row r="16" spans="1:37" x14ac:dyDescent="0.25">
      <c r="A16" s="79" t="s">
        <v>352</v>
      </c>
      <c r="B16" s="79">
        <v>-872.28</v>
      </c>
      <c r="C16" s="79">
        <v>-849.42</v>
      </c>
      <c r="D16" s="79">
        <v>-832.61</v>
      </c>
      <c r="E16" s="79">
        <v>-743.83</v>
      </c>
      <c r="F16" s="79">
        <v>-894.85</v>
      </c>
      <c r="G16" s="79">
        <v>-1147.5899999999999</v>
      </c>
      <c r="H16" s="79">
        <v>-1149.18</v>
      </c>
      <c r="I16" s="79">
        <v>-763.64</v>
      </c>
      <c r="J16" s="79">
        <v>-720</v>
      </c>
      <c r="K16" s="79">
        <v>-706.13</v>
      </c>
      <c r="L16" s="79">
        <v>-781.93</v>
      </c>
      <c r="M16" s="79">
        <v>-741.46</v>
      </c>
      <c r="N16" s="79">
        <v>-737.8</v>
      </c>
      <c r="O16" s="79">
        <v>-742.28</v>
      </c>
      <c r="P16" s="79">
        <v>-751.59</v>
      </c>
      <c r="Q16" s="79">
        <v>-741.8</v>
      </c>
      <c r="R16" s="79">
        <v>-744.01</v>
      </c>
      <c r="S16" s="79">
        <v>-745.56</v>
      </c>
      <c r="T16" s="79">
        <v>-746.25</v>
      </c>
      <c r="U16" s="79">
        <v>-742.83</v>
      </c>
      <c r="V16" s="79">
        <v>-745.56</v>
      </c>
      <c r="W16" s="79">
        <v>-745.73</v>
      </c>
      <c r="X16" s="79">
        <v>-745.56</v>
      </c>
      <c r="Y16" s="79">
        <v>-743.52</v>
      </c>
      <c r="Z16" s="79">
        <v>-745.56</v>
      </c>
      <c r="AA16" s="79">
        <v>-745.56</v>
      </c>
      <c r="AB16" s="79">
        <v>-745.56</v>
      </c>
      <c r="AC16" s="79">
        <v>-743.52</v>
      </c>
      <c r="AD16" s="79">
        <v>-745.56</v>
      </c>
      <c r="AE16" s="79">
        <v>-745.56</v>
      </c>
      <c r="AF16" s="79">
        <v>-745.56</v>
      </c>
      <c r="AG16" s="79">
        <v>-743.52</v>
      </c>
      <c r="AH16" s="79">
        <v>-745.56</v>
      </c>
      <c r="AI16" s="79">
        <v>-745.56</v>
      </c>
      <c r="AJ16" s="79">
        <v>-745.56</v>
      </c>
      <c r="AK16" s="79">
        <v>-743.52</v>
      </c>
    </row>
    <row r="17" spans="1:37" x14ac:dyDescent="0.25">
      <c r="A17" s="79" t="s">
        <v>353</v>
      </c>
      <c r="B17" s="79">
        <v>864.91</v>
      </c>
      <c r="C17" s="79">
        <v>845.46</v>
      </c>
      <c r="D17" s="79">
        <v>800.91</v>
      </c>
      <c r="E17" s="79">
        <v>708</v>
      </c>
      <c r="F17" s="79">
        <v>854.52</v>
      </c>
      <c r="G17" s="79">
        <v>1001.38</v>
      </c>
      <c r="H17" s="79">
        <v>984.56</v>
      </c>
      <c r="I17" s="79">
        <v>742.75</v>
      </c>
      <c r="J17" s="79">
        <v>744.38</v>
      </c>
      <c r="K17" s="79">
        <v>735.72</v>
      </c>
      <c r="L17" s="79">
        <v>765.21</v>
      </c>
      <c r="M17" s="79">
        <v>745.58</v>
      </c>
      <c r="N17" s="79">
        <v>748.14</v>
      </c>
      <c r="O17" s="79">
        <v>749.18</v>
      </c>
      <c r="P17" s="79">
        <v>752.45</v>
      </c>
      <c r="Q17" s="79">
        <v>747.48</v>
      </c>
      <c r="R17" s="79">
        <v>750.04</v>
      </c>
      <c r="S17" s="79">
        <v>750.39</v>
      </c>
      <c r="T17" s="79">
        <v>750.56</v>
      </c>
      <c r="U17" s="79">
        <v>748.16</v>
      </c>
      <c r="V17" s="79">
        <v>750.39</v>
      </c>
      <c r="W17" s="79">
        <v>750.39</v>
      </c>
      <c r="X17" s="79">
        <v>750.39</v>
      </c>
      <c r="Y17" s="79">
        <v>748.34</v>
      </c>
      <c r="Z17" s="79">
        <v>750.39</v>
      </c>
      <c r="AA17" s="79">
        <v>750.39</v>
      </c>
      <c r="AB17" s="79">
        <v>750.39</v>
      </c>
      <c r="AC17" s="79">
        <v>748.34</v>
      </c>
      <c r="AD17" s="79">
        <v>750.39</v>
      </c>
      <c r="AE17" s="79">
        <v>750.39</v>
      </c>
      <c r="AF17" s="79">
        <v>750.39</v>
      </c>
      <c r="AG17" s="79">
        <v>748.34</v>
      </c>
      <c r="AH17" s="79">
        <v>750.39</v>
      </c>
      <c r="AI17" s="79">
        <v>750.39</v>
      </c>
      <c r="AJ17" s="79">
        <v>750.39</v>
      </c>
      <c r="AK17" s="79">
        <v>748.34</v>
      </c>
    </row>
    <row r="18" spans="1:37" x14ac:dyDescent="0.25">
      <c r="A18" s="79" t="s">
        <v>354</v>
      </c>
      <c r="B18" s="79">
        <v>-87.51</v>
      </c>
      <c r="C18" s="79">
        <v>-109.98</v>
      </c>
      <c r="D18" s="79">
        <v>-116.37</v>
      </c>
      <c r="E18" s="79">
        <v>-112.46</v>
      </c>
      <c r="F18" s="79">
        <v>-99.77</v>
      </c>
      <c r="G18" s="79">
        <v>-121.98</v>
      </c>
      <c r="H18" s="79">
        <v>-135.56</v>
      </c>
      <c r="I18" s="79">
        <v>-350.13</v>
      </c>
      <c r="J18" s="79">
        <v>-457.64</v>
      </c>
      <c r="K18" s="79">
        <v>-457.2</v>
      </c>
      <c r="L18" s="79">
        <v>-388.04</v>
      </c>
      <c r="M18" s="79">
        <v>-412.42</v>
      </c>
      <c r="N18" s="79">
        <v>-429.06</v>
      </c>
      <c r="O18" s="79">
        <v>-421.82</v>
      </c>
      <c r="P18" s="79">
        <v>-413.2</v>
      </c>
      <c r="Q18" s="79">
        <v>-418.44</v>
      </c>
      <c r="R18" s="79">
        <v>-420.96</v>
      </c>
      <c r="S18" s="79">
        <v>-419.06</v>
      </c>
      <c r="T18" s="79">
        <v>-418.2</v>
      </c>
      <c r="U18" s="79">
        <v>-418.26</v>
      </c>
      <c r="V18" s="79">
        <v>-419.24</v>
      </c>
      <c r="W18" s="79">
        <v>-419.06</v>
      </c>
      <c r="X18" s="79">
        <v>-419.06</v>
      </c>
      <c r="Y18" s="79">
        <v>-418.09</v>
      </c>
      <c r="Z18" s="79">
        <v>-419.24</v>
      </c>
      <c r="AA18" s="79">
        <v>-419.24</v>
      </c>
      <c r="AB18" s="79">
        <v>-419.24</v>
      </c>
      <c r="AC18" s="79">
        <v>-418.09</v>
      </c>
      <c r="AD18" s="79">
        <v>-419.24</v>
      </c>
      <c r="AE18" s="79">
        <v>-419.24</v>
      </c>
      <c r="AF18" s="79">
        <v>-419.24</v>
      </c>
      <c r="AG18" s="79">
        <v>-418.09</v>
      </c>
      <c r="AH18" s="79">
        <v>-419.24</v>
      </c>
      <c r="AI18" s="79">
        <v>-419.24</v>
      </c>
      <c r="AJ18" s="79">
        <v>-419.24</v>
      </c>
      <c r="AK18" s="79">
        <v>-418.09</v>
      </c>
    </row>
    <row r="19" spans="1:37" x14ac:dyDescent="0.25">
      <c r="A19" s="79" t="s">
        <v>355</v>
      </c>
      <c r="B19" s="79">
        <v>2095.98</v>
      </c>
      <c r="C19" s="79">
        <v>2064.15</v>
      </c>
      <c r="D19" s="79">
        <v>2118.1799999999998</v>
      </c>
      <c r="E19" s="79">
        <v>2026.15</v>
      </c>
      <c r="F19" s="79">
        <v>1971.75</v>
      </c>
      <c r="G19" s="79">
        <v>2016.4</v>
      </c>
      <c r="H19" s="79">
        <v>1911.36</v>
      </c>
      <c r="I19" s="79">
        <v>1939.83</v>
      </c>
      <c r="J19" s="79">
        <v>1896.54</v>
      </c>
      <c r="K19" s="79">
        <v>1874.17</v>
      </c>
      <c r="L19" s="79">
        <v>1967.51</v>
      </c>
      <c r="M19" s="79">
        <v>1974.92</v>
      </c>
      <c r="N19" s="79">
        <v>1993.05</v>
      </c>
      <c r="O19" s="79">
        <v>1990.98</v>
      </c>
      <c r="P19" s="79">
        <v>2003.91</v>
      </c>
      <c r="Q19" s="79">
        <v>1993.75</v>
      </c>
      <c r="R19" s="79">
        <v>1996.48</v>
      </c>
      <c r="S19" s="79">
        <v>1990.86</v>
      </c>
      <c r="T19" s="79">
        <v>1988.03</v>
      </c>
      <c r="U19" s="79">
        <v>1979.27</v>
      </c>
      <c r="V19" s="79">
        <v>1982.37</v>
      </c>
      <c r="W19" s="79">
        <v>1977.8</v>
      </c>
      <c r="X19" s="79">
        <v>1980.46</v>
      </c>
      <c r="Y19" s="79">
        <v>1972.4</v>
      </c>
      <c r="Z19" s="79">
        <v>1981.8</v>
      </c>
      <c r="AA19" s="79">
        <v>1985.18</v>
      </c>
      <c r="AB19" s="79">
        <v>1989.01</v>
      </c>
      <c r="AC19" s="79">
        <v>1984.65</v>
      </c>
      <c r="AD19" s="79">
        <v>1994.56</v>
      </c>
      <c r="AE19" s="79">
        <v>1997.51</v>
      </c>
      <c r="AF19" s="79">
        <v>2000.53</v>
      </c>
      <c r="AG19" s="79">
        <v>2006.24</v>
      </c>
      <c r="AH19" s="79">
        <v>2024.25</v>
      </c>
      <c r="AI19" s="79">
        <v>2036.33</v>
      </c>
      <c r="AJ19" s="79">
        <v>2048.4299999999998</v>
      </c>
      <c r="AK19" s="79">
        <v>2056.13</v>
      </c>
    </row>
    <row r="21" spans="1:37" ht="18.75" x14ac:dyDescent="0.3">
      <c r="A21" s="80" t="s">
        <v>356</v>
      </c>
    </row>
    <row r="22" spans="1:37" x14ac:dyDescent="0.25">
      <c r="A22" s="79" t="s">
        <v>314</v>
      </c>
      <c r="B22" s="79" t="s">
        <v>313</v>
      </c>
      <c r="C22" s="79" t="s">
        <v>312</v>
      </c>
      <c r="D22" s="79" t="s">
        <v>311</v>
      </c>
      <c r="E22" s="79" t="s">
        <v>310</v>
      </c>
      <c r="F22" s="79" t="s">
        <v>309</v>
      </c>
      <c r="G22" s="79" t="s">
        <v>308</v>
      </c>
      <c r="H22" s="79" t="s">
        <v>307</v>
      </c>
      <c r="I22" s="79" t="s">
        <v>306</v>
      </c>
      <c r="J22" s="79" t="s">
        <v>305</v>
      </c>
      <c r="K22" s="79" t="s">
        <v>304</v>
      </c>
      <c r="L22" s="79" t="s">
        <v>303</v>
      </c>
      <c r="M22" s="79" t="s">
        <v>302</v>
      </c>
      <c r="N22" s="79" t="s">
        <v>301</v>
      </c>
      <c r="O22" s="79" t="s">
        <v>300</v>
      </c>
      <c r="P22" s="79" t="s">
        <v>299</v>
      </c>
      <c r="Q22" s="79" t="s">
        <v>298</v>
      </c>
      <c r="R22" s="79" t="s">
        <v>297</v>
      </c>
      <c r="S22" s="79" t="s">
        <v>296</v>
      </c>
      <c r="T22" s="79" t="s">
        <v>295</v>
      </c>
      <c r="U22" s="79" t="s">
        <v>294</v>
      </c>
      <c r="V22" s="79" t="s">
        <v>293</v>
      </c>
      <c r="W22" s="79" t="s">
        <v>292</v>
      </c>
      <c r="X22" s="79" t="s">
        <v>291</v>
      </c>
      <c r="Y22" s="79" t="s">
        <v>290</v>
      </c>
      <c r="Z22" s="79" t="s">
        <v>289</v>
      </c>
      <c r="AA22" s="79" t="s">
        <v>288</v>
      </c>
      <c r="AB22" s="79" t="s">
        <v>287</v>
      </c>
      <c r="AC22" s="79" t="s">
        <v>286</v>
      </c>
      <c r="AD22" s="79" t="s">
        <v>285</v>
      </c>
      <c r="AE22" s="79" t="s">
        <v>284</v>
      </c>
      <c r="AF22" s="79" t="s">
        <v>283</v>
      </c>
      <c r="AG22" s="79" t="s">
        <v>282</v>
      </c>
      <c r="AH22" s="79" t="s">
        <v>281</v>
      </c>
      <c r="AI22" s="79" t="s">
        <v>280</v>
      </c>
      <c r="AJ22" s="79" t="s">
        <v>279</v>
      </c>
      <c r="AK22" s="79" t="s">
        <v>278</v>
      </c>
    </row>
    <row r="23" spans="1:37" x14ac:dyDescent="0.25">
      <c r="A23" s="79" t="s">
        <v>357</v>
      </c>
      <c r="B23" s="79">
        <v>200.02</v>
      </c>
      <c r="C23" s="79">
        <v>218.38</v>
      </c>
      <c r="D23" s="79">
        <v>226.3</v>
      </c>
      <c r="E23" s="79">
        <v>206.23</v>
      </c>
      <c r="F23" s="79">
        <v>203.32</v>
      </c>
      <c r="G23" s="79">
        <v>208</v>
      </c>
      <c r="H23" s="79">
        <v>205.75</v>
      </c>
      <c r="I23" s="79">
        <v>198.35</v>
      </c>
      <c r="J23" s="79">
        <v>210.82</v>
      </c>
      <c r="K23" s="79">
        <v>219.55</v>
      </c>
      <c r="L23" s="79">
        <v>216.42</v>
      </c>
      <c r="M23" s="79">
        <v>232.72</v>
      </c>
      <c r="N23" s="79">
        <v>231.31</v>
      </c>
      <c r="O23" s="79">
        <v>275.97000000000003</v>
      </c>
      <c r="P23" s="79">
        <v>277.86</v>
      </c>
      <c r="Q23" s="79">
        <v>276.41000000000003</v>
      </c>
      <c r="R23" s="79">
        <v>276.64999999999998</v>
      </c>
      <c r="S23" s="79">
        <v>277</v>
      </c>
      <c r="T23" s="79">
        <v>277.17</v>
      </c>
      <c r="U23" s="79">
        <v>276.24</v>
      </c>
      <c r="V23" s="79">
        <v>277</v>
      </c>
      <c r="W23" s="79">
        <v>277</v>
      </c>
      <c r="X23" s="79">
        <v>277</v>
      </c>
      <c r="Y23" s="79">
        <v>276.24</v>
      </c>
      <c r="Z23" s="79">
        <v>277</v>
      </c>
      <c r="AA23" s="79">
        <v>277</v>
      </c>
      <c r="AB23" s="79">
        <v>277</v>
      </c>
      <c r="AC23" s="79">
        <v>276.24</v>
      </c>
      <c r="AD23" s="79">
        <v>277</v>
      </c>
      <c r="AE23" s="79">
        <v>277</v>
      </c>
      <c r="AF23" s="79">
        <v>277</v>
      </c>
      <c r="AG23" s="79">
        <v>276.24</v>
      </c>
      <c r="AH23" s="79">
        <v>277</v>
      </c>
      <c r="AI23" s="79">
        <v>277</v>
      </c>
      <c r="AJ23" s="79">
        <v>277</v>
      </c>
      <c r="AK23" s="79">
        <v>276.24</v>
      </c>
    </row>
    <row r="24" spans="1:37" x14ac:dyDescent="0.25">
      <c r="A24" s="79" t="s">
        <v>358</v>
      </c>
      <c r="B24" s="79">
        <v>2095.98</v>
      </c>
      <c r="C24" s="79">
        <v>2064.15</v>
      </c>
      <c r="D24" s="79">
        <v>2118.1799999999998</v>
      </c>
      <c r="E24" s="79">
        <v>2026.15</v>
      </c>
      <c r="F24" s="79">
        <v>1971.75</v>
      </c>
      <c r="G24" s="79">
        <v>2016.4</v>
      </c>
      <c r="H24" s="79">
        <v>1911.36</v>
      </c>
      <c r="I24" s="79">
        <v>1939.83</v>
      </c>
      <c r="J24" s="79">
        <v>1896.54</v>
      </c>
      <c r="K24" s="79">
        <v>1874.17</v>
      </c>
      <c r="L24" s="79">
        <v>1967.51</v>
      </c>
      <c r="M24" s="79">
        <v>1974.92</v>
      </c>
      <c r="N24" s="79">
        <v>1993.05</v>
      </c>
      <c r="O24" s="79">
        <v>1990.98</v>
      </c>
      <c r="P24" s="79">
        <v>2003.91</v>
      </c>
      <c r="Q24" s="79">
        <v>1993.75</v>
      </c>
      <c r="R24" s="79">
        <v>1996.48</v>
      </c>
      <c r="S24" s="79">
        <v>1990.86</v>
      </c>
      <c r="T24" s="79">
        <v>1988.03</v>
      </c>
      <c r="U24" s="79">
        <v>1979.27</v>
      </c>
      <c r="V24" s="79">
        <v>1982.37</v>
      </c>
      <c r="W24" s="79">
        <v>1977.8</v>
      </c>
      <c r="X24" s="79">
        <v>1980.46</v>
      </c>
      <c r="Y24" s="79">
        <v>1972.4</v>
      </c>
      <c r="Z24" s="79">
        <v>1981.8</v>
      </c>
      <c r="AA24" s="79">
        <v>1985.18</v>
      </c>
      <c r="AB24" s="79">
        <v>1989.01</v>
      </c>
      <c r="AC24" s="79">
        <v>1984.65</v>
      </c>
      <c r="AD24" s="79">
        <v>1994.56</v>
      </c>
      <c r="AE24" s="79">
        <v>1997.51</v>
      </c>
      <c r="AF24" s="79">
        <v>2000.53</v>
      </c>
      <c r="AG24" s="79">
        <v>2006.24</v>
      </c>
      <c r="AH24" s="79">
        <v>2024.25</v>
      </c>
      <c r="AI24" s="79">
        <v>2036.33</v>
      </c>
      <c r="AJ24" s="79">
        <v>2048.4299999999998</v>
      </c>
      <c r="AK24" s="79">
        <v>2056.13</v>
      </c>
    </row>
    <row r="25" spans="1:37" x14ac:dyDescent="0.25">
      <c r="A25" s="79" t="s">
        <v>359</v>
      </c>
      <c r="B25" s="79">
        <v>814.31</v>
      </c>
      <c r="C25" s="79">
        <v>740.34</v>
      </c>
      <c r="D25" s="79">
        <v>760.43</v>
      </c>
      <c r="E25" s="79">
        <v>772.1</v>
      </c>
      <c r="F25" s="79">
        <v>746.16</v>
      </c>
      <c r="G25" s="79">
        <v>699.54</v>
      </c>
      <c r="H25" s="79">
        <v>634.37</v>
      </c>
      <c r="I25" s="79">
        <v>691.49</v>
      </c>
      <c r="J25" s="79">
        <v>586.48</v>
      </c>
      <c r="K25" s="79">
        <v>521.23</v>
      </c>
      <c r="L25" s="79">
        <v>506.96</v>
      </c>
      <c r="M25" s="79">
        <v>489.17</v>
      </c>
      <c r="N25" s="79">
        <v>491.22</v>
      </c>
      <c r="O25" s="79">
        <v>456.67</v>
      </c>
      <c r="P25" s="79">
        <v>455.05</v>
      </c>
      <c r="Q25" s="79">
        <v>469.07</v>
      </c>
      <c r="R25" s="79">
        <v>467.32</v>
      </c>
      <c r="S25" s="79">
        <v>462.58</v>
      </c>
      <c r="T25" s="79">
        <v>475.55</v>
      </c>
      <c r="U25" s="79">
        <v>472.02</v>
      </c>
      <c r="V25" s="79">
        <v>436.64</v>
      </c>
      <c r="W25" s="79">
        <v>439.72</v>
      </c>
      <c r="X25" s="79">
        <v>448.35</v>
      </c>
      <c r="Y25" s="79">
        <v>451.67</v>
      </c>
      <c r="Z25" s="79">
        <v>454.56</v>
      </c>
      <c r="AA25" s="79">
        <v>455.57</v>
      </c>
      <c r="AB25" s="79">
        <v>460.89</v>
      </c>
      <c r="AC25" s="79">
        <v>467.41</v>
      </c>
      <c r="AD25" s="79">
        <v>473.18</v>
      </c>
      <c r="AE25" s="79">
        <v>469.57</v>
      </c>
      <c r="AF25" s="79">
        <v>472.35</v>
      </c>
      <c r="AG25" s="79">
        <v>475.07</v>
      </c>
      <c r="AH25" s="79">
        <v>481.28</v>
      </c>
      <c r="AI25" s="79">
        <v>488.51</v>
      </c>
      <c r="AJ25" s="79">
        <v>495.1</v>
      </c>
      <c r="AK25" s="79">
        <v>495.99</v>
      </c>
    </row>
    <row r="26" spans="1:37" x14ac:dyDescent="0.25">
      <c r="A26" s="79" t="s">
        <v>360</v>
      </c>
      <c r="B26" s="79">
        <v>99.42</v>
      </c>
      <c r="C26" s="79">
        <v>90.98</v>
      </c>
      <c r="D26" s="79">
        <v>96.62</v>
      </c>
      <c r="E26" s="79">
        <v>89.3</v>
      </c>
      <c r="F26" s="79">
        <v>89.91</v>
      </c>
      <c r="G26" s="79">
        <v>95.15</v>
      </c>
      <c r="H26" s="79">
        <v>86.95</v>
      </c>
      <c r="I26" s="79">
        <v>66.31</v>
      </c>
      <c r="J26" s="79">
        <v>79.989999999999995</v>
      </c>
      <c r="K26" s="79">
        <v>57.69</v>
      </c>
      <c r="L26" s="79">
        <v>98.38</v>
      </c>
      <c r="M26" s="79">
        <v>98.75</v>
      </c>
      <c r="N26" s="79">
        <v>99.65</v>
      </c>
      <c r="O26" s="79">
        <v>99.55</v>
      </c>
      <c r="P26" s="79">
        <v>100.2</v>
      </c>
      <c r="Q26" s="79">
        <v>99.69</v>
      </c>
      <c r="R26" s="79">
        <v>99.82</v>
      </c>
      <c r="S26" s="79">
        <v>99.54</v>
      </c>
      <c r="T26" s="79">
        <v>99.4</v>
      </c>
      <c r="U26" s="79">
        <v>98.96</v>
      </c>
      <c r="V26" s="79">
        <v>99.12</v>
      </c>
      <c r="W26" s="79">
        <v>98.89</v>
      </c>
      <c r="X26" s="79">
        <v>99.02</v>
      </c>
      <c r="Y26" s="79">
        <v>98.62</v>
      </c>
      <c r="Z26" s="79">
        <v>99.09</v>
      </c>
      <c r="AA26" s="79">
        <v>99.26</v>
      </c>
      <c r="AB26" s="79">
        <v>99.45</v>
      </c>
      <c r="AC26" s="79">
        <v>99.23</v>
      </c>
      <c r="AD26" s="79">
        <v>99.73</v>
      </c>
      <c r="AE26" s="79">
        <v>99.88</v>
      </c>
      <c r="AF26" s="79">
        <v>100.03</v>
      </c>
      <c r="AG26" s="79">
        <v>100.31</v>
      </c>
      <c r="AH26" s="79">
        <v>101.21</v>
      </c>
      <c r="AI26" s="79">
        <v>101.82</v>
      </c>
      <c r="AJ26" s="79">
        <v>102.42</v>
      </c>
      <c r="AK26" s="79">
        <v>102.81</v>
      </c>
    </row>
    <row r="27" spans="1:37" x14ac:dyDescent="0.25">
      <c r="A27" s="79" t="s">
        <v>361</v>
      </c>
      <c r="B27" s="79">
        <v>112.86</v>
      </c>
      <c r="C27" s="79">
        <v>109.56</v>
      </c>
      <c r="D27" s="79">
        <v>99.01</v>
      </c>
      <c r="E27" s="79">
        <v>74.45</v>
      </c>
      <c r="F27" s="79">
        <v>61.46</v>
      </c>
      <c r="G27" s="79">
        <v>71.260000000000005</v>
      </c>
      <c r="H27" s="79">
        <v>45.1</v>
      </c>
      <c r="I27" s="79">
        <v>37.270000000000003</v>
      </c>
      <c r="J27" s="79">
        <v>44.75</v>
      </c>
      <c r="K27" s="79">
        <v>20.260000000000002</v>
      </c>
      <c r="L27" s="79">
        <v>24.56</v>
      </c>
      <c r="M27" s="79">
        <v>9.2200000000000006</v>
      </c>
      <c r="N27" s="79">
        <v>9.25</v>
      </c>
      <c r="O27" s="79">
        <v>9.25</v>
      </c>
      <c r="P27" s="79">
        <v>9.25</v>
      </c>
      <c r="Q27" s="79">
        <v>9.2200000000000006</v>
      </c>
      <c r="R27" s="79">
        <v>9.25</v>
      </c>
      <c r="S27" s="79">
        <v>9.25</v>
      </c>
      <c r="T27" s="79">
        <v>9.25</v>
      </c>
      <c r="U27" s="79">
        <v>9.2200000000000006</v>
      </c>
      <c r="V27" s="79">
        <v>9.25</v>
      </c>
      <c r="W27" s="79">
        <v>9.25</v>
      </c>
      <c r="X27" s="79">
        <v>9.25</v>
      </c>
      <c r="Y27" s="79">
        <v>9.2200000000000006</v>
      </c>
      <c r="Z27" s="79">
        <v>9.25</v>
      </c>
      <c r="AA27" s="79">
        <v>9.25</v>
      </c>
      <c r="AB27" s="79">
        <v>9.25</v>
      </c>
      <c r="AC27" s="79">
        <v>9.2200000000000006</v>
      </c>
      <c r="AD27" s="79">
        <v>9.25</v>
      </c>
      <c r="AE27" s="79">
        <v>9.25</v>
      </c>
      <c r="AF27" s="79">
        <v>9.25</v>
      </c>
      <c r="AG27" s="79">
        <v>9.2200000000000006</v>
      </c>
      <c r="AH27" s="79">
        <v>9.25</v>
      </c>
      <c r="AI27" s="79">
        <v>9.25</v>
      </c>
      <c r="AJ27" s="79">
        <v>9.25</v>
      </c>
      <c r="AK27" s="79">
        <v>9.2200000000000006</v>
      </c>
    </row>
    <row r="28" spans="1:37" x14ac:dyDescent="0.25">
      <c r="A28" s="79" t="s">
        <v>362</v>
      </c>
      <c r="B28" s="79">
        <v>150.47</v>
      </c>
      <c r="C28" s="79">
        <v>185.07</v>
      </c>
      <c r="D28" s="79">
        <v>171.74</v>
      </c>
      <c r="E28" s="79">
        <v>155.36000000000001</v>
      </c>
      <c r="F28" s="79">
        <v>152.61000000000001</v>
      </c>
      <c r="G28" s="79">
        <v>147.26</v>
      </c>
      <c r="H28" s="79">
        <v>154.4</v>
      </c>
      <c r="I28" s="79">
        <v>118.43</v>
      </c>
      <c r="J28" s="79">
        <v>112.77</v>
      </c>
      <c r="K28" s="79">
        <v>99.19</v>
      </c>
      <c r="L28" s="79">
        <v>125.79</v>
      </c>
      <c r="M28" s="79">
        <v>121.83</v>
      </c>
      <c r="N28" s="79">
        <v>121.48</v>
      </c>
      <c r="O28" s="79">
        <v>123.72</v>
      </c>
      <c r="P28" s="79">
        <v>123.2</v>
      </c>
      <c r="Q28" s="79">
        <v>122.18</v>
      </c>
      <c r="R28" s="79">
        <v>122.69</v>
      </c>
      <c r="S28" s="79">
        <v>123.03</v>
      </c>
      <c r="T28" s="79">
        <v>122.86</v>
      </c>
      <c r="U28" s="79">
        <v>122.35</v>
      </c>
      <c r="V28" s="79">
        <v>122.69</v>
      </c>
      <c r="W28" s="79">
        <v>122.69</v>
      </c>
      <c r="X28" s="79">
        <v>122.69</v>
      </c>
      <c r="Y28" s="79">
        <v>122.35</v>
      </c>
      <c r="Z28" s="79">
        <v>122.69</v>
      </c>
      <c r="AA28" s="79">
        <v>122.69</v>
      </c>
      <c r="AB28" s="79">
        <v>122.69</v>
      </c>
      <c r="AC28" s="79">
        <v>122.35</v>
      </c>
      <c r="AD28" s="79">
        <v>122.69</v>
      </c>
      <c r="AE28" s="79">
        <v>122.69</v>
      </c>
      <c r="AF28" s="79">
        <v>122.69</v>
      </c>
      <c r="AG28" s="79">
        <v>122.35</v>
      </c>
      <c r="AH28" s="79">
        <v>122.69</v>
      </c>
      <c r="AI28" s="79">
        <v>122.69</v>
      </c>
      <c r="AJ28" s="79">
        <v>122.69</v>
      </c>
      <c r="AK28" s="79">
        <v>122.35</v>
      </c>
    </row>
    <row r="29" spans="1:37" x14ac:dyDescent="0.25">
      <c r="A29" s="79" t="s">
        <v>363</v>
      </c>
      <c r="B29" s="79">
        <v>718.89</v>
      </c>
      <c r="C29" s="79">
        <v>719.82</v>
      </c>
      <c r="D29" s="79">
        <v>764.08</v>
      </c>
      <c r="E29" s="79">
        <v>728.71</v>
      </c>
      <c r="F29" s="79">
        <v>718.29</v>
      </c>
      <c r="G29" s="79">
        <v>795.19</v>
      </c>
      <c r="H29" s="79">
        <v>784.78</v>
      </c>
      <c r="I29" s="79">
        <v>827.99</v>
      </c>
      <c r="J29" s="79">
        <v>861.74</v>
      </c>
      <c r="K29" s="79">
        <v>956.26</v>
      </c>
      <c r="L29" s="79">
        <v>995.4</v>
      </c>
      <c r="M29" s="79">
        <v>1023.22</v>
      </c>
      <c r="N29" s="79">
        <v>1040.1400000000001</v>
      </c>
      <c r="O29" s="79">
        <v>1025.82</v>
      </c>
      <c r="P29" s="79">
        <v>1038.3499999999999</v>
      </c>
      <c r="Q29" s="79">
        <v>1017.18</v>
      </c>
      <c r="R29" s="79">
        <v>1020.75</v>
      </c>
      <c r="S29" s="79">
        <v>1019.45</v>
      </c>
      <c r="T29" s="79">
        <v>1003.8</v>
      </c>
      <c r="U29" s="79">
        <v>1000.46</v>
      </c>
      <c r="V29" s="79">
        <v>1037.67</v>
      </c>
      <c r="W29" s="79">
        <v>1030.25</v>
      </c>
      <c r="X29" s="79">
        <v>1024.1500000000001</v>
      </c>
      <c r="Y29" s="79">
        <v>1014.29</v>
      </c>
      <c r="Z29" s="79">
        <v>1019.22</v>
      </c>
      <c r="AA29" s="79">
        <v>1021.41</v>
      </c>
      <c r="AB29" s="79">
        <v>1019.74</v>
      </c>
      <c r="AC29" s="79">
        <v>1010.18</v>
      </c>
      <c r="AD29" s="79">
        <v>1012.71</v>
      </c>
      <c r="AE29" s="79">
        <v>1019.13</v>
      </c>
      <c r="AF29" s="79">
        <v>1019.22</v>
      </c>
      <c r="AG29" s="79">
        <v>1023.05</v>
      </c>
      <c r="AH29" s="79">
        <v>1032.82</v>
      </c>
      <c r="AI29" s="79">
        <v>1037.07</v>
      </c>
      <c r="AJ29" s="79">
        <v>1041.98</v>
      </c>
      <c r="AK29" s="79">
        <v>1049.51</v>
      </c>
    </row>
  </sheetData>
  <pageMargins left="0.75" right="0.75" top="0.75" bottom="0.5" header="0.5" footer="0.75"/>
  <pageSetup orientation="portrait"/>
  <tableParts count="2">
    <tablePart r:id="rId1"/>
    <tablePart r:id="rId2"/>
  </tablePart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pageSetUpPr fitToPage="1"/>
  </sheetPr>
  <dimension ref="A1:G61"/>
  <sheetViews>
    <sheetView showGridLines="0" topLeftCell="A16" workbookViewId="0">
      <selection activeCell="E32" activeCellId="1" sqref="L11:AA11 E32"/>
    </sheetView>
  </sheetViews>
  <sheetFormatPr defaultColWidth="8" defaultRowHeight="12" customHeight="1" x14ac:dyDescent="0.2"/>
  <cols>
    <col min="1" max="1" width="47.7109375" style="130" customWidth="1"/>
    <col min="2" max="4" width="27.85546875" style="130" customWidth="1"/>
    <col min="5" max="7" width="28" style="130" customWidth="1"/>
    <col min="8" max="16384" width="8" style="130"/>
  </cols>
  <sheetData>
    <row r="1" spans="1:7" ht="15.75" customHeight="1" x14ac:dyDescent="0.2">
      <c r="A1" s="119" t="s">
        <v>587</v>
      </c>
      <c r="B1" s="118"/>
      <c r="C1" s="118"/>
      <c r="D1" s="118"/>
      <c r="E1" s="118"/>
      <c r="F1" s="117"/>
      <c r="G1" s="117" t="s">
        <v>565</v>
      </c>
    </row>
    <row r="2" spans="1:7" ht="15.75" customHeight="1" x14ac:dyDescent="0.2">
      <c r="A2" s="119" t="s">
        <v>588</v>
      </c>
      <c r="B2" s="118"/>
      <c r="C2" s="118"/>
      <c r="D2" s="118"/>
      <c r="E2" s="118"/>
      <c r="F2" s="117"/>
      <c r="G2" s="117" t="s">
        <v>566</v>
      </c>
    </row>
    <row r="3" spans="1:7" x14ac:dyDescent="0.2">
      <c r="A3" s="118"/>
      <c r="B3" s="118"/>
      <c r="C3" s="118"/>
      <c r="D3" s="118"/>
      <c r="E3" s="118"/>
      <c r="F3" s="117"/>
      <c r="G3" s="117" t="s">
        <v>567</v>
      </c>
    </row>
    <row r="4" spans="1:7" x14ac:dyDescent="0.2">
      <c r="A4" s="118"/>
      <c r="B4" s="118"/>
      <c r="C4" s="118"/>
      <c r="D4" s="118"/>
      <c r="E4" s="118"/>
      <c r="F4" s="131"/>
      <c r="G4" s="118"/>
    </row>
    <row r="5" spans="1:7" ht="13.5" customHeight="1" x14ac:dyDescent="0.2">
      <c r="A5" s="132" t="s">
        <v>589</v>
      </c>
      <c r="B5" s="133" t="s">
        <v>571</v>
      </c>
      <c r="C5" s="125" t="s">
        <v>572</v>
      </c>
      <c r="D5" s="125" t="s">
        <v>573</v>
      </c>
      <c r="E5" s="125" t="s">
        <v>574</v>
      </c>
      <c r="F5" s="134" t="s">
        <v>161</v>
      </c>
      <c r="G5" s="134" t="s">
        <v>575</v>
      </c>
    </row>
    <row r="6" spans="1:7" ht="12.75" customHeight="1" thickBot="1" x14ac:dyDescent="0.25">
      <c r="A6" s="135" t="s">
        <v>590</v>
      </c>
      <c r="B6" s="317" t="s">
        <v>577</v>
      </c>
      <c r="C6" s="317"/>
      <c r="D6" s="317"/>
      <c r="E6" s="317"/>
      <c r="F6" s="317"/>
      <c r="G6" s="318"/>
    </row>
    <row r="7" spans="1:7" ht="13.5" customHeight="1" thickTop="1" x14ac:dyDescent="0.2">
      <c r="A7" s="136" t="s">
        <v>591</v>
      </c>
      <c r="B7" s="87">
        <v>2676.3514213340663</v>
      </c>
      <c r="C7" s="87">
        <v>1152.0011488860691</v>
      </c>
      <c r="D7" s="87">
        <v>92.232408364803064</v>
      </c>
      <c r="E7" s="87" t="s">
        <v>592</v>
      </c>
      <c r="F7" s="87" t="s">
        <v>592</v>
      </c>
      <c r="G7" s="87" t="s">
        <v>593</v>
      </c>
    </row>
    <row r="8" spans="1:7" ht="13.5" customHeight="1" x14ac:dyDescent="0.2">
      <c r="A8" s="127" t="s">
        <v>594</v>
      </c>
      <c r="B8" s="123" t="s">
        <v>1</v>
      </c>
      <c r="C8" s="87">
        <v>1150.322948846537</v>
      </c>
      <c r="D8" s="87">
        <v>15.98512185365742</v>
      </c>
      <c r="E8" s="123" t="s">
        <v>1</v>
      </c>
      <c r="F8" s="123" t="s">
        <v>1</v>
      </c>
      <c r="G8" s="87" t="s">
        <v>569</v>
      </c>
    </row>
    <row r="9" spans="1:7" ht="12" customHeight="1" x14ac:dyDescent="0.2">
      <c r="A9" s="127" t="s">
        <v>595</v>
      </c>
      <c r="B9" s="123" t="s">
        <v>1</v>
      </c>
      <c r="C9" s="87">
        <v>1000.1831604917951</v>
      </c>
      <c r="D9" s="123" t="s">
        <v>1</v>
      </c>
      <c r="E9" s="123" t="s">
        <v>1</v>
      </c>
      <c r="F9" s="123" t="s">
        <v>1</v>
      </c>
      <c r="G9" s="123" t="s">
        <v>1</v>
      </c>
    </row>
    <row r="10" spans="1:7" ht="13.5" customHeight="1" x14ac:dyDescent="0.2">
      <c r="A10" s="116" t="s">
        <v>596</v>
      </c>
      <c r="B10" s="123" t="s">
        <v>1</v>
      </c>
      <c r="C10" s="87">
        <v>956.15747149179504</v>
      </c>
      <c r="D10" s="123" t="s">
        <v>1</v>
      </c>
      <c r="E10" s="123" t="s">
        <v>1</v>
      </c>
      <c r="F10" s="123" t="s">
        <v>1</v>
      </c>
      <c r="G10" s="123" t="s">
        <v>1</v>
      </c>
    </row>
    <row r="11" spans="1:7" ht="12" customHeight="1" x14ac:dyDescent="0.2">
      <c r="A11" s="137" t="s">
        <v>597</v>
      </c>
      <c r="B11" s="123" t="s">
        <v>1</v>
      </c>
      <c r="C11" s="123" t="s">
        <v>1</v>
      </c>
      <c r="D11" s="123" t="s">
        <v>1</v>
      </c>
      <c r="E11" s="123" t="s">
        <v>1</v>
      </c>
      <c r="F11" s="123" t="s">
        <v>1</v>
      </c>
      <c r="G11" s="123" t="s">
        <v>1</v>
      </c>
    </row>
    <row r="12" spans="1:7" ht="12" customHeight="1" x14ac:dyDescent="0.2">
      <c r="A12" s="138" t="s">
        <v>598</v>
      </c>
      <c r="B12" s="123" t="s">
        <v>1</v>
      </c>
      <c r="C12" s="87">
        <v>147.49847105453381</v>
      </c>
      <c r="D12" s="123" t="s">
        <v>1</v>
      </c>
      <c r="E12" s="123" t="s">
        <v>1</v>
      </c>
      <c r="F12" s="123" t="s">
        <v>1</v>
      </c>
      <c r="G12" s="123" t="s">
        <v>1</v>
      </c>
    </row>
    <row r="13" spans="1:7" ht="12" customHeight="1" x14ac:dyDescent="0.2">
      <c r="A13" s="138" t="s">
        <v>599</v>
      </c>
      <c r="B13" s="123" t="s">
        <v>1</v>
      </c>
      <c r="C13" s="87">
        <v>808.65900043726128</v>
      </c>
      <c r="D13" s="123" t="s">
        <v>1</v>
      </c>
      <c r="E13" s="123" t="s">
        <v>1</v>
      </c>
      <c r="F13" s="123" t="s">
        <v>1</v>
      </c>
      <c r="G13" s="123" t="s">
        <v>1</v>
      </c>
    </row>
    <row r="14" spans="1:7" ht="12" customHeight="1" x14ac:dyDescent="0.2">
      <c r="A14" s="137" t="s">
        <v>600</v>
      </c>
      <c r="B14" s="123" t="s">
        <v>1</v>
      </c>
      <c r="C14" s="123" t="s">
        <v>1</v>
      </c>
      <c r="D14" s="123" t="s">
        <v>1</v>
      </c>
      <c r="E14" s="123" t="s">
        <v>1</v>
      </c>
      <c r="F14" s="123" t="s">
        <v>1</v>
      </c>
      <c r="G14" s="123" t="s">
        <v>1</v>
      </c>
    </row>
    <row r="15" spans="1:7" ht="12" customHeight="1" x14ac:dyDescent="0.2">
      <c r="A15" s="138" t="s">
        <v>601</v>
      </c>
      <c r="B15" s="123" t="s">
        <v>1</v>
      </c>
      <c r="C15" s="87" t="s">
        <v>1</v>
      </c>
      <c r="D15" s="123" t="s">
        <v>1</v>
      </c>
      <c r="E15" s="123" t="s">
        <v>1</v>
      </c>
      <c r="F15" s="123" t="s">
        <v>1</v>
      </c>
      <c r="G15" s="123" t="s">
        <v>1</v>
      </c>
    </row>
    <row r="16" spans="1:7" ht="12" customHeight="1" x14ac:dyDescent="0.2">
      <c r="A16" s="138" t="s">
        <v>602</v>
      </c>
      <c r="B16" s="123" t="s">
        <v>1</v>
      </c>
      <c r="C16" s="87" t="s">
        <v>1</v>
      </c>
      <c r="D16" s="123" t="s">
        <v>1</v>
      </c>
      <c r="E16" s="123" t="s">
        <v>1</v>
      </c>
      <c r="F16" s="123" t="s">
        <v>1</v>
      </c>
      <c r="G16" s="123" t="s">
        <v>1</v>
      </c>
    </row>
    <row r="17" spans="1:7" ht="12" customHeight="1" x14ac:dyDescent="0.2">
      <c r="A17" s="138" t="s">
        <v>603</v>
      </c>
      <c r="B17" s="123" t="s">
        <v>1</v>
      </c>
      <c r="C17" s="87" t="s">
        <v>1</v>
      </c>
      <c r="D17" s="123" t="s">
        <v>1</v>
      </c>
      <c r="E17" s="123" t="s">
        <v>1</v>
      </c>
      <c r="F17" s="123" t="s">
        <v>1</v>
      </c>
      <c r="G17" s="123" t="s">
        <v>1</v>
      </c>
    </row>
    <row r="18" spans="1:7" ht="12" customHeight="1" x14ac:dyDescent="0.2">
      <c r="A18" s="137" t="s">
        <v>604</v>
      </c>
      <c r="B18" s="123" t="s">
        <v>1</v>
      </c>
      <c r="C18" s="123" t="s">
        <v>1</v>
      </c>
      <c r="D18" s="123" t="s">
        <v>1</v>
      </c>
      <c r="E18" s="123" t="s">
        <v>1</v>
      </c>
      <c r="F18" s="123" t="s">
        <v>1</v>
      </c>
      <c r="G18" s="123" t="s">
        <v>1</v>
      </c>
    </row>
    <row r="19" spans="1:7" ht="12" customHeight="1" x14ac:dyDescent="0.2">
      <c r="A19" s="138" t="s">
        <v>605</v>
      </c>
      <c r="B19" s="123" t="s">
        <v>1</v>
      </c>
      <c r="C19" s="87" t="s">
        <v>1</v>
      </c>
      <c r="D19" s="123" t="s">
        <v>1</v>
      </c>
      <c r="E19" s="123" t="s">
        <v>1</v>
      </c>
      <c r="F19" s="123" t="s">
        <v>1</v>
      </c>
      <c r="G19" s="123" t="s">
        <v>1</v>
      </c>
    </row>
    <row r="20" spans="1:7" ht="12" customHeight="1" x14ac:dyDescent="0.2">
      <c r="A20" s="116" t="s">
        <v>606</v>
      </c>
      <c r="B20" s="123" t="s">
        <v>1</v>
      </c>
      <c r="C20" s="87">
        <v>7.6715999999999998</v>
      </c>
      <c r="D20" s="123" t="s">
        <v>1</v>
      </c>
      <c r="E20" s="123" t="s">
        <v>1</v>
      </c>
      <c r="F20" s="123" t="s">
        <v>1</v>
      </c>
      <c r="G20" s="123" t="s">
        <v>1</v>
      </c>
    </row>
    <row r="21" spans="1:7" ht="12" customHeight="1" x14ac:dyDescent="0.2">
      <c r="A21" s="116" t="s">
        <v>607</v>
      </c>
      <c r="B21" s="123" t="s">
        <v>1</v>
      </c>
      <c r="C21" s="87">
        <v>19.86375</v>
      </c>
      <c r="D21" s="123" t="s">
        <v>1</v>
      </c>
      <c r="E21" s="123" t="s">
        <v>1</v>
      </c>
      <c r="F21" s="123" t="s">
        <v>1</v>
      </c>
      <c r="G21" s="123" t="s">
        <v>1</v>
      </c>
    </row>
    <row r="22" spans="1:7" ht="12" customHeight="1" x14ac:dyDescent="0.2">
      <c r="A22" s="116" t="s">
        <v>608</v>
      </c>
      <c r="B22" s="123" t="s">
        <v>1</v>
      </c>
      <c r="C22" s="87">
        <v>16.490338999999999</v>
      </c>
      <c r="D22" s="123" t="s">
        <v>1</v>
      </c>
      <c r="E22" s="123" t="s">
        <v>1</v>
      </c>
      <c r="F22" s="123" t="s">
        <v>1</v>
      </c>
      <c r="G22" s="123" t="s">
        <v>1</v>
      </c>
    </row>
    <row r="23" spans="1:7" ht="12.75" customHeight="1" x14ac:dyDescent="0.2">
      <c r="A23" s="139" t="s">
        <v>609</v>
      </c>
      <c r="B23" s="123" t="s">
        <v>1</v>
      </c>
      <c r="C23" s="87">
        <v>6.8828100000000001</v>
      </c>
      <c r="D23" s="123"/>
      <c r="E23" s="123" t="s">
        <v>1</v>
      </c>
      <c r="F23" s="123" t="s">
        <v>1</v>
      </c>
      <c r="G23" s="123"/>
    </row>
    <row r="24" spans="1:7" x14ac:dyDescent="0.2">
      <c r="A24" s="139" t="s">
        <v>610</v>
      </c>
      <c r="B24" s="123" t="s">
        <v>1</v>
      </c>
      <c r="C24" s="87">
        <v>0.25199199999999999</v>
      </c>
      <c r="D24" s="123"/>
      <c r="E24" s="123" t="s">
        <v>1</v>
      </c>
      <c r="F24" s="123" t="s">
        <v>1</v>
      </c>
      <c r="G24" s="123"/>
    </row>
    <row r="25" spans="1:7" x14ac:dyDescent="0.2">
      <c r="A25" s="139" t="s">
        <v>611</v>
      </c>
      <c r="B25" s="123" t="s">
        <v>1</v>
      </c>
      <c r="C25" s="87">
        <v>1.0410200000000001</v>
      </c>
      <c r="D25" s="123"/>
      <c r="E25" s="123" t="s">
        <v>1</v>
      </c>
      <c r="F25" s="123" t="s">
        <v>1</v>
      </c>
      <c r="G25" s="123"/>
    </row>
    <row r="26" spans="1:7" x14ac:dyDescent="0.2">
      <c r="A26" s="139" t="s">
        <v>73</v>
      </c>
      <c r="B26" s="123" t="s">
        <v>1</v>
      </c>
      <c r="C26" s="87">
        <v>1.127305</v>
      </c>
      <c r="D26" s="123"/>
      <c r="E26" s="123" t="s">
        <v>1</v>
      </c>
      <c r="F26" s="123" t="s">
        <v>1</v>
      </c>
      <c r="G26" s="123"/>
    </row>
    <row r="27" spans="1:7" x14ac:dyDescent="0.2">
      <c r="A27" s="139" t="s">
        <v>74</v>
      </c>
      <c r="B27" s="123" t="s">
        <v>1</v>
      </c>
      <c r="C27" s="87">
        <v>7.0621200000000002</v>
      </c>
      <c r="D27" s="123"/>
      <c r="E27" s="123" t="s">
        <v>1</v>
      </c>
      <c r="F27" s="123" t="s">
        <v>1</v>
      </c>
      <c r="G27" s="123"/>
    </row>
    <row r="28" spans="1:7" x14ac:dyDescent="0.2">
      <c r="A28" s="139" t="s">
        <v>612</v>
      </c>
      <c r="B28" s="123" t="s">
        <v>1</v>
      </c>
      <c r="C28" s="87">
        <v>0.11040999999999999</v>
      </c>
      <c r="D28" s="123"/>
      <c r="E28" s="123" t="s">
        <v>1</v>
      </c>
      <c r="F28" s="123" t="s">
        <v>1</v>
      </c>
      <c r="G28" s="123"/>
    </row>
    <row r="29" spans="1:7" x14ac:dyDescent="0.2">
      <c r="A29" s="139" t="s">
        <v>79</v>
      </c>
      <c r="B29" s="123" t="s">
        <v>1</v>
      </c>
      <c r="C29" s="87" t="s">
        <v>184</v>
      </c>
      <c r="D29" s="123"/>
      <c r="E29" s="123" t="s">
        <v>1</v>
      </c>
      <c r="F29" s="123" t="s">
        <v>1</v>
      </c>
      <c r="G29" s="123"/>
    </row>
    <row r="30" spans="1:7" ht="12" customHeight="1" x14ac:dyDescent="0.2">
      <c r="A30" s="140" t="s">
        <v>613</v>
      </c>
      <c r="B30" s="123" t="s">
        <v>1</v>
      </c>
      <c r="C30" s="87">
        <v>1.4682000000000001E-2</v>
      </c>
      <c r="D30" s="123" t="s">
        <v>1</v>
      </c>
      <c r="E30" s="123" t="s">
        <v>1</v>
      </c>
      <c r="F30" s="123" t="s">
        <v>1</v>
      </c>
      <c r="G30" s="123" t="s">
        <v>1</v>
      </c>
    </row>
    <row r="31" spans="1:7" ht="13.5" customHeight="1" x14ac:dyDescent="0.2">
      <c r="A31" s="141" t="s">
        <v>614</v>
      </c>
      <c r="B31" s="123" t="s">
        <v>1</v>
      </c>
      <c r="C31" s="87" t="s">
        <v>184</v>
      </c>
      <c r="D31" s="123"/>
      <c r="E31" s="123" t="s">
        <v>1</v>
      </c>
      <c r="F31" s="123" t="s">
        <v>1</v>
      </c>
      <c r="G31" s="123"/>
    </row>
    <row r="32" spans="1:7" x14ac:dyDescent="0.2">
      <c r="A32" s="141" t="s">
        <v>615</v>
      </c>
      <c r="B32" s="123" t="s">
        <v>1</v>
      </c>
      <c r="C32" s="87" t="s">
        <v>184</v>
      </c>
      <c r="D32" s="123"/>
      <c r="E32" s="123" t="s">
        <v>1</v>
      </c>
      <c r="F32" s="123" t="s">
        <v>1</v>
      </c>
      <c r="G32" s="123"/>
    </row>
    <row r="33" spans="1:7" x14ac:dyDescent="0.2">
      <c r="A33" s="141" t="s">
        <v>36</v>
      </c>
      <c r="B33" s="123" t="s">
        <v>1</v>
      </c>
      <c r="C33" s="87">
        <v>1.4682000000000001E-2</v>
      </c>
      <c r="D33" s="123"/>
      <c r="E33" s="123" t="s">
        <v>1</v>
      </c>
      <c r="F33" s="123" t="s">
        <v>1</v>
      </c>
      <c r="G33" s="123"/>
    </row>
    <row r="34" spans="1:7" ht="12" customHeight="1" x14ac:dyDescent="0.2">
      <c r="A34" s="127" t="s">
        <v>616</v>
      </c>
      <c r="B34" s="123" t="s">
        <v>1</v>
      </c>
      <c r="C34" s="87">
        <v>150.13978835474182</v>
      </c>
      <c r="D34" s="87">
        <v>15.98512185365742</v>
      </c>
      <c r="E34" s="123" t="s">
        <v>1</v>
      </c>
      <c r="F34" s="123" t="s">
        <v>1</v>
      </c>
      <c r="G34" s="87" t="s">
        <v>569</v>
      </c>
    </row>
    <row r="35" spans="1:7" ht="12" customHeight="1" x14ac:dyDescent="0.2">
      <c r="A35" s="142" t="s">
        <v>617</v>
      </c>
      <c r="B35" s="123" t="s">
        <v>1</v>
      </c>
      <c r="C35" s="87">
        <v>72.548762551460541</v>
      </c>
      <c r="D35" s="87">
        <v>9.3286166907576398</v>
      </c>
      <c r="E35" s="123" t="s">
        <v>1</v>
      </c>
      <c r="F35" s="123" t="s">
        <v>1</v>
      </c>
      <c r="G35" s="87" t="s">
        <v>569</v>
      </c>
    </row>
    <row r="36" spans="1:7" ht="12" customHeight="1" x14ac:dyDescent="0.2">
      <c r="A36" s="137" t="s">
        <v>597</v>
      </c>
      <c r="B36" s="123" t="s">
        <v>1</v>
      </c>
      <c r="C36" s="123" t="s">
        <v>1</v>
      </c>
      <c r="D36" s="123" t="s">
        <v>1</v>
      </c>
      <c r="E36" s="123" t="s">
        <v>1</v>
      </c>
      <c r="F36" s="123" t="s">
        <v>1</v>
      </c>
      <c r="G36" s="123" t="s">
        <v>1</v>
      </c>
    </row>
    <row r="37" spans="1:7" ht="12" customHeight="1" x14ac:dyDescent="0.2">
      <c r="A37" s="138" t="s">
        <v>598</v>
      </c>
      <c r="B37" s="123" t="s">
        <v>1</v>
      </c>
      <c r="C37" s="87">
        <v>33.521790075208308</v>
      </c>
      <c r="D37" s="87">
        <v>1.26498358516302</v>
      </c>
      <c r="E37" s="123" t="s">
        <v>1</v>
      </c>
      <c r="F37" s="123" t="s">
        <v>1</v>
      </c>
      <c r="G37" s="86" t="s">
        <v>569</v>
      </c>
    </row>
    <row r="38" spans="1:7" ht="12" customHeight="1" x14ac:dyDescent="0.2">
      <c r="A38" s="138" t="s">
        <v>599</v>
      </c>
      <c r="B38" s="123" t="s">
        <v>1</v>
      </c>
      <c r="C38" s="87">
        <v>39.026972476252233</v>
      </c>
      <c r="D38" s="87">
        <v>8.0636331055946204</v>
      </c>
      <c r="E38" s="123" t="s">
        <v>1</v>
      </c>
      <c r="F38" s="123" t="s">
        <v>1</v>
      </c>
      <c r="G38" s="86" t="s">
        <v>569</v>
      </c>
    </row>
    <row r="39" spans="1:7" ht="12" customHeight="1" x14ac:dyDescent="0.2">
      <c r="A39" s="137" t="s">
        <v>600</v>
      </c>
      <c r="B39" s="123" t="s">
        <v>1</v>
      </c>
      <c r="C39" s="123" t="s">
        <v>1</v>
      </c>
      <c r="D39" s="123" t="s">
        <v>1</v>
      </c>
      <c r="E39" s="123" t="s">
        <v>1</v>
      </c>
      <c r="F39" s="123" t="s">
        <v>1</v>
      </c>
      <c r="G39" s="123" t="s">
        <v>1</v>
      </c>
    </row>
    <row r="40" spans="1:7" ht="12" customHeight="1" x14ac:dyDescent="0.2">
      <c r="A40" s="138" t="s">
        <v>601</v>
      </c>
      <c r="B40" s="123" t="s">
        <v>1</v>
      </c>
      <c r="C40" s="87" t="s">
        <v>1</v>
      </c>
      <c r="D40" s="87" t="s">
        <v>1</v>
      </c>
      <c r="E40" s="123" t="s">
        <v>1</v>
      </c>
      <c r="F40" s="123" t="s">
        <v>1</v>
      </c>
      <c r="G40" s="86" t="s">
        <v>1</v>
      </c>
    </row>
    <row r="41" spans="1:7" ht="12" customHeight="1" x14ac:dyDescent="0.2">
      <c r="A41" s="138" t="s">
        <v>602</v>
      </c>
      <c r="B41" s="123" t="s">
        <v>1</v>
      </c>
      <c r="C41" s="87" t="s">
        <v>1</v>
      </c>
      <c r="D41" s="87" t="s">
        <v>1</v>
      </c>
      <c r="E41" s="123" t="s">
        <v>1</v>
      </c>
      <c r="F41" s="123" t="s">
        <v>1</v>
      </c>
      <c r="G41" s="86" t="s">
        <v>1</v>
      </c>
    </row>
    <row r="42" spans="1:7" ht="12" customHeight="1" x14ac:dyDescent="0.2">
      <c r="A42" s="138" t="s">
        <v>603</v>
      </c>
      <c r="B42" s="123" t="s">
        <v>1</v>
      </c>
      <c r="C42" s="87" t="s">
        <v>1</v>
      </c>
      <c r="D42" s="87" t="s">
        <v>1</v>
      </c>
      <c r="E42" s="123" t="s">
        <v>1</v>
      </c>
      <c r="F42" s="123" t="s">
        <v>1</v>
      </c>
      <c r="G42" s="86" t="s">
        <v>1</v>
      </c>
    </row>
    <row r="43" spans="1:7" ht="12" customHeight="1" x14ac:dyDescent="0.2">
      <c r="A43" s="137" t="s">
        <v>604</v>
      </c>
      <c r="B43" s="123" t="s">
        <v>1</v>
      </c>
      <c r="C43" s="123" t="s">
        <v>1</v>
      </c>
      <c r="D43" s="123" t="s">
        <v>1</v>
      </c>
      <c r="E43" s="123" t="s">
        <v>1</v>
      </c>
      <c r="F43" s="123" t="s">
        <v>1</v>
      </c>
      <c r="G43" s="123" t="s">
        <v>1</v>
      </c>
    </row>
    <row r="44" spans="1:7" ht="12" customHeight="1" x14ac:dyDescent="0.2">
      <c r="A44" s="138" t="s">
        <v>618</v>
      </c>
      <c r="B44" s="123" t="s">
        <v>1</v>
      </c>
      <c r="C44" s="87" t="s">
        <v>1</v>
      </c>
      <c r="D44" s="87" t="s">
        <v>1</v>
      </c>
      <c r="E44" s="123" t="s">
        <v>1</v>
      </c>
      <c r="F44" s="123" t="s">
        <v>1</v>
      </c>
      <c r="G44" s="86" t="s">
        <v>1</v>
      </c>
    </row>
    <row r="45" spans="1:7" ht="12" customHeight="1" x14ac:dyDescent="0.2">
      <c r="A45" s="116" t="s">
        <v>606</v>
      </c>
      <c r="B45" s="123" t="s">
        <v>1</v>
      </c>
      <c r="C45" s="87">
        <v>0.27536735496975001</v>
      </c>
      <c r="D45" s="87">
        <v>4.4073032731200001E-2</v>
      </c>
      <c r="E45" s="123" t="s">
        <v>1</v>
      </c>
      <c r="F45" s="123" t="s">
        <v>1</v>
      </c>
      <c r="G45" s="86" t="s">
        <v>569</v>
      </c>
    </row>
    <row r="46" spans="1:7" ht="12" customHeight="1" x14ac:dyDescent="0.2">
      <c r="A46" s="116" t="s">
        <v>607</v>
      </c>
      <c r="B46" s="123" t="s">
        <v>1</v>
      </c>
      <c r="C46" s="87">
        <v>67.785625613240242</v>
      </c>
      <c r="D46" s="87">
        <v>0.38891002188433998</v>
      </c>
      <c r="E46" s="123" t="s">
        <v>1</v>
      </c>
      <c r="F46" s="123" t="s">
        <v>1</v>
      </c>
      <c r="G46" s="86" t="s">
        <v>569</v>
      </c>
    </row>
    <row r="47" spans="1:7" ht="12" customHeight="1" x14ac:dyDescent="0.2">
      <c r="A47" s="116" t="s">
        <v>608</v>
      </c>
      <c r="B47" s="123" t="s">
        <v>1</v>
      </c>
      <c r="C47" s="87">
        <v>9.5300328350712906</v>
      </c>
      <c r="D47" s="87">
        <v>2.3962946603245801</v>
      </c>
      <c r="E47" s="123" t="s">
        <v>1</v>
      </c>
      <c r="F47" s="123" t="s">
        <v>1</v>
      </c>
      <c r="G47" s="87" t="s">
        <v>569</v>
      </c>
    </row>
    <row r="48" spans="1:7" ht="12" customHeight="1" x14ac:dyDescent="0.2">
      <c r="A48" s="139" t="s">
        <v>609</v>
      </c>
      <c r="B48" s="123" t="s">
        <v>1</v>
      </c>
      <c r="C48" s="87">
        <v>0.26981715854554</v>
      </c>
      <c r="D48" s="87">
        <v>0.12312039229662</v>
      </c>
      <c r="E48" s="123" t="s">
        <v>1</v>
      </c>
      <c r="F48" s="123" t="s">
        <v>1</v>
      </c>
      <c r="G48" s="86" t="s">
        <v>569</v>
      </c>
    </row>
    <row r="49" spans="1:7" x14ac:dyDescent="0.2">
      <c r="A49" s="139" t="s">
        <v>610</v>
      </c>
      <c r="B49" s="123" t="s">
        <v>1</v>
      </c>
      <c r="C49" s="87">
        <v>1.042242064447E-2</v>
      </c>
      <c r="D49" s="87">
        <v>3.82521238809E-3</v>
      </c>
      <c r="E49" s="123" t="s">
        <v>1</v>
      </c>
      <c r="F49" s="123" t="s">
        <v>1</v>
      </c>
      <c r="G49" s="86" t="s">
        <v>569</v>
      </c>
    </row>
    <row r="50" spans="1:7" x14ac:dyDescent="0.2">
      <c r="A50" s="139" t="s">
        <v>611</v>
      </c>
      <c r="B50" s="123" t="s">
        <v>1</v>
      </c>
      <c r="C50" s="87">
        <v>1.145122E-2</v>
      </c>
      <c r="D50" s="87">
        <v>1.116350446719E-2</v>
      </c>
      <c r="E50" s="123" t="s">
        <v>1</v>
      </c>
      <c r="F50" s="123" t="s">
        <v>1</v>
      </c>
      <c r="G50" s="86" t="s">
        <v>569</v>
      </c>
    </row>
    <row r="51" spans="1:7" x14ac:dyDescent="0.2">
      <c r="A51" s="139" t="s">
        <v>73</v>
      </c>
      <c r="B51" s="123" t="s">
        <v>1</v>
      </c>
      <c r="C51" s="87">
        <v>7.121869823858E-2</v>
      </c>
      <c r="D51" s="87">
        <v>3.1461313141029998E-2</v>
      </c>
      <c r="E51" s="123" t="s">
        <v>1</v>
      </c>
      <c r="F51" s="123" t="s">
        <v>1</v>
      </c>
      <c r="G51" s="86" t="s">
        <v>569</v>
      </c>
    </row>
    <row r="52" spans="1:7" x14ac:dyDescent="0.2">
      <c r="A52" s="139" t="s">
        <v>74</v>
      </c>
      <c r="B52" s="123" t="s">
        <v>1</v>
      </c>
      <c r="C52" s="87">
        <v>1.02206951366717</v>
      </c>
      <c r="D52" s="87">
        <v>0.19341760749956999</v>
      </c>
      <c r="E52" s="123" t="s">
        <v>1</v>
      </c>
      <c r="F52" s="123" t="s">
        <v>1</v>
      </c>
      <c r="G52" s="86" t="s">
        <v>569</v>
      </c>
    </row>
    <row r="53" spans="1:7" x14ac:dyDescent="0.2">
      <c r="A53" s="139" t="s">
        <v>612</v>
      </c>
      <c r="B53" s="123" t="s">
        <v>1</v>
      </c>
      <c r="C53" s="87">
        <v>8.3911599999999999E-3</v>
      </c>
      <c r="D53" s="87">
        <v>2.8854565495299998E-3</v>
      </c>
      <c r="E53" s="123" t="s">
        <v>1</v>
      </c>
      <c r="F53" s="123" t="s">
        <v>1</v>
      </c>
      <c r="G53" s="86" t="s">
        <v>569</v>
      </c>
    </row>
    <row r="54" spans="1:7" x14ac:dyDescent="0.2">
      <c r="A54" s="139" t="s">
        <v>79</v>
      </c>
      <c r="B54" s="123" t="s">
        <v>1</v>
      </c>
      <c r="C54" s="87">
        <v>7.5445662170921599</v>
      </c>
      <c r="D54" s="87">
        <v>1.89461976052826</v>
      </c>
      <c r="E54" s="123" t="s">
        <v>1</v>
      </c>
      <c r="F54" s="123" t="s">
        <v>1</v>
      </c>
      <c r="G54" s="86" t="s">
        <v>569</v>
      </c>
    </row>
    <row r="55" spans="1:7" ht="12" customHeight="1" x14ac:dyDescent="0.2">
      <c r="A55" s="140" t="s">
        <v>613</v>
      </c>
      <c r="B55" s="123" t="s">
        <v>1</v>
      </c>
      <c r="C55" s="87">
        <v>0.59209644688337004</v>
      </c>
      <c r="D55" s="87">
        <v>0.13580141345429</v>
      </c>
      <c r="E55" s="123" t="s">
        <v>1</v>
      </c>
      <c r="F55" s="123" t="s">
        <v>1</v>
      </c>
      <c r="G55" s="87" t="s">
        <v>569</v>
      </c>
    </row>
    <row r="56" spans="1:7" x14ac:dyDescent="0.2">
      <c r="A56" s="141" t="s">
        <v>614</v>
      </c>
      <c r="B56" s="123" t="s">
        <v>1</v>
      </c>
      <c r="C56" s="87">
        <v>1.92360688337E-3</v>
      </c>
      <c r="D56" s="87">
        <v>6.1344922714399999E-3</v>
      </c>
      <c r="E56" s="123" t="s">
        <v>1</v>
      </c>
      <c r="F56" s="123" t="s">
        <v>1</v>
      </c>
      <c r="G56" s="86" t="s">
        <v>569</v>
      </c>
    </row>
    <row r="57" spans="1:7" x14ac:dyDescent="0.2">
      <c r="A57" s="141" t="s">
        <v>615</v>
      </c>
      <c r="B57" s="123" t="s">
        <v>1</v>
      </c>
      <c r="C57" s="87">
        <v>0.58890039999999999</v>
      </c>
      <c r="D57" s="87">
        <v>0.12624230972570999</v>
      </c>
      <c r="E57" s="123" t="s">
        <v>1</v>
      </c>
      <c r="F57" s="123" t="s">
        <v>1</v>
      </c>
      <c r="G57" s="86" t="s">
        <v>569</v>
      </c>
    </row>
    <row r="58" spans="1:7" x14ac:dyDescent="0.2">
      <c r="A58" s="141" t="s">
        <v>36</v>
      </c>
      <c r="B58" s="123" t="s">
        <v>1</v>
      </c>
      <c r="C58" s="87">
        <v>1.2724399999999999E-3</v>
      </c>
      <c r="D58" s="87">
        <v>3.42461145714E-3</v>
      </c>
      <c r="E58" s="123" t="s">
        <v>1</v>
      </c>
      <c r="F58" s="123" t="s">
        <v>1</v>
      </c>
      <c r="G58" s="86" t="s">
        <v>569</v>
      </c>
    </row>
    <row r="59" spans="1:7" ht="14.25" customHeight="1" x14ac:dyDescent="0.2">
      <c r="A59" s="116" t="s">
        <v>619</v>
      </c>
      <c r="B59" s="123" t="s">
        <v>1</v>
      </c>
      <c r="C59" s="123" t="s">
        <v>1</v>
      </c>
      <c r="D59" s="87">
        <v>3.8272274479596602</v>
      </c>
      <c r="E59" s="123" t="s">
        <v>1</v>
      </c>
      <c r="F59" s="123" t="s">
        <v>1</v>
      </c>
      <c r="G59" s="123" t="s">
        <v>1</v>
      </c>
    </row>
    <row r="60" spans="1:7" ht="12" customHeight="1" x14ac:dyDescent="0.2">
      <c r="A60" s="128"/>
      <c r="B60" s="128"/>
      <c r="C60" s="128"/>
      <c r="D60" s="128"/>
      <c r="E60" s="128"/>
      <c r="F60" s="128"/>
      <c r="G60" s="118"/>
    </row>
    <row r="61" spans="1:7" ht="12" customHeight="1" x14ac:dyDescent="0.2">
      <c r="A61" s="143" t="s">
        <v>620</v>
      </c>
      <c r="B61" s="144"/>
      <c r="C61" s="144"/>
      <c r="D61" s="144"/>
      <c r="E61" s="144"/>
      <c r="F61" s="144"/>
      <c r="G61" s="118"/>
    </row>
  </sheetData>
  <mergeCells count="1">
    <mergeCell ref="B6:G6"/>
  </mergeCells>
  <dataValidations count="1">
    <dataValidation allowBlank="1" showInputMessage="1" showErrorMessage="1" sqref="C48:G65518 H1:IV1048576 A48:B1048576"/>
  </dataValidations>
  <printOptions horizontalCentered="1" verticalCentered="1"/>
  <pageMargins left="0.39370078740157483" right="0.39370078740157483" top="0.39370078740157483" bottom="0.39370078740157483" header="0.19685039370078741" footer="0.19685039370078741"/>
  <pageSetup paperSize="9" scale="45" orientation="landscape"/>
  <headerFooter alignWithMargins="0"/>
  <legacyDrawing r:id="rId1"/>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50"/>
  <sheetViews>
    <sheetView workbookViewId="0">
      <selection activeCell="E32" activeCellId="1" sqref="L11:AA11 E32"/>
    </sheetView>
  </sheetViews>
  <sheetFormatPr defaultColWidth="8.85546875" defaultRowHeight="15" x14ac:dyDescent="0.25"/>
  <cols>
    <col min="1" max="1" width="27.140625" bestFit="1" customWidth="1"/>
    <col min="3" max="3" width="31.85546875" customWidth="1"/>
    <col min="12" max="12" width="31.85546875" customWidth="1"/>
  </cols>
  <sheetData>
    <row r="1" spans="1:12" x14ac:dyDescent="0.25">
      <c r="A1" t="s">
        <v>537</v>
      </c>
      <c r="B1" t="s">
        <v>538</v>
      </c>
      <c r="C1" t="s">
        <v>539</v>
      </c>
      <c r="D1" t="s">
        <v>540</v>
      </c>
      <c r="E1" t="s">
        <v>535</v>
      </c>
      <c r="F1" t="s">
        <v>536</v>
      </c>
      <c r="G1">
        <v>1060.36371688701</v>
      </c>
      <c r="L1" t="s">
        <v>539</v>
      </c>
    </row>
    <row r="2" spans="1:12" x14ac:dyDescent="0.25">
      <c r="A2" t="s">
        <v>537</v>
      </c>
      <c r="B2" t="s">
        <v>538</v>
      </c>
      <c r="C2" t="s">
        <v>539</v>
      </c>
      <c r="D2" t="s">
        <v>540</v>
      </c>
      <c r="E2" t="s">
        <v>535</v>
      </c>
      <c r="F2" t="s">
        <v>541</v>
      </c>
      <c r="G2">
        <v>1106.2568267854199</v>
      </c>
      <c r="L2" t="s">
        <v>550</v>
      </c>
    </row>
    <row r="3" spans="1:12" x14ac:dyDescent="0.25">
      <c r="A3" t="s">
        <v>537</v>
      </c>
      <c r="B3" t="s">
        <v>538</v>
      </c>
      <c r="C3" t="s">
        <v>539</v>
      </c>
      <c r="D3" t="s">
        <v>540</v>
      </c>
      <c r="E3" t="s">
        <v>535</v>
      </c>
      <c r="F3" t="s">
        <v>542</v>
      </c>
      <c r="G3">
        <v>1158.34500969788</v>
      </c>
      <c r="L3" t="s">
        <v>551</v>
      </c>
    </row>
    <row r="4" spans="1:12" x14ac:dyDescent="0.25">
      <c r="A4" t="s">
        <v>537</v>
      </c>
      <c r="B4" t="s">
        <v>538</v>
      </c>
      <c r="C4" t="s">
        <v>539</v>
      </c>
      <c r="D4" t="s">
        <v>540</v>
      </c>
      <c r="E4" t="s">
        <v>535</v>
      </c>
      <c r="F4" t="s">
        <v>543</v>
      </c>
      <c r="G4">
        <v>1216.20745356512</v>
      </c>
      <c r="L4" t="s">
        <v>552</v>
      </c>
    </row>
    <row r="5" spans="1:12" x14ac:dyDescent="0.25">
      <c r="A5" t="s">
        <v>537</v>
      </c>
      <c r="B5" t="s">
        <v>538</v>
      </c>
      <c r="C5" t="s">
        <v>539</v>
      </c>
      <c r="D5" t="s">
        <v>540</v>
      </c>
      <c r="E5" t="s">
        <v>535</v>
      </c>
      <c r="F5" t="s">
        <v>544</v>
      </c>
      <c r="G5">
        <v>1273.0151579471799</v>
      </c>
      <c r="L5" t="s">
        <v>553</v>
      </c>
    </row>
    <row r="6" spans="1:12" x14ac:dyDescent="0.25">
      <c r="A6" t="s">
        <v>537</v>
      </c>
      <c r="B6" t="s">
        <v>538</v>
      </c>
      <c r="C6" t="s">
        <v>539</v>
      </c>
      <c r="D6" t="s">
        <v>540</v>
      </c>
      <c r="E6" t="s">
        <v>535</v>
      </c>
      <c r="F6" t="s">
        <v>545</v>
      </c>
      <c r="G6">
        <v>1327.4912538113001</v>
      </c>
    </row>
    <row r="7" spans="1:12" x14ac:dyDescent="0.25">
      <c r="A7" t="s">
        <v>537</v>
      </c>
      <c r="B7" t="s">
        <v>538</v>
      </c>
      <c r="C7" t="s">
        <v>539</v>
      </c>
      <c r="D7" t="s">
        <v>540</v>
      </c>
      <c r="E7" t="s">
        <v>535</v>
      </c>
      <c r="F7" t="s">
        <v>546</v>
      </c>
      <c r="G7">
        <v>1379.57619007469</v>
      </c>
    </row>
    <row r="8" spans="1:12" x14ac:dyDescent="0.25">
      <c r="A8" t="s">
        <v>537</v>
      </c>
      <c r="B8" t="s">
        <v>538</v>
      </c>
      <c r="C8" t="s">
        <v>539</v>
      </c>
      <c r="D8" t="s">
        <v>540</v>
      </c>
      <c r="E8" t="s">
        <v>535</v>
      </c>
      <c r="F8" t="s">
        <v>547</v>
      </c>
      <c r="G8">
        <v>1430.33857484595</v>
      </c>
    </row>
    <row r="9" spans="1:12" x14ac:dyDescent="0.25">
      <c r="A9" t="s">
        <v>537</v>
      </c>
      <c r="B9" t="s">
        <v>538</v>
      </c>
      <c r="C9" t="s">
        <v>539</v>
      </c>
      <c r="D9" t="s">
        <v>540</v>
      </c>
      <c r="E9" t="s">
        <v>535</v>
      </c>
      <c r="F9" t="s">
        <v>548</v>
      </c>
      <c r="G9">
        <v>1484.76635425021</v>
      </c>
    </row>
    <row r="10" spans="1:12" x14ac:dyDescent="0.25">
      <c r="A10" t="s">
        <v>537</v>
      </c>
      <c r="B10" t="s">
        <v>538</v>
      </c>
      <c r="C10" t="s">
        <v>539</v>
      </c>
      <c r="D10" t="s">
        <v>540</v>
      </c>
      <c r="E10" t="s">
        <v>535</v>
      </c>
      <c r="F10" t="s">
        <v>549</v>
      </c>
      <c r="G10">
        <v>1540.42230718219</v>
      </c>
    </row>
    <row r="11" spans="1:12" x14ac:dyDescent="0.25">
      <c r="A11" t="s">
        <v>537</v>
      </c>
      <c r="B11" t="s">
        <v>538</v>
      </c>
      <c r="C11" t="s">
        <v>550</v>
      </c>
      <c r="D11" t="s">
        <v>540</v>
      </c>
      <c r="E11" t="s">
        <v>535</v>
      </c>
      <c r="F11" t="s">
        <v>536</v>
      </c>
      <c r="G11">
        <v>1006.96029857462</v>
      </c>
    </row>
    <row r="12" spans="1:12" x14ac:dyDescent="0.25">
      <c r="A12" t="s">
        <v>537</v>
      </c>
      <c r="B12" t="s">
        <v>538</v>
      </c>
      <c r="C12" t="s">
        <v>550</v>
      </c>
      <c r="D12" t="s">
        <v>540</v>
      </c>
      <c r="E12" t="s">
        <v>535</v>
      </c>
      <c r="F12" t="s">
        <v>541</v>
      </c>
      <c r="G12">
        <v>1040.4766471647799</v>
      </c>
    </row>
    <row r="13" spans="1:12" x14ac:dyDescent="0.25">
      <c r="A13" t="s">
        <v>537</v>
      </c>
      <c r="B13" t="s">
        <v>538</v>
      </c>
      <c r="C13" t="s">
        <v>550</v>
      </c>
      <c r="D13" t="s">
        <v>540</v>
      </c>
      <c r="E13" t="s">
        <v>535</v>
      </c>
      <c r="F13" t="s">
        <v>542</v>
      </c>
      <c r="G13">
        <v>1071.1082417175501</v>
      </c>
    </row>
    <row r="14" spans="1:12" x14ac:dyDescent="0.25">
      <c r="A14" t="s">
        <v>537</v>
      </c>
      <c r="B14" t="s">
        <v>538</v>
      </c>
      <c r="C14" t="s">
        <v>550</v>
      </c>
      <c r="D14" t="s">
        <v>540</v>
      </c>
      <c r="E14" t="s">
        <v>535</v>
      </c>
      <c r="F14" t="s">
        <v>543</v>
      </c>
      <c r="G14">
        <v>1105.2063219532499</v>
      </c>
    </row>
    <row r="15" spans="1:12" x14ac:dyDescent="0.25">
      <c r="A15" t="s">
        <v>537</v>
      </c>
      <c r="B15" t="s">
        <v>538</v>
      </c>
      <c r="C15" t="s">
        <v>550</v>
      </c>
      <c r="D15" t="s">
        <v>540</v>
      </c>
      <c r="E15" t="s">
        <v>535</v>
      </c>
      <c r="F15" t="s">
        <v>544</v>
      </c>
      <c r="G15">
        <v>1141.1176170599001</v>
      </c>
    </row>
    <row r="16" spans="1:12" x14ac:dyDescent="0.25">
      <c r="A16" t="s">
        <v>537</v>
      </c>
      <c r="B16" t="s">
        <v>538</v>
      </c>
      <c r="C16" t="s">
        <v>550</v>
      </c>
      <c r="D16" t="s">
        <v>540</v>
      </c>
      <c r="E16" t="s">
        <v>535</v>
      </c>
      <c r="F16" t="s">
        <v>545</v>
      </c>
      <c r="G16">
        <v>1174.67145032196</v>
      </c>
    </row>
    <row r="17" spans="1:7" x14ac:dyDescent="0.25">
      <c r="A17" t="s">
        <v>537</v>
      </c>
      <c r="B17" t="s">
        <v>538</v>
      </c>
      <c r="C17" t="s">
        <v>550</v>
      </c>
      <c r="D17" t="s">
        <v>540</v>
      </c>
      <c r="E17" t="s">
        <v>535</v>
      </c>
      <c r="F17" t="s">
        <v>546</v>
      </c>
      <c r="G17">
        <v>1205.2910721691201</v>
      </c>
    </row>
    <row r="18" spans="1:7" x14ac:dyDescent="0.25">
      <c r="A18" t="s">
        <v>537</v>
      </c>
      <c r="B18" t="s">
        <v>538</v>
      </c>
      <c r="C18" t="s">
        <v>550</v>
      </c>
      <c r="D18" t="s">
        <v>540</v>
      </c>
      <c r="E18" t="s">
        <v>535</v>
      </c>
      <c r="F18" t="s">
        <v>547</v>
      </c>
      <c r="G18">
        <v>1236.0068341374799</v>
      </c>
    </row>
    <row r="19" spans="1:7" x14ac:dyDescent="0.25">
      <c r="A19" t="s">
        <v>537</v>
      </c>
      <c r="B19" t="s">
        <v>538</v>
      </c>
      <c r="C19" t="s">
        <v>550</v>
      </c>
      <c r="D19" t="s">
        <v>540</v>
      </c>
      <c r="E19" t="s">
        <v>535</v>
      </c>
      <c r="F19" t="s">
        <v>548</v>
      </c>
      <c r="G19">
        <v>1269.6205077198299</v>
      </c>
    </row>
    <row r="20" spans="1:7" x14ac:dyDescent="0.25">
      <c r="A20" t="s">
        <v>537</v>
      </c>
      <c r="B20" t="s">
        <v>538</v>
      </c>
      <c r="C20" t="s">
        <v>550</v>
      </c>
      <c r="D20" t="s">
        <v>540</v>
      </c>
      <c r="E20" t="s">
        <v>535</v>
      </c>
      <c r="F20" t="s">
        <v>549</v>
      </c>
      <c r="G20">
        <v>1306.70785688861</v>
      </c>
    </row>
    <row r="21" spans="1:7" x14ac:dyDescent="0.25">
      <c r="A21" t="s">
        <v>537</v>
      </c>
      <c r="B21" t="s">
        <v>538</v>
      </c>
      <c r="C21" t="s">
        <v>551</v>
      </c>
      <c r="D21" t="s">
        <v>540</v>
      </c>
      <c r="E21" t="s">
        <v>535</v>
      </c>
      <c r="F21" t="s">
        <v>536</v>
      </c>
      <c r="G21">
        <v>36.657667159648703</v>
      </c>
    </row>
    <row r="22" spans="1:7" x14ac:dyDescent="0.25">
      <c r="A22" t="s">
        <v>537</v>
      </c>
      <c r="B22" t="s">
        <v>538</v>
      </c>
      <c r="C22" t="s">
        <v>551</v>
      </c>
      <c r="D22" t="s">
        <v>540</v>
      </c>
      <c r="E22" t="s">
        <v>535</v>
      </c>
      <c r="F22" t="s">
        <v>541</v>
      </c>
      <c r="G22">
        <v>36.831299896191503</v>
      </c>
    </row>
    <row r="23" spans="1:7" x14ac:dyDescent="0.25">
      <c r="A23" t="s">
        <v>537</v>
      </c>
      <c r="B23" t="s">
        <v>538</v>
      </c>
      <c r="C23" t="s">
        <v>551</v>
      </c>
      <c r="D23" t="s">
        <v>540</v>
      </c>
      <c r="E23" t="s">
        <v>535</v>
      </c>
      <c r="F23" t="s">
        <v>542</v>
      </c>
      <c r="G23">
        <v>38.092333928899102</v>
      </c>
    </row>
    <row r="24" spans="1:7" x14ac:dyDescent="0.25">
      <c r="A24" t="s">
        <v>537</v>
      </c>
      <c r="B24" t="s">
        <v>538</v>
      </c>
      <c r="C24" t="s">
        <v>551</v>
      </c>
      <c r="D24" t="s">
        <v>540</v>
      </c>
      <c r="E24" t="s">
        <v>535</v>
      </c>
      <c r="F24" t="s">
        <v>543</v>
      </c>
      <c r="G24">
        <v>39.913243386660596</v>
      </c>
    </row>
    <row r="25" spans="1:7" x14ac:dyDescent="0.25">
      <c r="A25" t="s">
        <v>537</v>
      </c>
      <c r="B25" t="s">
        <v>538</v>
      </c>
      <c r="C25" t="s">
        <v>551</v>
      </c>
      <c r="D25" t="s">
        <v>540</v>
      </c>
      <c r="E25" t="s">
        <v>535</v>
      </c>
      <c r="F25" t="s">
        <v>544</v>
      </c>
      <c r="G25">
        <v>41.924811114632902</v>
      </c>
    </row>
    <row r="26" spans="1:7" x14ac:dyDescent="0.25">
      <c r="A26" t="s">
        <v>537</v>
      </c>
      <c r="B26" t="s">
        <v>538</v>
      </c>
      <c r="C26" t="s">
        <v>551</v>
      </c>
      <c r="D26" t="s">
        <v>540</v>
      </c>
      <c r="E26" t="s">
        <v>535</v>
      </c>
      <c r="F26" t="s">
        <v>545</v>
      </c>
      <c r="G26">
        <v>44.129443715854499</v>
      </c>
    </row>
    <row r="27" spans="1:7" x14ac:dyDescent="0.25">
      <c r="A27" t="s">
        <v>537</v>
      </c>
      <c r="B27" t="s">
        <v>538</v>
      </c>
      <c r="C27" t="s">
        <v>551</v>
      </c>
      <c r="D27" t="s">
        <v>540</v>
      </c>
      <c r="E27" t="s">
        <v>535</v>
      </c>
      <c r="F27" t="s">
        <v>546</v>
      </c>
      <c r="G27">
        <v>46.505171984532403</v>
      </c>
    </row>
    <row r="28" spans="1:7" x14ac:dyDescent="0.25">
      <c r="A28" t="s">
        <v>537</v>
      </c>
      <c r="B28" t="s">
        <v>538</v>
      </c>
      <c r="C28" t="s">
        <v>551</v>
      </c>
      <c r="D28" t="s">
        <v>540</v>
      </c>
      <c r="E28" t="s">
        <v>535</v>
      </c>
      <c r="F28" t="s">
        <v>547</v>
      </c>
      <c r="G28">
        <v>49.092121842306803</v>
      </c>
    </row>
    <row r="29" spans="1:7" x14ac:dyDescent="0.25">
      <c r="A29" t="s">
        <v>537</v>
      </c>
      <c r="B29" t="s">
        <v>538</v>
      </c>
      <c r="C29" t="s">
        <v>551</v>
      </c>
      <c r="D29" t="s">
        <v>540</v>
      </c>
      <c r="E29" t="s">
        <v>535</v>
      </c>
      <c r="F29" t="s">
        <v>548</v>
      </c>
      <c r="G29">
        <v>52.006039110236998</v>
      </c>
    </row>
    <row r="30" spans="1:7" x14ac:dyDescent="0.25">
      <c r="A30" t="s">
        <v>537</v>
      </c>
      <c r="B30" t="s">
        <v>538</v>
      </c>
      <c r="C30" t="s">
        <v>551</v>
      </c>
      <c r="D30" t="s">
        <v>540</v>
      </c>
      <c r="E30" t="s">
        <v>535</v>
      </c>
      <c r="F30" t="s">
        <v>549</v>
      </c>
      <c r="G30">
        <v>55.232044965780297</v>
      </c>
    </row>
    <row r="31" spans="1:7" x14ac:dyDescent="0.25">
      <c r="A31" t="s">
        <v>537</v>
      </c>
      <c r="B31" t="s">
        <v>538</v>
      </c>
      <c r="C31" t="s">
        <v>552</v>
      </c>
      <c r="D31" t="s">
        <v>540</v>
      </c>
      <c r="E31" t="s">
        <v>535</v>
      </c>
      <c r="F31" t="s">
        <v>536</v>
      </c>
      <c r="G31">
        <v>1170.3143155461</v>
      </c>
    </row>
    <row r="32" spans="1:7" x14ac:dyDescent="0.25">
      <c r="A32" t="s">
        <v>537</v>
      </c>
      <c r="B32" t="s">
        <v>538</v>
      </c>
      <c r="C32" t="s">
        <v>552</v>
      </c>
      <c r="D32" t="s">
        <v>540</v>
      </c>
      <c r="E32" t="s">
        <v>535</v>
      </c>
      <c r="F32" t="s">
        <v>541</v>
      </c>
      <c r="G32">
        <v>1218.6687450873401</v>
      </c>
    </row>
    <row r="33" spans="1:7" x14ac:dyDescent="0.25">
      <c r="A33" t="s">
        <v>537</v>
      </c>
      <c r="B33" t="s">
        <v>538</v>
      </c>
      <c r="C33" t="s">
        <v>552</v>
      </c>
      <c r="D33" t="s">
        <v>540</v>
      </c>
      <c r="E33" t="s">
        <v>535</v>
      </c>
      <c r="F33" t="s">
        <v>542</v>
      </c>
      <c r="G33">
        <v>1313.47702366261</v>
      </c>
    </row>
    <row r="34" spans="1:7" x14ac:dyDescent="0.25">
      <c r="A34" t="s">
        <v>537</v>
      </c>
      <c r="B34" t="s">
        <v>538</v>
      </c>
      <c r="C34" t="s">
        <v>552</v>
      </c>
      <c r="D34" t="s">
        <v>540</v>
      </c>
      <c r="E34" t="s">
        <v>535</v>
      </c>
      <c r="F34" t="s">
        <v>543</v>
      </c>
      <c r="G34">
        <v>1422.93276642213</v>
      </c>
    </row>
    <row r="35" spans="1:7" x14ac:dyDescent="0.25">
      <c r="A35" t="s">
        <v>537</v>
      </c>
      <c r="B35" t="s">
        <v>538</v>
      </c>
      <c r="C35" t="s">
        <v>552</v>
      </c>
      <c r="D35" t="s">
        <v>540</v>
      </c>
      <c r="E35" t="s">
        <v>535</v>
      </c>
      <c r="F35" t="s">
        <v>544</v>
      </c>
      <c r="G35">
        <v>1522.91531016101</v>
      </c>
    </row>
    <row r="36" spans="1:7" x14ac:dyDescent="0.25">
      <c r="A36" t="s">
        <v>537</v>
      </c>
      <c r="B36" t="s">
        <v>538</v>
      </c>
      <c r="C36" t="s">
        <v>552</v>
      </c>
      <c r="D36" t="s">
        <v>540</v>
      </c>
      <c r="E36" t="s">
        <v>535</v>
      </c>
      <c r="F36" t="s">
        <v>545</v>
      </c>
      <c r="G36">
        <v>1622.2296584253199</v>
      </c>
    </row>
    <row r="37" spans="1:7" x14ac:dyDescent="0.25">
      <c r="A37" t="s">
        <v>537</v>
      </c>
      <c r="B37" t="s">
        <v>538</v>
      </c>
      <c r="C37" t="s">
        <v>552</v>
      </c>
      <c r="D37" t="s">
        <v>540</v>
      </c>
      <c r="E37" t="s">
        <v>535</v>
      </c>
      <c r="F37" t="s">
        <v>546</v>
      </c>
      <c r="G37">
        <v>1724.14670612436</v>
      </c>
    </row>
    <row r="38" spans="1:7" x14ac:dyDescent="0.25">
      <c r="A38" t="s">
        <v>537</v>
      </c>
      <c r="B38" t="s">
        <v>538</v>
      </c>
      <c r="C38" t="s">
        <v>552</v>
      </c>
      <c r="D38" t="s">
        <v>540</v>
      </c>
      <c r="E38" t="s">
        <v>535</v>
      </c>
      <c r="F38" t="s">
        <v>547</v>
      </c>
      <c r="G38">
        <v>1826.5687316636099</v>
      </c>
    </row>
    <row r="39" spans="1:7" x14ac:dyDescent="0.25">
      <c r="A39" t="s">
        <v>537</v>
      </c>
      <c r="B39" t="s">
        <v>538</v>
      </c>
      <c r="C39" t="s">
        <v>552</v>
      </c>
      <c r="D39" t="s">
        <v>540</v>
      </c>
      <c r="E39" t="s">
        <v>535</v>
      </c>
      <c r="F39" t="s">
        <v>548</v>
      </c>
      <c r="G39">
        <v>1930.3950010527501</v>
      </c>
    </row>
    <row r="40" spans="1:7" x14ac:dyDescent="0.25">
      <c r="A40" t="s">
        <v>537</v>
      </c>
      <c r="B40" t="s">
        <v>538</v>
      </c>
      <c r="C40" t="s">
        <v>552</v>
      </c>
      <c r="D40" t="s">
        <v>540</v>
      </c>
      <c r="E40" t="s">
        <v>535</v>
      </c>
      <c r="F40" t="s">
        <v>549</v>
      </c>
      <c r="G40">
        <v>2030.900742973</v>
      </c>
    </row>
    <row r="41" spans="1:7" x14ac:dyDescent="0.25">
      <c r="A41" t="s">
        <v>537</v>
      </c>
      <c r="B41" t="s">
        <v>538</v>
      </c>
      <c r="C41" t="s">
        <v>553</v>
      </c>
      <c r="D41" t="s">
        <v>540</v>
      </c>
      <c r="E41" t="s">
        <v>535</v>
      </c>
      <c r="F41" t="s">
        <v>536</v>
      </c>
      <c r="G41">
        <v>8302.0282428653099</v>
      </c>
    </row>
    <row r="42" spans="1:7" x14ac:dyDescent="0.25">
      <c r="A42" t="s">
        <v>537</v>
      </c>
      <c r="B42" t="s">
        <v>538</v>
      </c>
      <c r="C42" t="s">
        <v>553</v>
      </c>
      <c r="D42" t="s">
        <v>540</v>
      </c>
      <c r="E42" t="s">
        <v>535</v>
      </c>
      <c r="F42" t="s">
        <v>541</v>
      </c>
      <c r="G42">
        <v>8707.7077982275405</v>
      </c>
    </row>
    <row r="43" spans="1:7" x14ac:dyDescent="0.25">
      <c r="A43" t="s">
        <v>537</v>
      </c>
      <c r="B43" t="s">
        <v>538</v>
      </c>
      <c r="C43" t="s">
        <v>553</v>
      </c>
      <c r="D43" t="s">
        <v>540</v>
      </c>
      <c r="E43" t="s">
        <v>535</v>
      </c>
      <c r="F43" t="s">
        <v>542</v>
      </c>
      <c r="G43">
        <v>9160.7767704983107</v>
      </c>
    </row>
    <row r="44" spans="1:7" x14ac:dyDescent="0.25">
      <c r="A44" t="s">
        <v>537</v>
      </c>
      <c r="B44" t="s">
        <v>538</v>
      </c>
      <c r="C44" t="s">
        <v>553</v>
      </c>
      <c r="D44" t="s">
        <v>540</v>
      </c>
      <c r="E44" t="s">
        <v>535</v>
      </c>
      <c r="F44" t="s">
        <v>543</v>
      </c>
      <c r="G44">
        <v>9640.15222272561</v>
      </c>
    </row>
    <row r="45" spans="1:7" x14ac:dyDescent="0.25">
      <c r="A45" t="s">
        <v>537</v>
      </c>
      <c r="B45" t="s">
        <v>538</v>
      </c>
      <c r="C45" t="s">
        <v>553</v>
      </c>
      <c r="D45" t="s">
        <v>540</v>
      </c>
      <c r="E45" t="s">
        <v>535</v>
      </c>
      <c r="F45" t="s">
        <v>544</v>
      </c>
      <c r="G45">
        <v>10104.0072745832</v>
      </c>
    </row>
    <row r="46" spans="1:7" x14ac:dyDescent="0.25">
      <c r="A46" t="s">
        <v>537</v>
      </c>
      <c r="B46" t="s">
        <v>538</v>
      </c>
      <c r="C46" t="s">
        <v>553</v>
      </c>
      <c r="D46" t="s">
        <v>540</v>
      </c>
      <c r="E46" t="s">
        <v>535</v>
      </c>
      <c r="F46" t="s">
        <v>545</v>
      </c>
      <c r="G46">
        <v>10538.2869200072</v>
      </c>
    </row>
    <row r="47" spans="1:7" x14ac:dyDescent="0.25">
      <c r="A47" t="s">
        <v>537</v>
      </c>
      <c r="B47" t="s">
        <v>538</v>
      </c>
      <c r="C47" t="s">
        <v>553</v>
      </c>
      <c r="D47" t="s">
        <v>540</v>
      </c>
      <c r="E47" t="s">
        <v>535</v>
      </c>
      <c r="F47" t="s">
        <v>546</v>
      </c>
      <c r="G47">
        <v>10954.644320589699</v>
      </c>
    </row>
    <row r="48" spans="1:7" x14ac:dyDescent="0.25">
      <c r="A48" t="s">
        <v>537</v>
      </c>
      <c r="B48" t="s">
        <v>538</v>
      </c>
      <c r="C48" t="s">
        <v>553</v>
      </c>
      <c r="D48" t="s">
        <v>540</v>
      </c>
      <c r="E48" t="s">
        <v>535</v>
      </c>
      <c r="F48" t="s">
        <v>547</v>
      </c>
      <c r="G48">
        <v>11369.777765410699</v>
      </c>
    </row>
    <row r="49" spans="1:7" x14ac:dyDescent="0.25">
      <c r="A49" t="s">
        <v>537</v>
      </c>
      <c r="B49" t="s">
        <v>538</v>
      </c>
      <c r="C49" t="s">
        <v>553</v>
      </c>
      <c r="D49" t="s">
        <v>540</v>
      </c>
      <c r="E49" t="s">
        <v>535</v>
      </c>
      <c r="F49" t="s">
        <v>548</v>
      </c>
      <c r="G49">
        <v>11787.7709635463</v>
      </c>
    </row>
    <row r="50" spans="1:7" x14ac:dyDescent="0.25">
      <c r="A50" t="s">
        <v>537</v>
      </c>
      <c r="B50" t="s">
        <v>538</v>
      </c>
      <c r="C50" t="s">
        <v>553</v>
      </c>
      <c r="D50" t="s">
        <v>540</v>
      </c>
      <c r="E50" t="s">
        <v>535</v>
      </c>
      <c r="F50" t="s">
        <v>549</v>
      </c>
      <c r="G50">
        <v>12205.5389872908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N174"/>
  <sheetViews>
    <sheetView topLeftCell="A152" workbookViewId="0">
      <selection activeCell="E32" activeCellId="1" sqref="L11:AA11 E32"/>
    </sheetView>
  </sheetViews>
  <sheetFormatPr defaultColWidth="8.85546875" defaultRowHeight="15" x14ac:dyDescent="0.25"/>
  <cols>
    <col min="1" max="1" width="14.28515625" customWidth="1"/>
    <col min="2" max="2" width="21.42578125" customWidth="1"/>
    <col min="5" max="5" width="14" customWidth="1"/>
    <col min="8" max="8" width="28.85546875" customWidth="1"/>
  </cols>
  <sheetData>
    <row r="1" spans="1:14" x14ac:dyDescent="0.25">
      <c r="A1" t="s">
        <v>427</v>
      </c>
      <c r="B1" t="s">
        <v>428</v>
      </c>
      <c r="C1" t="s">
        <v>429</v>
      </c>
      <c r="D1" t="s">
        <v>430</v>
      </c>
      <c r="E1" t="s">
        <v>431</v>
      </c>
      <c r="F1" t="s">
        <v>432</v>
      </c>
      <c r="G1" t="s">
        <v>433</v>
      </c>
      <c r="H1" t="s">
        <v>434</v>
      </c>
      <c r="I1" t="s">
        <v>435</v>
      </c>
      <c r="J1" t="s">
        <v>5</v>
      </c>
      <c r="K1" t="s">
        <v>436</v>
      </c>
      <c r="L1" t="s">
        <v>437</v>
      </c>
      <c r="M1" t="s">
        <v>438</v>
      </c>
      <c r="N1" t="s">
        <v>439</v>
      </c>
    </row>
    <row r="2" spans="1:14" x14ac:dyDescent="0.25">
      <c r="A2" t="s">
        <v>440</v>
      </c>
      <c r="B2" t="s">
        <v>441</v>
      </c>
      <c r="C2">
        <v>33</v>
      </c>
      <c r="D2" t="s">
        <v>325</v>
      </c>
      <c r="E2">
        <v>5312</v>
      </c>
      <c r="F2" t="s">
        <v>442</v>
      </c>
      <c r="G2">
        <v>44</v>
      </c>
      <c r="H2" t="s">
        <v>86</v>
      </c>
      <c r="I2">
        <v>2011</v>
      </c>
      <c r="J2">
        <v>2011</v>
      </c>
      <c r="K2" t="s">
        <v>443</v>
      </c>
      <c r="L2">
        <v>2401500</v>
      </c>
      <c r="N2" t="s">
        <v>444</v>
      </c>
    </row>
    <row r="3" spans="1:14" x14ac:dyDescent="0.25">
      <c r="A3" t="s">
        <v>440</v>
      </c>
      <c r="B3" t="s">
        <v>441</v>
      </c>
      <c r="C3">
        <v>33</v>
      </c>
      <c r="D3" t="s">
        <v>325</v>
      </c>
      <c r="E3">
        <v>5312</v>
      </c>
      <c r="F3" t="s">
        <v>442</v>
      </c>
      <c r="G3">
        <v>44</v>
      </c>
      <c r="H3" t="s">
        <v>86</v>
      </c>
      <c r="I3">
        <v>2012</v>
      </c>
      <c r="J3">
        <v>2012</v>
      </c>
      <c r="K3" t="s">
        <v>443</v>
      </c>
      <c r="L3">
        <v>2750600</v>
      </c>
      <c r="N3" t="s">
        <v>444</v>
      </c>
    </row>
    <row r="4" spans="1:14" x14ac:dyDescent="0.25">
      <c r="A4" t="s">
        <v>440</v>
      </c>
      <c r="B4" t="s">
        <v>441</v>
      </c>
      <c r="C4">
        <v>33</v>
      </c>
      <c r="D4" t="s">
        <v>325</v>
      </c>
      <c r="E4">
        <v>5312</v>
      </c>
      <c r="F4" t="s">
        <v>442</v>
      </c>
      <c r="G4">
        <v>44</v>
      </c>
      <c r="H4" t="s">
        <v>86</v>
      </c>
      <c r="I4">
        <v>2013</v>
      </c>
      <c r="J4">
        <v>2013</v>
      </c>
      <c r="K4" t="s">
        <v>443</v>
      </c>
      <c r="L4">
        <v>2652300</v>
      </c>
      <c r="N4" t="s">
        <v>444</v>
      </c>
    </row>
    <row r="5" spans="1:14" x14ac:dyDescent="0.25">
      <c r="A5" t="s">
        <v>440</v>
      </c>
      <c r="B5" t="s">
        <v>441</v>
      </c>
      <c r="C5">
        <v>33</v>
      </c>
      <c r="D5" t="s">
        <v>325</v>
      </c>
      <c r="E5">
        <v>5312</v>
      </c>
      <c r="F5" t="s">
        <v>442</v>
      </c>
      <c r="G5">
        <v>44</v>
      </c>
      <c r="H5" t="s">
        <v>86</v>
      </c>
      <c r="I5">
        <v>2014</v>
      </c>
      <c r="J5">
        <v>2014</v>
      </c>
      <c r="K5" t="s">
        <v>443</v>
      </c>
      <c r="L5">
        <v>2136100</v>
      </c>
      <c r="N5" t="s">
        <v>444</v>
      </c>
    </row>
    <row r="6" spans="1:14" x14ac:dyDescent="0.25">
      <c r="A6" t="s">
        <v>440</v>
      </c>
      <c r="B6" t="s">
        <v>441</v>
      </c>
      <c r="C6">
        <v>33</v>
      </c>
      <c r="D6" t="s">
        <v>325</v>
      </c>
      <c r="E6">
        <v>5312</v>
      </c>
      <c r="F6" t="s">
        <v>442</v>
      </c>
      <c r="G6">
        <v>44</v>
      </c>
      <c r="H6" t="s">
        <v>86</v>
      </c>
      <c r="I6">
        <v>2015</v>
      </c>
      <c r="J6">
        <v>2015</v>
      </c>
      <c r="K6" t="s">
        <v>443</v>
      </c>
      <c r="L6">
        <v>2353500</v>
      </c>
      <c r="N6" t="s">
        <v>444</v>
      </c>
    </row>
    <row r="7" spans="1:14" x14ac:dyDescent="0.25">
      <c r="A7" t="s">
        <v>440</v>
      </c>
      <c r="B7" t="s">
        <v>441</v>
      </c>
      <c r="C7">
        <v>33</v>
      </c>
      <c r="D7" t="s">
        <v>325</v>
      </c>
      <c r="E7">
        <v>5312</v>
      </c>
      <c r="F7" t="s">
        <v>442</v>
      </c>
      <c r="G7">
        <v>44</v>
      </c>
      <c r="H7" t="s">
        <v>86</v>
      </c>
      <c r="I7">
        <v>2016</v>
      </c>
      <c r="J7">
        <v>2016</v>
      </c>
      <c r="K7" t="s">
        <v>443</v>
      </c>
      <c r="L7">
        <v>2336800</v>
      </c>
      <c r="N7" t="s">
        <v>444</v>
      </c>
    </row>
    <row r="8" spans="1:14" x14ac:dyDescent="0.25">
      <c r="A8" t="s">
        <v>440</v>
      </c>
      <c r="B8" t="s">
        <v>441</v>
      </c>
      <c r="C8">
        <v>33</v>
      </c>
      <c r="D8" t="s">
        <v>325</v>
      </c>
      <c r="E8">
        <v>5510</v>
      </c>
      <c r="F8" t="s">
        <v>34</v>
      </c>
      <c r="G8">
        <v>44</v>
      </c>
      <c r="H8" t="s">
        <v>86</v>
      </c>
      <c r="I8">
        <v>2011</v>
      </c>
      <c r="J8">
        <v>2011</v>
      </c>
      <c r="K8" t="s">
        <v>445</v>
      </c>
      <c r="L8">
        <v>7891500</v>
      </c>
      <c r="N8" t="s">
        <v>444</v>
      </c>
    </row>
    <row r="9" spans="1:14" x14ac:dyDescent="0.25">
      <c r="A9" t="s">
        <v>440</v>
      </c>
      <c r="B9" t="s">
        <v>441</v>
      </c>
      <c r="C9">
        <v>33</v>
      </c>
      <c r="D9" t="s">
        <v>325</v>
      </c>
      <c r="E9">
        <v>5510</v>
      </c>
      <c r="F9" t="s">
        <v>34</v>
      </c>
      <c r="G9">
        <v>44</v>
      </c>
      <c r="H9" t="s">
        <v>86</v>
      </c>
      <c r="I9">
        <v>2012</v>
      </c>
      <c r="J9">
        <v>2012</v>
      </c>
      <c r="K9" t="s">
        <v>445</v>
      </c>
      <c r="L9">
        <v>8012300</v>
      </c>
      <c r="N9" t="s">
        <v>444</v>
      </c>
    </row>
    <row r="10" spans="1:14" x14ac:dyDescent="0.25">
      <c r="A10" t="s">
        <v>440</v>
      </c>
      <c r="B10" t="s">
        <v>441</v>
      </c>
      <c r="C10">
        <v>33</v>
      </c>
      <c r="D10" t="s">
        <v>325</v>
      </c>
      <c r="E10">
        <v>5510</v>
      </c>
      <c r="F10" t="s">
        <v>34</v>
      </c>
      <c r="G10">
        <v>44</v>
      </c>
      <c r="H10" t="s">
        <v>86</v>
      </c>
      <c r="I10">
        <v>2013</v>
      </c>
      <c r="J10">
        <v>2013</v>
      </c>
      <c r="K10" t="s">
        <v>445</v>
      </c>
      <c r="L10">
        <v>10237100</v>
      </c>
      <c r="N10" t="s">
        <v>444</v>
      </c>
    </row>
    <row r="11" spans="1:14" x14ac:dyDescent="0.25">
      <c r="A11" t="s">
        <v>440</v>
      </c>
      <c r="B11" t="s">
        <v>441</v>
      </c>
      <c r="C11">
        <v>33</v>
      </c>
      <c r="D11" t="s">
        <v>325</v>
      </c>
      <c r="E11">
        <v>5510</v>
      </c>
      <c r="F11" t="s">
        <v>34</v>
      </c>
      <c r="G11">
        <v>44</v>
      </c>
      <c r="H11" t="s">
        <v>86</v>
      </c>
      <c r="I11">
        <v>2014</v>
      </c>
      <c r="J11">
        <v>2014</v>
      </c>
      <c r="K11" t="s">
        <v>445</v>
      </c>
      <c r="L11">
        <v>7119000</v>
      </c>
      <c r="N11" t="s">
        <v>444</v>
      </c>
    </row>
    <row r="12" spans="1:14" x14ac:dyDescent="0.25">
      <c r="A12" t="s">
        <v>440</v>
      </c>
      <c r="B12" t="s">
        <v>441</v>
      </c>
      <c r="C12">
        <v>33</v>
      </c>
      <c r="D12" t="s">
        <v>325</v>
      </c>
      <c r="E12">
        <v>5510</v>
      </c>
      <c r="F12" t="s">
        <v>34</v>
      </c>
      <c r="G12">
        <v>44</v>
      </c>
      <c r="H12" t="s">
        <v>86</v>
      </c>
      <c r="I12">
        <v>2015</v>
      </c>
      <c r="J12">
        <v>2015</v>
      </c>
      <c r="K12" t="s">
        <v>445</v>
      </c>
      <c r="L12">
        <v>8225700</v>
      </c>
      <c r="N12" t="s">
        <v>444</v>
      </c>
    </row>
    <row r="13" spans="1:14" x14ac:dyDescent="0.25">
      <c r="A13" t="s">
        <v>440</v>
      </c>
      <c r="B13" t="s">
        <v>441</v>
      </c>
      <c r="C13">
        <v>33</v>
      </c>
      <c r="D13" t="s">
        <v>325</v>
      </c>
      <c r="E13">
        <v>5510</v>
      </c>
      <c r="F13" t="s">
        <v>34</v>
      </c>
      <c r="G13">
        <v>44</v>
      </c>
      <c r="H13" t="s">
        <v>86</v>
      </c>
      <c r="I13">
        <v>2016</v>
      </c>
      <c r="J13">
        <v>2016</v>
      </c>
      <c r="K13" t="s">
        <v>445</v>
      </c>
      <c r="L13">
        <v>8704300</v>
      </c>
      <c r="N13" t="s">
        <v>444</v>
      </c>
    </row>
    <row r="14" spans="1:14" x14ac:dyDescent="0.25">
      <c r="A14" t="s">
        <v>440</v>
      </c>
      <c r="B14" t="s">
        <v>441</v>
      </c>
      <c r="C14">
        <v>33</v>
      </c>
      <c r="D14" t="s">
        <v>325</v>
      </c>
      <c r="E14">
        <v>5312</v>
      </c>
      <c r="F14" t="s">
        <v>442</v>
      </c>
      <c r="G14">
        <v>176</v>
      </c>
      <c r="H14" t="s">
        <v>447</v>
      </c>
      <c r="I14">
        <v>2011</v>
      </c>
      <c r="J14">
        <v>2011</v>
      </c>
      <c r="K14" t="s">
        <v>443</v>
      </c>
      <c r="L14">
        <v>74500</v>
      </c>
      <c r="N14" t="s">
        <v>444</v>
      </c>
    </row>
    <row r="15" spans="1:14" x14ac:dyDescent="0.25">
      <c r="A15" t="s">
        <v>440</v>
      </c>
      <c r="B15" t="s">
        <v>441</v>
      </c>
      <c r="C15">
        <v>33</v>
      </c>
      <c r="D15" t="s">
        <v>325</v>
      </c>
      <c r="E15">
        <v>5312</v>
      </c>
      <c r="F15" t="s">
        <v>442</v>
      </c>
      <c r="G15">
        <v>176</v>
      </c>
      <c r="H15" t="s">
        <v>447</v>
      </c>
      <c r="I15">
        <v>2012</v>
      </c>
      <c r="J15">
        <v>2012</v>
      </c>
      <c r="K15" t="s">
        <v>443</v>
      </c>
      <c r="L15">
        <v>120700</v>
      </c>
      <c r="N15" t="s">
        <v>444</v>
      </c>
    </row>
    <row r="16" spans="1:14" x14ac:dyDescent="0.25">
      <c r="A16" t="s">
        <v>440</v>
      </c>
      <c r="B16" t="s">
        <v>441</v>
      </c>
      <c r="C16">
        <v>33</v>
      </c>
      <c r="D16" t="s">
        <v>325</v>
      </c>
      <c r="E16">
        <v>5312</v>
      </c>
      <c r="F16" t="s">
        <v>442</v>
      </c>
      <c r="G16">
        <v>176</v>
      </c>
      <c r="H16" t="s">
        <v>447</v>
      </c>
      <c r="I16">
        <v>2013</v>
      </c>
      <c r="J16">
        <v>2013</v>
      </c>
      <c r="K16" t="s">
        <v>443</v>
      </c>
      <c r="L16">
        <v>85000</v>
      </c>
      <c r="N16" t="s">
        <v>444</v>
      </c>
    </row>
    <row r="17" spans="1:14" x14ac:dyDescent="0.25">
      <c r="A17" t="s">
        <v>440</v>
      </c>
      <c r="B17" t="s">
        <v>441</v>
      </c>
      <c r="C17">
        <v>33</v>
      </c>
      <c r="D17" t="s">
        <v>325</v>
      </c>
      <c r="E17">
        <v>5312</v>
      </c>
      <c r="F17" t="s">
        <v>442</v>
      </c>
      <c r="G17">
        <v>176</v>
      </c>
      <c r="H17" t="s">
        <v>447</v>
      </c>
      <c r="I17">
        <v>2014</v>
      </c>
      <c r="J17">
        <v>2014</v>
      </c>
      <c r="K17" t="s">
        <v>443</v>
      </c>
      <c r="L17">
        <v>119700</v>
      </c>
      <c r="N17" t="s">
        <v>444</v>
      </c>
    </row>
    <row r="18" spans="1:14" x14ac:dyDescent="0.25">
      <c r="A18" t="s">
        <v>440</v>
      </c>
      <c r="B18" t="s">
        <v>441</v>
      </c>
      <c r="C18">
        <v>33</v>
      </c>
      <c r="D18" t="s">
        <v>325</v>
      </c>
      <c r="E18">
        <v>5312</v>
      </c>
      <c r="F18" t="s">
        <v>442</v>
      </c>
      <c r="G18">
        <v>176</v>
      </c>
      <c r="H18" t="s">
        <v>447</v>
      </c>
      <c r="I18">
        <v>2015</v>
      </c>
      <c r="J18">
        <v>2015</v>
      </c>
      <c r="K18" t="s">
        <v>443</v>
      </c>
      <c r="L18">
        <v>104400</v>
      </c>
      <c r="N18" t="s">
        <v>444</v>
      </c>
    </row>
    <row r="19" spans="1:14" x14ac:dyDescent="0.25">
      <c r="A19" t="s">
        <v>440</v>
      </c>
      <c r="B19" t="s">
        <v>441</v>
      </c>
      <c r="C19">
        <v>33</v>
      </c>
      <c r="D19" t="s">
        <v>325</v>
      </c>
      <c r="E19">
        <v>5312</v>
      </c>
      <c r="F19" t="s">
        <v>442</v>
      </c>
      <c r="G19">
        <v>176</v>
      </c>
      <c r="H19" t="s">
        <v>447</v>
      </c>
      <c r="I19">
        <v>2016</v>
      </c>
      <c r="J19">
        <v>2016</v>
      </c>
      <c r="K19" t="s">
        <v>443</v>
      </c>
      <c r="L19">
        <v>110500</v>
      </c>
      <c r="N19" t="s">
        <v>444</v>
      </c>
    </row>
    <row r="20" spans="1:14" x14ac:dyDescent="0.25">
      <c r="A20" t="s">
        <v>440</v>
      </c>
      <c r="B20" t="s">
        <v>441</v>
      </c>
      <c r="C20">
        <v>33</v>
      </c>
      <c r="D20" t="s">
        <v>325</v>
      </c>
      <c r="E20">
        <v>5510</v>
      </c>
      <c r="F20" t="s">
        <v>34</v>
      </c>
      <c r="G20">
        <v>176</v>
      </c>
      <c r="H20" t="s">
        <v>447</v>
      </c>
      <c r="I20">
        <v>2011</v>
      </c>
      <c r="J20">
        <v>2011</v>
      </c>
      <c r="K20" t="s">
        <v>445</v>
      </c>
      <c r="L20">
        <v>162500</v>
      </c>
      <c r="N20" t="s">
        <v>444</v>
      </c>
    </row>
    <row r="21" spans="1:14" x14ac:dyDescent="0.25">
      <c r="A21" t="s">
        <v>440</v>
      </c>
      <c r="B21" t="s">
        <v>441</v>
      </c>
      <c r="C21">
        <v>33</v>
      </c>
      <c r="D21" t="s">
        <v>325</v>
      </c>
      <c r="E21">
        <v>5510</v>
      </c>
      <c r="F21" t="s">
        <v>34</v>
      </c>
      <c r="G21">
        <v>176</v>
      </c>
      <c r="H21" t="s">
        <v>447</v>
      </c>
      <c r="I21">
        <v>2012</v>
      </c>
      <c r="J21">
        <v>2012</v>
      </c>
      <c r="K21" t="s">
        <v>445</v>
      </c>
      <c r="L21">
        <v>274400</v>
      </c>
      <c r="N21" t="s">
        <v>444</v>
      </c>
    </row>
    <row r="22" spans="1:14" x14ac:dyDescent="0.25">
      <c r="A22" t="s">
        <v>440</v>
      </c>
      <c r="B22" t="s">
        <v>441</v>
      </c>
      <c r="C22">
        <v>33</v>
      </c>
      <c r="D22" t="s">
        <v>325</v>
      </c>
      <c r="E22">
        <v>5510</v>
      </c>
      <c r="F22" t="s">
        <v>34</v>
      </c>
      <c r="G22">
        <v>176</v>
      </c>
      <c r="H22" t="s">
        <v>447</v>
      </c>
      <c r="I22">
        <v>2013</v>
      </c>
      <c r="J22">
        <v>2013</v>
      </c>
      <c r="K22" t="s">
        <v>445</v>
      </c>
      <c r="L22">
        <v>205900</v>
      </c>
      <c r="N22" t="s">
        <v>444</v>
      </c>
    </row>
    <row r="23" spans="1:14" x14ac:dyDescent="0.25">
      <c r="A23" t="s">
        <v>440</v>
      </c>
      <c r="B23" t="s">
        <v>441</v>
      </c>
      <c r="C23">
        <v>33</v>
      </c>
      <c r="D23" t="s">
        <v>325</v>
      </c>
      <c r="E23">
        <v>5510</v>
      </c>
      <c r="F23" t="s">
        <v>34</v>
      </c>
      <c r="G23">
        <v>176</v>
      </c>
      <c r="H23" t="s">
        <v>447</v>
      </c>
      <c r="I23">
        <v>2014</v>
      </c>
      <c r="J23">
        <v>2014</v>
      </c>
      <c r="K23" t="s">
        <v>445</v>
      </c>
      <c r="L23">
        <v>273200</v>
      </c>
      <c r="N23" t="s">
        <v>444</v>
      </c>
    </row>
    <row r="24" spans="1:14" x14ac:dyDescent="0.25">
      <c r="A24" t="s">
        <v>440</v>
      </c>
      <c r="B24" t="s">
        <v>441</v>
      </c>
      <c r="C24">
        <v>33</v>
      </c>
      <c r="D24" t="s">
        <v>325</v>
      </c>
      <c r="E24">
        <v>5510</v>
      </c>
      <c r="F24" t="s">
        <v>34</v>
      </c>
      <c r="G24">
        <v>176</v>
      </c>
      <c r="H24" t="s">
        <v>447</v>
      </c>
      <c r="I24">
        <v>2015</v>
      </c>
      <c r="J24">
        <v>2015</v>
      </c>
      <c r="K24" t="s">
        <v>445</v>
      </c>
      <c r="L24">
        <v>243300</v>
      </c>
      <c r="N24" t="s">
        <v>444</v>
      </c>
    </row>
    <row r="25" spans="1:14" x14ac:dyDescent="0.25">
      <c r="A25" t="s">
        <v>440</v>
      </c>
      <c r="B25" t="s">
        <v>441</v>
      </c>
      <c r="C25">
        <v>33</v>
      </c>
      <c r="D25" t="s">
        <v>325</v>
      </c>
      <c r="E25">
        <v>5510</v>
      </c>
      <c r="F25" t="s">
        <v>34</v>
      </c>
      <c r="G25">
        <v>176</v>
      </c>
      <c r="H25" t="s">
        <v>447</v>
      </c>
      <c r="I25">
        <v>2016</v>
      </c>
      <c r="J25">
        <v>2016</v>
      </c>
      <c r="K25" t="s">
        <v>445</v>
      </c>
      <c r="L25">
        <v>249400</v>
      </c>
      <c r="N25" t="s">
        <v>444</v>
      </c>
    </row>
    <row r="26" spans="1:14" x14ac:dyDescent="0.25">
      <c r="A26" t="s">
        <v>440</v>
      </c>
      <c r="B26" t="s">
        <v>441</v>
      </c>
      <c r="C26">
        <v>33</v>
      </c>
      <c r="D26" t="s">
        <v>325</v>
      </c>
      <c r="E26">
        <v>5312</v>
      </c>
      <c r="F26" t="s">
        <v>442</v>
      </c>
      <c r="G26">
        <v>181</v>
      </c>
      <c r="H26" t="s">
        <v>448</v>
      </c>
      <c r="I26">
        <v>2011</v>
      </c>
      <c r="J26">
        <v>2011</v>
      </c>
      <c r="K26" t="s">
        <v>443</v>
      </c>
      <c r="L26">
        <v>0</v>
      </c>
      <c r="N26" t="s">
        <v>444</v>
      </c>
    </row>
    <row r="27" spans="1:14" x14ac:dyDescent="0.25">
      <c r="A27" t="s">
        <v>440</v>
      </c>
      <c r="B27" t="s">
        <v>441</v>
      </c>
      <c r="C27">
        <v>33</v>
      </c>
      <c r="D27" t="s">
        <v>325</v>
      </c>
      <c r="E27">
        <v>5312</v>
      </c>
      <c r="F27" t="s">
        <v>442</v>
      </c>
      <c r="G27">
        <v>181</v>
      </c>
      <c r="H27" t="s">
        <v>448</v>
      </c>
      <c r="I27">
        <v>2012</v>
      </c>
      <c r="J27">
        <v>2012</v>
      </c>
      <c r="K27" t="s">
        <v>443</v>
      </c>
      <c r="L27">
        <v>0</v>
      </c>
      <c r="N27" t="s">
        <v>444</v>
      </c>
    </row>
    <row r="28" spans="1:14" x14ac:dyDescent="0.25">
      <c r="A28" t="s">
        <v>440</v>
      </c>
      <c r="B28" t="s">
        <v>441</v>
      </c>
      <c r="C28">
        <v>33</v>
      </c>
      <c r="D28" t="s">
        <v>325</v>
      </c>
      <c r="E28">
        <v>5312</v>
      </c>
      <c r="F28" t="s">
        <v>442</v>
      </c>
      <c r="G28">
        <v>181</v>
      </c>
      <c r="H28" t="s">
        <v>448</v>
      </c>
      <c r="I28">
        <v>2013</v>
      </c>
      <c r="J28">
        <v>2013</v>
      </c>
      <c r="K28" t="s">
        <v>443</v>
      </c>
      <c r="L28">
        <v>0</v>
      </c>
      <c r="N28" t="s">
        <v>444</v>
      </c>
    </row>
    <row r="29" spans="1:14" x14ac:dyDescent="0.25">
      <c r="A29" t="s">
        <v>440</v>
      </c>
      <c r="B29" t="s">
        <v>441</v>
      </c>
      <c r="C29">
        <v>33</v>
      </c>
      <c r="D29" t="s">
        <v>325</v>
      </c>
      <c r="E29">
        <v>5312</v>
      </c>
      <c r="F29" t="s">
        <v>442</v>
      </c>
      <c r="G29">
        <v>181</v>
      </c>
      <c r="H29" t="s">
        <v>448</v>
      </c>
      <c r="I29">
        <v>2014</v>
      </c>
      <c r="J29">
        <v>2014</v>
      </c>
      <c r="K29" t="s">
        <v>443</v>
      </c>
      <c r="M29" t="s">
        <v>200</v>
      </c>
      <c r="N29" t="s">
        <v>449</v>
      </c>
    </row>
    <row r="30" spans="1:14" x14ac:dyDescent="0.25">
      <c r="A30" t="s">
        <v>440</v>
      </c>
      <c r="B30" t="s">
        <v>441</v>
      </c>
      <c r="C30">
        <v>33</v>
      </c>
      <c r="D30" t="s">
        <v>325</v>
      </c>
      <c r="E30">
        <v>5312</v>
      </c>
      <c r="F30" t="s">
        <v>442</v>
      </c>
      <c r="G30">
        <v>181</v>
      </c>
      <c r="H30" t="s">
        <v>448</v>
      </c>
      <c r="I30">
        <v>2015</v>
      </c>
      <c r="J30">
        <v>2015</v>
      </c>
      <c r="K30" t="s">
        <v>443</v>
      </c>
      <c r="M30" t="s">
        <v>200</v>
      </c>
      <c r="N30" t="s">
        <v>449</v>
      </c>
    </row>
    <row r="31" spans="1:14" x14ac:dyDescent="0.25">
      <c r="A31" t="s">
        <v>440</v>
      </c>
      <c r="B31" t="s">
        <v>441</v>
      </c>
      <c r="C31">
        <v>33</v>
      </c>
      <c r="D31" t="s">
        <v>325</v>
      </c>
      <c r="E31">
        <v>5312</v>
      </c>
      <c r="F31" t="s">
        <v>442</v>
      </c>
      <c r="G31">
        <v>181</v>
      </c>
      <c r="H31" t="s">
        <v>448</v>
      </c>
      <c r="I31">
        <v>2016</v>
      </c>
      <c r="J31">
        <v>2016</v>
      </c>
      <c r="K31" t="s">
        <v>443</v>
      </c>
      <c r="M31" t="s">
        <v>200</v>
      </c>
      <c r="N31" t="s">
        <v>449</v>
      </c>
    </row>
    <row r="32" spans="1:14" x14ac:dyDescent="0.25">
      <c r="A32" t="s">
        <v>440</v>
      </c>
      <c r="B32" t="s">
        <v>441</v>
      </c>
      <c r="C32">
        <v>33</v>
      </c>
      <c r="D32" t="s">
        <v>325</v>
      </c>
      <c r="E32">
        <v>5510</v>
      </c>
      <c r="F32" t="s">
        <v>34</v>
      </c>
      <c r="G32">
        <v>181</v>
      </c>
      <c r="H32" t="s">
        <v>448</v>
      </c>
      <c r="I32">
        <v>2011</v>
      </c>
      <c r="J32">
        <v>2011</v>
      </c>
      <c r="K32" t="s">
        <v>445</v>
      </c>
      <c r="L32">
        <v>0</v>
      </c>
      <c r="N32" t="s">
        <v>444</v>
      </c>
    </row>
    <row r="33" spans="1:14" x14ac:dyDescent="0.25">
      <c r="A33" t="s">
        <v>440</v>
      </c>
      <c r="B33" t="s">
        <v>441</v>
      </c>
      <c r="C33">
        <v>33</v>
      </c>
      <c r="D33" t="s">
        <v>325</v>
      </c>
      <c r="E33">
        <v>5510</v>
      </c>
      <c r="F33" t="s">
        <v>34</v>
      </c>
      <c r="G33">
        <v>181</v>
      </c>
      <c r="H33" t="s">
        <v>448</v>
      </c>
      <c r="I33">
        <v>2012</v>
      </c>
      <c r="J33">
        <v>2012</v>
      </c>
      <c r="K33" t="s">
        <v>445</v>
      </c>
      <c r="L33">
        <v>0</v>
      </c>
      <c r="N33" t="s">
        <v>444</v>
      </c>
    </row>
    <row r="34" spans="1:14" x14ac:dyDescent="0.25">
      <c r="A34" t="s">
        <v>440</v>
      </c>
      <c r="B34" t="s">
        <v>441</v>
      </c>
      <c r="C34">
        <v>33</v>
      </c>
      <c r="D34" t="s">
        <v>325</v>
      </c>
      <c r="E34">
        <v>5510</v>
      </c>
      <c r="F34" t="s">
        <v>34</v>
      </c>
      <c r="G34">
        <v>181</v>
      </c>
      <c r="H34" t="s">
        <v>448</v>
      </c>
      <c r="I34">
        <v>2013</v>
      </c>
      <c r="J34">
        <v>2013</v>
      </c>
      <c r="K34" t="s">
        <v>445</v>
      </c>
      <c r="L34">
        <v>0</v>
      </c>
      <c r="N34" t="s">
        <v>444</v>
      </c>
    </row>
    <row r="35" spans="1:14" x14ac:dyDescent="0.25">
      <c r="A35" t="s">
        <v>440</v>
      </c>
      <c r="B35" t="s">
        <v>441</v>
      </c>
      <c r="C35">
        <v>33</v>
      </c>
      <c r="D35" t="s">
        <v>325</v>
      </c>
      <c r="E35">
        <v>5510</v>
      </c>
      <c r="F35" t="s">
        <v>34</v>
      </c>
      <c r="G35">
        <v>181</v>
      </c>
      <c r="H35" t="s">
        <v>448</v>
      </c>
      <c r="I35">
        <v>2014</v>
      </c>
      <c r="J35">
        <v>2014</v>
      </c>
      <c r="K35" t="s">
        <v>445</v>
      </c>
      <c r="M35" t="s">
        <v>200</v>
      </c>
      <c r="N35" t="s">
        <v>449</v>
      </c>
    </row>
    <row r="36" spans="1:14" x14ac:dyDescent="0.25">
      <c r="A36" t="s">
        <v>440</v>
      </c>
      <c r="B36" t="s">
        <v>441</v>
      </c>
      <c r="C36">
        <v>33</v>
      </c>
      <c r="D36" t="s">
        <v>325</v>
      </c>
      <c r="E36">
        <v>5510</v>
      </c>
      <c r="F36" t="s">
        <v>34</v>
      </c>
      <c r="G36">
        <v>181</v>
      </c>
      <c r="H36" t="s">
        <v>448</v>
      </c>
      <c r="I36">
        <v>2015</v>
      </c>
      <c r="J36">
        <v>2015</v>
      </c>
      <c r="K36" t="s">
        <v>445</v>
      </c>
      <c r="M36" t="s">
        <v>200</v>
      </c>
      <c r="N36" t="s">
        <v>449</v>
      </c>
    </row>
    <row r="37" spans="1:14" x14ac:dyDescent="0.25">
      <c r="A37" t="s">
        <v>440</v>
      </c>
      <c r="B37" t="s">
        <v>441</v>
      </c>
      <c r="C37">
        <v>33</v>
      </c>
      <c r="D37" t="s">
        <v>325</v>
      </c>
      <c r="E37">
        <v>5510</v>
      </c>
      <c r="F37" t="s">
        <v>34</v>
      </c>
      <c r="G37">
        <v>181</v>
      </c>
      <c r="H37" t="s">
        <v>448</v>
      </c>
      <c r="I37">
        <v>2016</v>
      </c>
      <c r="J37">
        <v>2016</v>
      </c>
      <c r="K37" t="s">
        <v>445</v>
      </c>
      <c r="M37" t="s">
        <v>200</v>
      </c>
      <c r="N37" t="s">
        <v>449</v>
      </c>
    </row>
    <row r="38" spans="1:14" x14ac:dyDescent="0.25">
      <c r="A38" t="s">
        <v>440</v>
      </c>
      <c r="B38" t="s">
        <v>441</v>
      </c>
      <c r="C38">
        <v>33</v>
      </c>
      <c r="D38" t="s">
        <v>325</v>
      </c>
      <c r="E38">
        <v>5312</v>
      </c>
      <c r="F38" t="s">
        <v>442</v>
      </c>
      <c r="G38">
        <v>191</v>
      </c>
      <c r="H38" t="s">
        <v>450</v>
      </c>
      <c r="I38">
        <v>2011</v>
      </c>
      <c r="J38">
        <v>2011</v>
      </c>
      <c r="K38" t="s">
        <v>443</v>
      </c>
      <c r="L38">
        <v>46700</v>
      </c>
      <c r="N38" t="s">
        <v>444</v>
      </c>
    </row>
    <row r="39" spans="1:14" x14ac:dyDescent="0.25">
      <c r="A39" t="s">
        <v>440</v>
      </c>
      <c r="B39" t="s">
        <v>441</v>
      </c>
      <c r="C39">
        <v>33</v>
      </c>
      <c r="D39" t="s">
        <v>325</v>
      </c>
      <c r="E39">
        <v>5312</v>
      </c>
      <c r="F39" t="s">
        <v>442</v>
      </c>
      <c r="G39">
        <v>191</v>
      </c>
      <c r="H39" t="s">
        <v>450</v>
      </c>
      <c r="I39">
        <v>2012</v>
      </c>
      <c r="J39">
        <v>2012</v>
      </c>
      <c r="K39" t="s">
        <v>443</v>
      </c>
      <c r="L39">
        <v>80100</v>
      </c>
      <c r="N39" t="s">
        <v>444</v>
      </c>
    </row>
    <row r="40" spans="1:14" x14ac:dyDescent="0.25">
      <c r="A40" t="s">
        <v>440</v>
      </c>
      <c r="B40" t="s">
        <v>441</v>
      </c>
      <c r="C40">
        <v>33</v>
      </c>
      <c r="D40" t="s">
        <v>325</v>
      </c>
      <c r="E40">
        <v>5312</v>
      </c>
      <c r="F40" t="s">
        <v>442</v>
      </c>
      <c r="G40">
        <v>191</v>
      </c>
      <c r="H40" t="s">
        <v>450</v>
      </c>
      <c r="I40">
        <v>2013</v>
      </c>
      <c r="J40">
        <v>2013</v>
      </c>
      <c r="K40" t="s">
        <v>443</v>
      </c>
      <c r="L40">
        <v>72000</v>
      </c>
      <c r="N40" t="s">
        <v>444</v>
      </c>
    </row>
    <row r="41" spans="1:14" x14ac:dyDescent="0.25">
      <c r="A41" t="s">
        <v>440</v>
      </c>
      <c r="B41" t="s">
        <v>441</v>
      </c>
      <c r="C41">
        <v>33</v>
      </c>
      <c r="D41" t="s">
        <v>325</v>
      </c>
      <c r="E41">
        <v>5312</v>
      </c>
      <c r="F41" t="s">
        <v>442</v>
      </c>
      <c r="G41">
        <v>191</v>
      </c>
      <c r="H41" t="s">
        <v>450</v>
      </c>
      <c r="I41">
        <v>2014</v>
      </c>
      <c r="J41">
        <v>2014</v>
      </c>
      <c r="K41" t="s">
        <v>443</v>
      </c>
      <c r="L41">
        <v>66000</v>
      </c>
      <c r="N41" t="s">
        <v>444</v>
      </c>
    </row>
    <row r="42" spans="1:14" x14ac:dyDescent="0.25">
      <c r="A42" t="s">
        <v>440</v>
      </c>
      <c r="B42" t="s">
        <v>441</v>
      </c>
      <c r="C42">
        <v>33</v>
      </c>
      <c r="D42" t="s">
        <v>325</v>
      </c>
      <c r="E42">
        <v>5312</v>
      </c>
      <c r="F42" t="s">
        <v>442</v>
      </c>
      <c r="G42">
        <v>191</v>
      </c>
      <c r="H42" t="s">
        <v>450</v>
      </c>
      <c r="I42">
        <v>2015</v>
      </c>
      <c r="J42">
        <v>2015</v>
      </c>
      <c r="K42" t="s">
        <v>443</v>
      </c>
      <c r="L42">
        <v>46500</v>
      </c>
      <c r="N42" t="s">
        <v>444</v>
      </c>
    </row>
    <row r="43" spans="1:14" x14ac:dyDescent="0.25">
      <c r="A43" t="s">
        <v>440</v>
      </c>
      <c r="B43" t="s">
        <v>441</v>
      </c>
      <c r="C43">
        <v>33</v>
      </c>
      <c r="D43" t="s">
        <v>325</v>
      </c>
      <c r="E43">
        <v>5312</v>
      </c>
      <c r="F43" t="s">
        <v>442</v>
      </c>
      <c r="G43">
        <v>191</v>
      </c>
      <c r="H43" t="s">
        <v>450</v>
      </c>
      <c r="I43">
        <v>2016</v>
      </c>
      <c r="J43">
        <v>2016</v>
      </c>
      <c r="K43" t="s">
        <v>443</v>
      </c>
      <c r="L43">
        <v>59800</v>
      </c>
      <c r="N43" t="s">
        <v>444</v>
      </c>
    </row>
    <row r="44" spans="1:14" x14ac:dyDescent="0.25">
      <c r="A44" t="s">
        <v>440</v>
      </c>
      <c r="B44" t="s">
        <v>441</v>
      </c>
      <c r="C44">
        <v>33</v>
      </c>
      <c r="D44" t="s">
        <v>325</v>
      </c>
      <c r="E44">
        <v>5510</v>
      </c>
      <c r="F44" t="s">
        <v>34</v>
      </c>
      <c r="G44">
        <v>191</v>
      </c>
      <c r="H44" t="s">
        <v>450</v>
      </c>
      <c r="I44">
        <v>2011</v>
      </c>
      <c r="J44">
        <v>2011</v>
      </c>
      <c r="K44" t="s">
        <v>445</v>
      </c>
      <c r="L44">
        <v>85600</v>
      </c>
      <c r="N44" t="s">
        <v>444</v>
      </c>
    </row>
    <row r="45" spans="1:14" x14ac:dyDescent="0.25">
      <c r="A45" t="s">
        <v>440</v>
      </c>
      <c r="B45" t="s">
        <v>441</v>
      </c>
      <c r="C45">
        <v>33</v>
      </c>
      <c r="D45" t="s">
        <v>325</v>
      </c>
      <c r="E45">
        <v>5510</v>
      </c>
      <c r="F45" t="s">
        <v>34</v>
      </c>
      <c r="G45">
        <v>191</v>
      </c>
      <c r="H45" t="s">
        <v>450</v>
      </c>
      <c r="I45">
        <v>2012</v>
      </c>
      <c r="J45">
        <v>2012</v>
      </c>
      <c r="K45" t="s">
        <v>445</v>
      </c>
      <c r="L45">
        <v>161400</v>
      </c>
      <c r="N45" t="s">
        <v>444</v>
      </c>
    </row>
    <row r="46" spans="1:14" x14ac:dyDescent="0.25">
      <c r="A46" t="s">
        <v>440</v>
      </c>
      <c r="B46" t="s">
        <v>441</v>
      </c>
      <c r="C46">
        <v>33</v>
      </c>
      <c r="D46" t="s">
        <v>325</v>
      </c>
      <c r="E46">
        <v>5510</v>
      </c>
      <c r="F46" t="s">
        <v>34</v>
      </c>
      <c r="G46">
        <v>191</v>
      </c>
      <c r="H46" t="s">
        <v>450</v>
      </c>
      <c r="I46">
        <v>2013</v>
      </c>
      <c r="J46">
        <v>2013</v>
      </c>
      <c r="K46" t="s">
        <v>445</v>
      </c>
      <c r="L46">
        <v>169400</v>
      </c>
      <c r="N46" t="s">
        <v>444</v>
      </c>
    </row>
    <row r="47" spans="1:14" x14ac:dyDescent="0.25">
      <c r="A47" t="s">
        <v>440</v>
      </c>
      <c r="B47" t="s">
        <v>441</v>
      </c>
      <c r="C47">
        <v>33</v>
      </c>
      <c r="D47" t="s">
        <v>325</v>
      </c>
      <c r="E47">
        <v>5510</v>
      </c>
      <c r="F47" t="s">
        <v>34</v>
      </c>
      <c r="G47">
        <v>191</v>
      </c>
      <c r="H47" t="s">
        <v>450</v>
      </c>
      <c r="I47">
        <v>2014</v>
      </c>
      <c r="J47">
        <v>2014</v>
      </c>
      <c r="K47" t="s">
        <v>445</v>
      </c>
      <c r="L47">
        <v>123000</v>
      </c>
      <c r="N47" t="s">
        <v>444</v>
      </c>
    </row>
    <row r="48" spans="1:14" x14ac:dyDescent="0.25">
      <c r="A48" t="s">
        <v>440</v>
      </c>
      <c r="B48" t="s">
        <v>441</v>
      </c>
      <c r="C48">
        <v>33</v>
      </c>
      <c r="D48" t="s">
        <v>325</v>
      </c>
      <c r="E48">
        <v>5510</v>
      </c>
      <c r="F48" t="s">
        <v>34</v>
      </c>
      <c r="G48">
        <v>191</v>
      </c>
      <c r="H48" t="s">
        <v>450</v>
      </c>
      <c r="I48">
        <v>2015</v>
      </c>
      <c r="J48">
        <v>2015</v>
      </c>
      <c r="K48" t="s">
        <v>445</v>
      </c>
      <c r="L48">
        <v>83500</v>
      </c>
      <c r="N48" t="s">
        <v>444</v>
      </c>
    </row>
    <row r="49" spans="1:14" x14ac:dyDescent="0.25">
      <c r="A49" t="s">
        <v>440</v>
      </c>
      <c r="B49" t="s">
        <v>441</v>
      </c>
      <c r="C49">
        <v>33</v>
      </c>
      <c r="D49" t="s">
        <v>325</v>
      </c>
      <c r="E49">
        <v>5510</v>
      </c>
      <c r="F49" t="s">
        <v>34</v>
      </c>
      <c r="G49">
        <v>191</v>
      </c>
      <c r="H49" t="s">
        <v>450</v>
      </c>
      <c r="I49">
        <v>2016</v>
      </c>
      <c r="J49">
        <v>2016</v>
      </c>
      <c r="K49" t="s">
        <v>445</v>
      </c>
      <c r="L49">
        <v>106900</v>
      </c>
      <c r="N49" t="s">
        <v>444</v>
      </c>
    </row>
    <row r="50" spans="1:14" x14ac:dyDescent="0.25">
      <c r="A50" t="s">
        <v>440</v>
      </c>
      <c r="B50" t="s">
        <v>441</v>
      </c>
      <c r="C50">
        <v>33</v>
      </c>
      <c r="D50" t="s">
        <v>325</v>
      </c>
      <c r="E50">
        <v>5312</v>
      </c>
      <c r="F50" t="s">
        <v>442</v>
      </c>
      <c r="G50">
        <v>201</v>
      </c>
      <c r="H50" t="s">
        <v>451</v>
      </c>
      <c r="I50">
        <v>2011</v>
      </c>
      <c r="J50">
        <v>2011</v>
      </c>
      <c r="K50" t="s">
        <v>443</v>
      </c>
      <c r="L50">
        <v>1004700</v>
      </c>
      <c r="N50" t="s">
        <v>444</v>
      </c>
    </row>
    <row r="51" spans="1:14" x14ac:dyDescent="0.25">
      <c r="A51" t="s">
        <v>440</v>
      </c>
      <c r="B51" t="s">
        <v>441</v>
      </c>
      <c r="C51">
        <v>33</v>
      </c>
      <c r="D51" t="s">
        <v>325</v>
      </c>
      <c r="E51">
        <v>5312</v>
      </c>
      <c r="F51" t="s">
        <v>442</v>
      </c>
      <c r="G51">
        <v>201</v>
      </c>
      <c r="H51" t="s">
        <v>451</v>
      </c>
      <c r="I51">
        <v>2012</v>
      </c>
      <c r="J51">
        <v>2012</v>
      </c>
      <c r="K51" t="s">
        <v>443</v>
      </c>
      <c r="L51">
        <v>1003900</v>
      </c>
      <c r="N51" t="s">
        <v>444</v>
      </c>
    </row>
    <row r="52" spans="1:14" x14ac:dyDescent="0.25">
      <c r="A52" t="s">
        <v>440</v>
      </c>
      <c r="B52" t="s">
        <v>441</v>
      </c>
      <c r="C52">
        <v>33</v>
      </c>
      <c r="D52" t="s">
        <v>325</v>
      </c>
      <c r="E52">
        <v>5312</v>
      </c>
      <c r="F52" t="s">
        <v>442</v>
      </c>
      <c r="G52">
        <v>201</v>
      </c>
      <c r="H52" t="s">
        <v>451</v>
      </c>
      <c r="I52">
        <v>2013</v>
      </c>
      <c r="J52">
        <v>2013</v>
      </c>
      <c r="K52" t="s">
        <v>443</v>
      </c>
      <c r="L52">
        <v>1090700</v>
      </c>
      <c r="N52" t="s">
        <v>444</v>
      </c>
    </row>
    <row r="53" spans="1:14" x14ac:dyDescent="0.25">
      <c r="A53" t="s">
        <v>440</v>
      </c>
      <c r="B53" t="s">
        <v>441</v>
      </c>
      <c r="C53">
        <v>33</v>
      </c>
      <c r="D53" t="s">
        <v>325</v>
      </c>
      <c r="E53">
        <v>5312</v>
      </c>
      <c r="F53" t="s">
        <v>442</v>
      </c>
      <c r="G53">
        <v>201</v>
      </c>
      <c r="H53" t="s">
        <v>451</v>
      </c>
      <c r="I53">
        <v>2014</v>
      </c>
      <c r="J53">
        <v>2014</v>
      </c>
      <c r="K53" t="s">
        <v>443</v>
      </c>
      <c r="L53">
        <v>1217100</v>
      </c>
      <c r="N53" t="s">
        <v>444</v>
      </c>
    </row>
    <row r="54" spans="1:14" x14ac:dyDescent="0.25">
      <c r="A54" t="s">
        <v>440</v>
      </c>
      <c r="B54" t="s">
        <v>441</v>
      </c>
      <c r="C54">
        <v>33</v>
      </c>
      <c r="D54" t="s">
        <v>325</v>
      </c>
      <c r="E54">
        <v>5312</v>
      </c>
      <c r="F54" t="s">
        <v>442</v>
      </c>
      <c r="G54">
        <v>201</v>
      </c>
      <c r="H54" t="s">
        <v>451</v>
      </c>
      <c r="I54">
        <v>2015</v>
      </c>
      <c r="J54">
        <v>2015</v>
      </c>
      <c r="K54" t="s">
        <v>443</v>
      </c>
      <c r="L54">
        <v>1630000</v>
      </c>
      <c r="N54" t="s">
        <v>444</v>
      </c>
    </row>
    <row r="55" spans="1:14" x14ac:dyDescent="0.25">
      <c r="A55" t="s">
        <v>440</v>
      </c>
      <c r="B55" t="s">
        <v>441</v>
      </c>
      <c r="C55">
        <v>33</v>
      </c>
      <c r="D55" t="s">
        <v>325</v>
      </c>
      <c r="E55">
        <v>5312</v>
      </c>
      <c r="F55" t="s">
        <v>442</v>
      </c>
      <c r="G55">
        <v>201</v>
      </c>
      <c r="H55" t="s">
        <v>451</v>
      </c>
      <c r="I55">
        <v>2016</v>
      </c>
      <c r="J55">
        <v>2016</v>
      </c>
      <c r="K55" t="s">
        <v>443</v>
      </c>
      <c r="L55">
        <v>2175200</v>
      </c>
      <c r="N55" t="s">
        <v>444</v>
      </c>
    </row>
    <row r="56" spans="1:14" x14ac:dyDescent="0.25">
      <c r="A56" t="s">
        <v>440</v>
      </c>
      <c r="B56" t="s">
        <v>441</v>
      </c>
      <c r="C56">
        <v>33</v>
      </c>
      <c r="D56" t="s">
        <v>325</v>
      </c>
      <c r="E56">
        <v>5510</v>
      </c>
      <c r="F56" t="s">
        <v>34</v>
      </c>
      <c r="G56">
        <v>201</v>
      </c>
      <c r="H56" t="s">
        <v>451</v>
      </c>
      <c r="I56">
        <v>2011</v>
      </c>
      <c r="J56">
        <v>2011</v>
      </c>
      <c r="K56" t="s">
        <v>445</v>
      </c>
      <c r="L56">
        <v>1573500</v>
      </c>
      <c r="N56" t="s">
        <v>444</v>
      </c>
    </row>
    <row r="57" spans="1:14" x14ac:dyDescent="0.25">
      <c r="A57" t="s">
        <v>440</v>
      </c>
      <c r="B57" t="s">
        <v>441</v>
      </c>
      <c r="C57">
        <v>33</v>
      </c>
      <c r="D57" t="s">
        <v>325</v>
      </c>
      <c r="E57">
        <v>5510</v>
      </c>
      <c r="F57" t="s">
        <v>34</v>
      </c>
      <c r="G57">
        <v>201</v>
      </c>
      <c r="H57" t="s">
        <v>451</v>
      </c>
      <c r="I57">
        <v>2012</v>
      </c>
      <c r="J57">
        <v>2012</v>
      </c>
      <c r="K57" t="s">
        <v>445</v>
      </c>
      <c r="L57">
        <v>1537900</v>
      </c>
      <c r="N57" t="s">
        <v>444</v>
      </c>
    </row>
    <row r="58" spans="1:14" x14ac:dyDescent="0.25">
      <c r="A58" t="s">
        <v>440</v>
      </c>
      <c r="B58" t="s">
        <v>441</v>
      </c>
      <c r="C58">
        <v>33</v>
      </c>
      <c r="D58" t="s">
        <v>325</v>
      </c>
      <c r="E58">
        <v>5510</v>
      </c>
      <c r="F58" t="s">
        <v>34</v>
      </c>
      <c r="G58">
        <v>201</v>
      </c>
      <c r="H58" t="s">
        <v>451</v>
      </c>
      <c r="I58">
        <v>2013</v>
      </c>
      <c r="J58">
        <v>2013</v>
      </c>
      <c r="K58" t="s">
        <v>445</v>
      </c>
      <c r="L58">
        <v>2261700</v>
      </c>
      <c r="N58" t="s">
        <v>444</v>
      </c>
    </row>
    <row r="59" spans="1:14" x14ac:dyDescent="0.25">
      <c r="A59" t="s">
        <v>440</v>
      </c>
      <c r="B59" t="s">
        <v>441</v>
      </c>
      <c r="C59">
        <v>33</v>
      </c>
      <c r="D59" t="s">
        <v>325</v>
      </c>
      <c r="E59">
        <v>5510</v>
      </c>
      <c r="F59" t="s">
        <v>34</v>
      </c>
      <c r="G59">
        <v>201</v>
      </c>
      <c r="H59" t="s">
        <v>451</v>
      </c>
      <c r="I59">
        <v>2014</v>
      </c>
      <c r="J59">
        <v>2014</v>
      </c>
      <c r="K59" t="s">
        <v>445</v>
      </c>
      <c r="L59">
        <v>1987000</v>
      </c>
      <c r="N59" t="s">
        <v>444</v>
      </c>
    </row>
    <row r="60" spans="1:14" x14ac:dyDescent="0.25">
      <c r="A60" t="s">
        <v>440</v>
      </c>
      <c r="B60" t="s">
        <v>441</v>
      </c>
      <c r="C60">
        <v>33</v>
      </c>
      <c r="D60" t="s">
        <v>325</v>
      </c>
      <c r="E60">
        <v>5510</v>
      </c>
      <c r="F60" t="s">
        <v>34</v>
      </c>
      <c r="G60">
        <v>201</v>
      </c>
      <c r="H60" t="s">
        <v>451</v>
      </c>
      <c r="I60">
        <v>2015</v>
      </c>
      <c r="J60">
        <v>2015</v>
      </c>
      <c r="K60" t="s">
        <v>445</v>
      </c>
      <c r="L60">
        <v>2540500</v>
      </c>
      <c r="N60" t="s">
        <v>444</v>
      </c>
    </row>
    <row r="61" spans="1:14" x14ac:dyDescent="0.25">
      <c r="A61" t="s">
        <v>440</v>
      </c>
      <c r="B61" t="s">
        <v>441</v>
      </c>
      <c r="C61">
        <v>33</v>
      </c>
      <c r="D61" t="s">
        <v>325</v>
      </c>
      <c r="E61">
        <v>5510</v>
      </c>
      <c r="F61" t="s">
        <v>34</v>
      </c>
      <c r="G61">
        <v>201</v>
      </c>
      <c r="H61" t="s">
        <v>451</v>
      </c>
      <c r="I61">
        <v>2016</v>
      </c>
      <c r="J61">
        <v>2016</v>
      </c>
      <c r="K61" t="s">
        <v>445</v>
      </c>
      <c r="L61">
        <v>3233800</v>
      </c>
      <c r="N61" t="s">
        <v>444</v>
      </c>
    </row>
    <row r="62" spans="1:14" x14ac:dyDescent="0.25">
      <c r="A62" t="s">
        <v>440</v>
      </c>
      <c r="B62" t="s">
        <v>441</v>
      </c>
      <c r="C62">
        <v>33</v>
      </c>
      <c r="D62" t="s">
        <v>325</v>
      </c>
      <c r="E62">
        <v>5312</v>
      </c>
      <c r="F62" t="s">
        <v>442</v>
      </c>
      <c r="G62">
        <v>56</v>
      </c>
      <c r="H62" t="s">
        <v>446</v>
      </c>
      <c r="I62">
        <v>2011</v>
      </c>
      <c r="J62">
        <v>2011</v>
      </c>
      <c r="K62" t="s">
        <v>443</v>
      </c>
      <c r="L62">
        <v>1201700</v>
      </c>
      <c r="N62" t="s">
        <v>444</v>
      </c>
    </row>
    <row r="63" spans="1:14" x14ac:dyDescent="0.25">
      <c r="A63" t="s">
        <v>440</v>
      </c>
      <c r="B63" t="s">
        <v>441</v>
      </c>
      <c r="C63">
        <v>33</v>
      </c>
      <c r="D63" t="s">
        <v>325</v>
      </c>
      <c r="E63">
        <v>5312</v>
      </c>
      <c r="F63" t="s">
        <v>442</v>
      </c>
      <c r="G63">
        <v>56</v>
      </c>
      <c r="H63" t="s">
        <v>446</v>
      </c>
      <c r="I63">
        <v>2012</v>
      </c>
      <c r="J63">
        <v>2012</v>
      </c>
      <c r="K63" t="s">
        <v>443</v>
      </c>
      <c r="L63">
        <v>1417900</v>
      </c>
      <c r="N63" t="s">
        <v>444</v>
      </c>
    </row>
    <row r="64" spans="1:14" x14ac:dyDescent="0.25">
      <c r="A64" t="s">
        <v>440</v>
      </c>
      <c r="B64" t="s">
        <v>441</v>
      </c>
      <c r="C64">
        <v>33</v>
      </c>
      <c r="D64" t="s">
        <v>325</v>
      </c>
      <c r="E64">
        <v>5312</v>
      </c>
      <c r="F64" t="s">
        <v>442</v>
      </c>
      <c r="G64">
        <v>56</v>
      </c>
      <c r="H64" t="s">
        <v>446</v>
      </c>
      <c r="I64">
        <v>2013</v>
      </c>
      <c r="J64">
        <v>2013</v>
      </c>
      <c r="K64" t="s">
        <v>443</v>
      </c>
      <c r="L64">
        <v>1480400</v>
      </c>
      <c r="N64" t="s">
        <v>444</v>
      </c>
    </row>
    <row r="65" spans="1:14" x14ac:dyDescent="0.25">
      <c r="A65" t="s">
        <v>440</v>
      </c>
      <c r="B65" t="s">
        <v>441</v>
      </c>
      <c r="C65">
        <v>33</v>
      </c>
      <c r="D65" t="s">
        <v>325</v>
      </c>
      <c r="E65">
        <v>5312</v>
      </c>
      <c r="F65" t="s">
        <v>442</v>
      </c>
      <c r="G65">
        <v>56</v>
      </c>
      <c r="H65" t="s">
        <v>446</v>
      </c>
      <c r="I65">
        <v>2014</v>
      </c>
      <c r="J65">
        <v>2014</v>
      </c>
      <c r="K65" t="s">
        <v>443</v>
      </c>
      <c r="L65">
        <v>1226600</v>
      </c>
      <c r="N65" t="s">
        <v>444</v>
      </c>
    </row>
    <row r="66" spans="1:14" x14ac:dyDescent="0.25">
      <c r="A66" t="s">
        <v>440</v>
      </c>
      <c r="B66" t="s">
        <v>441</v>
      </c>
      <c r="C66">
        <v>33</v>
      </c>
      <c r="D66" t="s">
        <v>325</v>
      </c>
      <c r="E66">
        <v>5312</v>
      </c>
      <c r="F66" t="s">
        <v>442</v>
      </c>
      <c r="G66">
        <v>56</v>
      </c>
      <c r="H66" t="s">
        <v>446</v>
      </c>
      <c r="I66">
        <v>2015</v>
      </c>
      <c r="J66">
        <v>2015</v>
      </c>
      <c r="K66" t="s">
        <v>443</v>
      </c>
      <c r="L66">
        <v>1311700</v>
      </c>
      <c r="N66" t="s">
        <v>444</v>
      </c>
    </row>
    <row r="67" spans="1:14" x14ac:dyDescent="0.25">
      <c r="A67" t="s">
        <v>440</v>
      </c>
      <c r="B67" t="s">
        <v>441</v>
      </c>
      <c r="C67">
        <v>33</v>
      </c>
      <c r="D67" t="s">
        <v>325</v>
      </c>
      <c r="E67">
        <v>5312</v>
      </c>
      <c r="F67" t="s">
        <v>442</v>
      </c>
      <c r="G67">
        <v>56</v>
      </c>
      <c r="H67" t="s">
        <v>446</v>
      </c>
      <c r="I67">
        <v>2016</v>
      </c>
      <c r="J67">
        <v>2016</v>
      </c>
      <c r="K67" t="s">
        <v>443</v>
      </c>
      <c r="L67">
        <v>1317700</v>
      </c>
      <c r="N67" t="s">
        <v>444</v>
      </c>
    </row>
    <row r="68" spans="1:14" x14ac:dyDescent="0.25">
      <c r="A68" t="s">
        <v>440</v>
      </c>
      <c r="B68" t="s">
        <v>441</v>
      </c>
      <c r="C68">
        <v>33</v>
      </c>
      <c r="D68" t="s">
        <v>325</v>
      </c>
      <c r="E68">
        <v>5510</v>
      </c>
      <c r="F68" t="s">
        <v>34</v>
      </c>
      <c r="G68">
        <v>56</v>
      </c>
      <c r="H68" t="s">
        <v>446</v>
      </c>
      <c r="I68">
        <v>2011</v>
      </c>
      <c r="J68">
        <v>2011</v>
      </c>
      <c r="K68" t="s">
        <v>445</v>
      </c>
      <c r="L68">
        <v>10688700</v>
      </c>
      <c r="N68" t="s">
        <v>444</v>
      </c>
    </row>
    <row r="69" spans="1:14" x14ac:dyDescent="0.25">
      <c r="A69" t="s">
        <v>440</v>
      </c>
      <c r="B69" t="s">
        <v>441</v>
      </c>
      <c r="C69">
        <v>33</v>
      </c>
      <c r="D69" t="s">
        <v>325</v>
      </c>
      <c r="E69">
        <v>5510</v>
      </c>
      <c r="F69" t="s">
        <v>34</v>
      </c>
      <c r="G69">
        <v>56</v>
      </c>
      <c r="H69" t="s">
        <v>446</v>
      </c>
      <c r="I69">
        <v>2012</v>
      </c>
      <c r="J69">
        <v>2012</v>
      </c>
      <c r="K69" t="s">
        <v>445</v>
      </c>
      <c r="L69">
        <v>13060100</v>
      </c>
      <c r="N69" t="s">
        <v>444</v>
      </c>
    </row>
    <row r="70" spans="1:14" x14ac:dyDescent="0.25">
      <c r="A70" t="s">
        <v>440</v>
      </c>
      <c r="B70" t="s">
        <v>441</v>
      </c>
      <c r="C70">
        <v>33</v>
      </c>
      <c r="D70" t="s">
        <v>325</v>
      </c>
      <c r="E70">
        <v>5510</v>
      </c>
      <c r="F70" t="s">
        <v>34</v>
      </c>
      <c r="G70">
        <v>56</v>
      </c>
      <c r="H70" t="s">
        <v>446</v>
      </c>
      <c r="I70">
        <v>2013</v>
      </c>
      <c r="J70">
        <v>2013</v>
      </c>
      <c r="K70" t="s">
        <v>445</v>
      </c>
      <c r="L70">
        <v>14193800</v>
      </c>
      <c r="N70" t="s">
        <v>444</v>
      </c>
    </row>
    <row r="71" spans="1:14" x14ac:dyDescent="0.25">
      <c r="A71" t="s">
        <v>440</v>
      </c>
      <c r="B71" t="s">
        <v>441</v>
      </c>
      <c r="C71">
        <v>33</v>
      </c>
      <c r="D71" t="s">
        <v>325</v>
      </c>
      <c r="E71">
        <v>5510</v>
      </c>
      <c r="F71" t="s">
        <v>34</v>
      </c>
      <c r="G71">
        <v>56</v>
      </c>
      <c r="H71" t="s">
        <v>446</v>
      </c>
      <c r="I71">
        <v>2014</v>
      </c>
      <c r="J71">
        <v>2014</v>
      </c>
      <c r="K71" t="s">
        <v>445</v>
      </c>
      <c r="L71">
        <v>11486800</v>
      </c>
      <c r="N71" t="s">
        <v>444</v>
      </c>
    </row>
    <row r="72" spans="1:14" x14ac:dyDescent="0.25">
      <c r="A72" t="s">
        <v>440</v>
      </c>
      <c r="B72" t="s">
        <v>441</v>
      </c>
      <c r="C72">
        <v>33</v>
      </c>
      <c r="D72" t="s">
        <v>325</v>
      </c>
      <c r="E72">
        <v>5510</v>
      </c>
      <c r="F72" t="s">
        <v>34</v>
      </c>
      <c r="G72">
        <v>56</v>
      </c>
      <c r="H72" t="s">
        <v>446</v>
      </c>
      <c r="I72">
        <v>2015</v>
      </c>
      <c r="J72">
        <v>2015</v>
      </c>
      <c r="K72" t="s">
        <v>445</v>
      </c>
      <c r="L72">
        <v>13559100</v>
      </c>
      <c r="N72" t="s">
        <v>444</v>
      </c>
    </row>
    <row r="73" spans="1:14" x14ac:dyDescent="0.25">
      <c r="A73" t="s">
        <v>440</v>
      </c>
      <c r="B73" t="s">
        <v>441</v>
      </c>
      <c r="C73">
        <v>33</v>
      </c>
      <c r="D73" t="s">
        <v>325</v>
      </c>
      <c r="E73">
        <v>5510</v>
      </c>
      <c r="F73" t="s">
        <v>34</v>
      </c>
      <c r="G73">
        <v>56</v>
      </c>
      <c r="H73" t="s">
        <v>446</v>
      </c>
      <c r="I73">
        <v>2016</v>
      </c>
      <c r="J73">
        <v>2016</v>
      </c>
      <c r="K73" t="s">
        <v>445</v>
      </c>
      <c r="L73">
        <v>12349400</v>
      </c>
      <c r="N73" t="s">
        <v>444</v>
      </c>
    </row>
    <row r="74" spans="1:14" x14ac:dyDescent="0.25">
      <c r="A74" t="s">
        <v>440</v>
      </c>
      <c r="B74" t="s">
        <v>441</v>
      </c>
      <c r="C74">
        <v>33</v>
      </c>
      <c r="D74" t="s">
        <v>325</v>
      </c>
      <c r="E74">
        <v>5312</v>
      </c>
      <c r="F74" t="s">
        <v>442</v>
      </c>
      <c r="G74">
        <v>236</v>
      </c>
      <c r="H74" t="s">
        <v>88</v>
      </c>
      <c r="I74">
        <v>2011</v>
      </c>
      <c r="J74">
        <v>2011</v>
      </c>
      <c r="K74" t="s">
        <v>443</v>
      </c>
      <c r="L74">
        <v>1554200</v>
      </c>
      <c r="N74" t="s">
        <v>444</v>
      </c>
    </row>
    <row r="75" spans="1:14" x14ac:dyDescent="0.25">
      <c r="A75" t="s">
        <v>440</v>
      </c>
      <c r="B75" t="s">
        <v>441</v>
      </c>
      <c r="C75">
        <v>33</v>
      </c>
      <c r="D75" t="s">
        <v>325</v>
      </c>
      <c r="E75">
        <v>5312</v>
      </c>
      <c r="F75" t="s">
        <v>442</v>
      </c>
      <c r="G75">
        <v>236</v>
      </c>
      <c r="H75" t="s">
        <v>88</v>
      </c>
      <c r="I75">
        <v>2012</v>
      </c>
      <c r="J75">
        <v>2012</v>
      </c>
      <c r="K75" t="s">
        <v>443</v>
      </c>
      <c r="L75">
        <v>1679000</v>
      </c>
      <c r="N75" t="s">
        <v>444</v>
      </c>
    </row>
    <row r="76" spans="1:14" x14ac:dyDescent="0.25">
      <c r="A76" t="s">
        <v>440</v>
      </c>
      <c r="B76" t="s">
        <v>441</v>
      </c>
      <c r="C76">
        <v>33</v>
      </c>
      <c r="D76" t="s">
        <v>325</v>
      </c>
      <c r="E76">
        <v>5312</v>
      </c>
      <c r="F76" t="s">
        <v>442</v>
      </c>
      <c r="G76">
        <v>236</v>
      </c>
      <c r="H76" t="s">
        <v>88</v>
      </c>
      <c r="I76">
        <v>2013</v>
      </c>
      <c r="J76">
        <v>2013</v>
      </c>
      <c r="K76" t="s">
        <v>443</v>
      </c>
      <c r="L76">
        <v>1860100</v>
      </c>
      <c r="N76" t="s">
        <v>444</v>
      </c>
    </row>
    <row r="77" spans="1:14" x14ac:dyDescent="0.25">
      <c r="A77" t="s">
        <v>440</v>
      </c>
      <c r="B77" t="s">
        <v>441</v>
      </c>
      <c r="C77">
        <v>33</v>
      </c>
      <c r="D77" t="s">
        <v>325</v>
      </c>
      <c r="E77">
        <v>5312</v>
      </c>
      <c r="F77" t="s">
        <v>442</v>
      </c>
      <c r="G77">
        <v>236</v>
      </c>
      <c r="H77" t="s">
        <v>88</v>
      </c>
      <c r="I77">
        <v>2014</v>
      </c>
      <c r="J77">
        <v>2014</v>
      </c>
      <c r="K77" t="s">
        <v>443</v>
      </c>
      <c r="L77">
        <v>2235100</v>
      </c>
      <c r="N77" t="s">
        <v>444</v>
      </c>
    </row>
    <row r="78" spans="1:14" x14ac:dyDescent="0.25">
      <c r="A78" t="s">
        <v>440</v>
      </c>
      <c r="B78" t="s">
        <v>441</v>
      </c>
      <c r="C78">
        <v>33</v>
      </c>
      <c r="D78" t="s">
        <v>325</v>
      </c>
      <c r="E78">
        <v>5312</v>
      </c>
      <c r="F78" t="s">
        <v>442</v>
      </c>
      <c r="G78">
        <v>236</v>
      </c>
      <c r="H78" t="s">
        <v>88</v>
      </c>
      <c r="I78">
        <v>2015</v>
      </c>
      <c r="J78">
        <v>2015</v>
      </c>
      <c r="K78" t="s">
        <v>443</v>
      </c>
      <c r="L78">
        <v>2197400</v>
      </c>
      <c r="N78" t="s">
        <v>444</v>
      </c>
    </row>
    <row r="79" spans="1:14" x14ac:dyDescent="0.25">
      <c r="A79" t="s">
        <v>440</v>
      </c>
      <c r="B79" t="s">
        <v>441</v>
      </c>
      <c r="C79">
        <v>33</v>
      </c>
      <c r="D79" t="s">
        <v>325</v>
      </c>
      <c r="E79">
        <v>5312</v>
      </c>
      <c r="F79" t="s">
        <v>442</v>
      </c>
      <c r="G79">
        <v>236</v>
      </c>
      <c r="H79" t="s">
        <v>88</v>
      </c>
      <c r="I79">
        <v>2016</v>
      </c>
      <c r="J79">
        <v>2016</v>
      </c>
      <c r="K79" t="s">
        <v>443</v>
      </c>
      <c r="L79">
        <v>2190500</v>
      </c>
      <c r="N79" t="s">
        <v>444</v>
      </c>
    </row>
    <row r="80" spans="1:14" x14ac:dyDescent="0.25">
      <c r="A80" t="s">
        <v>440</v>
      </c>
      <c r="B80" t="s">
        <v>441</v>
      </c>
      <c r="C80">
        <v>33</v>
      </c>
      <c r="D80" t="s">
        <v>325</v>
      </c>
      <c r="E80">
        <v>5510</v>
      </c>
      <c r="F80" t="s">
        <v>34</v>
      </c>
      <c r="G80">
        <v>236</v>
      </c>
      <c r="H80" t="s">
        <v>88</v>
      </c>
      <c r="I80">
        <v>2011</v>
      </c>
      <c r="J80">
        <v>2011</v>
      </c>
      <c r="K80" t="s">
        <v>445</v>
      </c>
      <c r="L80">
        <v>4466500</v>
      </c>
      <c r="N80" t="s">
        <v>444</v>
      </c>
    </row>
    <row r="81" spans="1:14" x14ac:dyDescent="0.25">
      <c r="A81" t="s">
        <v>440</v>
      </c>
      <c r="B81" t="s">
        <v>441</v>
      </c>
      <c r="C81">
        <v>33</v>
      </c>
      <c r="D81" t="s">
        <v>325</v>
      </c>
      <c r="E81">
        <v>5510</v>
      </c>
      <c r="F81" t="s">
        <v>34</v>
      </c>
      <c r="G81">
        <v>236</v>
      </c>
      <c r="H81" t="s">
        <v>88</v>
      </c>
      <c r="I81">
        <v>2012</v>
      </c>
      <c r="J81">
        <v>2012</v>
      </c>
      <c r="K81" t="s">
        <v>445</v>
      </c>
      <c r="L81">
        <v>5086400</v>
      </c>
      <c r="N81" t="s">
        <v>444</v>
      </c>
    </row>
    <row r="82" spans="1:14" x14ac:dyDescent="0.25">
      <c r="A82" t="s">
        <v>440</v>
      </c>
      <c r="B82" t="s">
        <v>441</v>
      </c>
      <c r="C82">
        <v>33</v>
      </c>
      <c r="D82" t="s">
        <v>325</v>
      </c>
      <c r="E82">
        <v>5510</v>
      </c>
      <c r="F82" t="s">
        <v>34</v>
      </c>
      <c r="G82">
        <v>236</v>
      </c>
      <c r="H82" t="s">
        <v>88</v>
      </c>
      <c r="I82">
        <v>2013</v>
      </c>
      <c r="J82">
        <v>2013</v>
      </c>
      <c r="K82" t="s">
        <v>445</v>
      </c>
      <c r="L82">
        <v>5358900</v>
      </c>
      <c r="N82" t="s">
        <v>444</v>
      </c>
    </row>
    <row r="83" spans="1:14" x14ac:dyDescent="0.25">
      <c r="A83" t="s">
        <v>440</v>
      </c>
      <c r="B83" t="s">
        <v>441</v>
      </c>
      <c r="C83">
        <v>33</v>
      </c>
      <c r="D83" t="s">
        <v>325</v>
      </c>
      <c r="E83">
        <v>5510</v>
      </c>
      <c r="F83" t="s">
        <v>34</v>
      </c>
      <c r="G83">
        <v>236</v>
      </c>
      <c r="H83" t="s">
        <v>88</v>
      </c>
      <c r="I83">
        <v>2014</v>
      </c>
      <c r="J83">
        <v>2014</v>
      </c>
      <c r="K83" t="s">
        <v>445</v>
      </c>
      <c r="L83">
        <v>6048600</v>
      </c>
      <c r="N83" t="s">
        <v>444</v>
      </c>
    </row>
    <row r="84" spans="1:14" x14ac:dyDescent="0.25">
      <c r="A84" t="s">
        <v>440</v>
      </c>
      <c r="B84" t="s">
        <v>441</v>
      </c>
      <c r="C84">
        <v>33</v>
      </c>
      <c r="D84" t="s">
        <v>325</v>
      </c>
      <c r="E84">
        <v>5510</v>
      </c>
      <c r="F84" t="s">
        <v>34</v>
      </c>
      <c r="G84">
        <v>236</v>
      </c>
      <c r="H84" t="s">
        <v>88</v>
      </c>
      <c r="I84">
        <v>2015</v>
      </c>
      <c r="J84">
        <v>2015</v>
      </c>
      <c r="K84" t="s">
        <v>445</v>
      </c>
      <c r="L84">
        <v>6371000</v>
      </c>
      <c r="N84" t="s">
        <v>444</v>
      </c>
    </row>
    <row r="85" spans="1:14" x14ac:dyDescent="0.25">
      <c r="A85" t="s">
        <v>440</v>
      </c>
      <c r="B85" t="s">
        <v>441</v>
      </c>
      <c r="C85">
        <v>33</v>
      </c>
      <c r="D85" t="s">
        <v>325</v>
      </c>
      <c r="E85">
        <v>5510</v>
      </c>
      <c r="F85" t="s">
        <v>34</v>
      </c>
      <c r="G85">
        <v>236</v>
      </c>
      <c r="H85" t="s">
        <v>88</v>
      </c>
      <c r="I85">
        <v>2016</v>
      </c>
      <c r="J85">
        <v>2016</v>
      </c>
      <c r="K85" t="s">
        <v>445</v>
      </c>
      <c r="L85">
        <v>5827100</v>
      </c>
      <c r="N85" t="s">
        <v>444</v>
      </c>
    </row>
    <row r="86" spans="1:14" x14ac:dyDescent="0.25">
      <c r="A86" t="s">
        <v>440</v>
      </c>
      <c r="B86" t="s">
        <v>441</v>
      </c>
      <c r="C86">
        <v>33</v>
      </c>
      <c r="D86" t="s">
        <v>325</v>
      </c>
      <c r="E86">
        <v>5312</v>
      </c>
      <c r="F86" t="s">
        <v>442</v>
      </c>
      <c r="G86">
        <v>15</v>
      </c>
      <c r="H86" t="s">
        <v>87</v>
      </c>
      <c r="I86">
        <v>2011</v>
      </c>
      <c r="J86">
        <v>2011</v>
      </c>
      <c r="K86" t="s">
        <v>443</v>
      </c>
      <c r="L86">
        <v>8552500</v>
      </c>
      <c r="N86" t="s">
        <v>444</v>
      </c>
    </row>
    <row r="87" spans="1:14" x14ac:dyDescent="0.25">
      <c r="A87" t="s">
        <v>440</v>
      </c>
      <c r="B87" t="s">
        <v>441</v>
      </c>
      <c r="C87">
        <v>33</v>
      </c>
      <c r="D87" t="s">
        <v>325</v>
      </c>
      <c r="E87">
        <v>5312</v>
      </c>
      <c r="F87" t="s">
        <v>442</v>
      </c>
      <c r="G87">
        <v>15</v>
      </c>
      <c r="H87" t="s">
        <v>87</v>
      </c>
      <c r="I87">
        <v>2012</v>
      </c>
      <c r="J87">
        <v>2012</v>
      </c>
      <c r="K87" t="s">
        <v>443</v>
      </c>
      <c r="L87">
        <v>9497200</v>
      </c>
      <c r="N87" t="s">
        <v>444</v>
      </c>
    </row>
    <row r="88" spans="1:14" x14ac:dyDescent="0.25">
      <c r="A88" t="s">
        <v>440</v>
      </c>
      <c r="B88" t="s">
        <v>441</v>
      </c>
      <c r="C88">
        <v>33</v>
      </c>
      <c r="D88" t="s">
        <v>325</v>
      </c>
      <c r="E88">
        <v>5312</v>
      </c>
      <c r="F88" t="s">
        <v>442</v>
      </c>
      <c r="G88">
        <v>15</v>
      </c>
      <c r="H88" t="s">
        <v>87</v>
      </c>
      <c r="I88">
        <v>2013</v>
      </c>
      <c r="J88">
        <v>2013</v>
      </c>
      <c r="K88" t="s">
        <v>443</v>
      </c>
      <c r="L88">
        <v>10441500</v>
      </c>
      <c r="N88" t="s">
        <v>444</v>
      </c>
    </row>
    <row r="89" spans="1:14" x14ac:dyDescent="0.25">
      <c r="A89" t="s">
        <v>440</v>
      </c>
      <c r="B89" t="s">
        <v>441</v>
      </c>
      <c r="C89">
        <v>33</v>
      </c>
      <c r="D89" t="s">
        <v>325</v>
      </c>
      <c r="E89">
        <v>5312</v>
      </c>
      <c r="F89" t="s">
        <v>442</v>
      </c>
      <c r="G89">
        <v>15</v>
      </c>
      <c r="H89" t="s">
        <v>87</v>
      </c>
      <c r="I89">
        <v>2014</v>
      </c>
      <c r="J89">
        <v>2014</v>
      </c>
      <c r="K89" t="s">
        <v>443</v>
      </c>
      <c r="L89">
        <v>9480100</v>
      </c>
      <c r="N89" t="s">
        <v>444</v>
      </c>
    </row>
    <row r="90" spans="1:14" x14ac:dyDescent="0.25">
      <c r="A90" t="s">
        <v>440</v>
      </c>
      <c r="B90" t="s">
        <v>441</v>
      </c>
      <c r="C90">
        <v>33</v>
      </c>
      <c r="D90" t="s">
        <v>325</v>
      </c>
      <c r="E90">
        <v>5312</v>
      </c>
      <c r="F90" t="s">
        <v>442</v>
      </c>
      <c r="G90">
        <v>15</v>
      </c>
      <c r="H90" t="s">
        <v>87</v>
      </c>
      <c r="I90">
        <v>2015</v>
      </c>
      <c r="J90">
        <v>2015</v>
      </c>
      <c r="K90" t="s">
        <v>443</v>
      </c>
      <c r="L90">
        <v>9577400</v>
      </c>
      <c r="N90" t="s">
        <v>444</v>
      </c>
    </row>
    <row r="91" spans="1:14" x14ac:dyDescent="0.25">
      <c r="A91" t="s">
        <v>440</v>
      </c>
      <c r="B91" t="s">
        <v>441</v>
      </c>
      <c r="C91">
        <v>33</v>
      </c>
      <c r="D91" t="s">
        <v>325</v>
      </c>
      <c r="E91">
        <v>5312</v>
      </c>
      <c r="F91" t="s">
        <v>442</v>
      </c>
      <c r="G91">
        <v>15</v>
      </c>
      <c r="H91" t="s">
        <v>87</v>
      </c>
      <c r="I91">
        <v>2016</v>
      </c>
      <c r="J91">
        <v>2016</v>
      </c>
      <c r="K91" t="s">
        <v>443</v>
      </c>
      <c r="L91">
        <v>9261600</v>
      </c>
      <c r="N91" t="s">
        <v>444</v>
      </c>
    </row>
    <row r="92" spans="1:14" x14ac:dyDescent="0.25">
      <c r="A92" t="s">
        <v>440</v>
      </c>
      <c r="B92" t="s">
        <v>441</v>
      </c>
      <c r="C92">
        <v>33</v>
      </c>
      <c r="D92" t="s">
        <v>325</v>
      </c>
      <c r="E92">
        <v>5510</v>
      </c>
      <c r="F92" t="s">
        <v>34</v>
      </c>
      <c r="G92">
        <v>15</v>
      </c>
      <c r="H92" t="s">
        <v>87</v>
      </c>
      <c r="I92">
        <v>2011</v>
      </c>
      <c r="J92">
        <v>2011</v>
      </c>
      <c r="K92" t="s">
        <v>445</v>
      </c>
      <c r="L92">
        <v>25288000</v>
      </c>
      <c r="N92" t="s">
        <v>444</v>
      </c>
    </row>
    <row r="93" spans="1:14" x14ac:dyDescent="0.25">
      <c r="A93" t="s">
        <v>440</v>
      </c>
      <c r="B93" t="s">
        <v>441</v>
      </c>
      <c r="C93">
        <v>33</v>
      </c>
      <c r="D93" t="s">
        <v>325</v>
      </c>
      <c r="E93">
        <v>5510</v>
      </c>
      <c r="F93" t="s">
        <v>34</v>
      </c>
      <c r="G93">
        <v>15</v>
      </c>
      <c r="H93" t="s">
        <v>87</v>
      </c>
      <c r="I93">
        <v>2012</v>
      </c>
      <c r="J93">
        <v>2012</v>
      </c>
      <c r="K93" t="s">
        <v>445</v>
      </c>
      <c r="L93">
        <v>27205200</v>
      </c>
      <c r="N93" t="s">
        <v>444</v>
      </c>
    </row>
    <row r="94" spans="1:14" x14ac:dyDescent="0.25">
      <c r="A94" t="s">
        <v>440</v>
      </c>
      <c r="B94" t="s">
        <v>441</v>
      </c>
      <c r="C94">
        <v>33</v>
      </c>
      <c r="D94" t="s">
        <v>325</v>
      </c>
      <c r="E94">
        <v>5510</v>
      </c>
      <c r="F94" t="s">
        <v>34</v>
      </c>
      <c r="G94">
        <v>15</v>
      </c>
      <c r="H94" t="s">
        <v>87</v>
      </c>
      <c r="I94">
        <v>2013</v>
      </c>
      <c r="J94">
        <v>2013</v>
      </c>
      <c r="K94" t="s">
        <v>445</v>
      </c>
      <c r="L94">
        <v>37529600</v>
      </c>
      <c r="N94" t="s">
        <v>444</v>
      </c>
    </row>
    <row r="95" spans="1:14" x14ac:dyDescent="0.25">
      <c r="A95" t="s">
        <v>440</v>
      </c>
      <c r="B95" t="s">
        <v>441</v>
      </c>
      <c r="C95">
        <v>33</v>
      </c>
      <c r="D95" t="s">
        <v>325</v>
      </c>
      <c r="E95">
        <v>5510</v>
      </c>
      <c r="F95" t="s">
        <v>34</v>
      </c>
      <c r="G95">
        <v>15</v>
      </c>
      <c r="H95" t="s">
        <v>87</v>
      </c>
      <c r="I95">
        <v>2014</v>
      </c>
      <c r="J95">
        <v>2014</v>
      </c>
      <c r="K95" t="s">
        <v>445</v>
      </c>
      <c r="L95">
        <v>29419600</v>
      </c>
      <c r="N95" t="s">
        <v>444</v>
      </c>
    </row>
    <row r="96" spans="1:14" x14ac:dyDescent="0.25">
      <c r="A96" t="s">
        <v>440</v>
      </c>
      <c r="B96" t="s">
        <v>441</v>
      </c>
      <c r="C96">
        <v>33</v>
      </c>
      <c r="D96" t="s">
        <v>325</v>
      </c>
      <c r="E96">
        <v>5510</v>
      </c>
      <c r="F96" t="s">
        <v>34</v>
      </c>
      <c r="G96">
        <v>15</v>
      </c>
      <c r="H96" t="s">
        <v>87</v>
      </c>
      <c r="I96">
        <v>2015</v>
      </c>
      <c r="J96">
        <v>2015</v>
      </c>
      <c r="K96" t="s">
        <v>445</v>
      </c>
      <c r="L96">
        <v>27594100</v>
      </c>
      <c r="N96" t="s">
        <v>444</v>
      </c>
    </row>
    <row r="97" spans="1:14" x14ac:dyDescent="0.25">
      <c r="A97" t="s">
        <v>440</v>
      </c>
      <c r="B97" t="s">
        <v>441</v>
      </c>
      <c r="C97">
        <v>33</v>
      </c>
      <c r="D97" t="s">
        <v>325</v>
      </c>
      <c r="E97">
        <v>5510</v>
      </c>
      <c r="F97" t="s">
        <v>34</v>
      </c>
      <c r="G97">
        <v>15</v>
      </c>
      <c r="H97" t="s">
        <v>87</v>
      </c>
      <c r="I97">
        <v>2016</v>
      </c>
      <c r="J97">
        <v>2016</v>
      </c>
      <c r="K97" t="s">
        <v>445</v>
      </c>
      <c r="L97">
        <v>30486700</v>
      </c>
      <c r="N97" t="s">
        <v>444</v>
      </c>
    </row>
    <row r="98" spans="1:14" x14ac:dyDescent="0.25">
      <c r="A98" t="s">
        <v>507</v>
      </c>
      <c r="B98" t="s">
        <v>508</v>
      </c>
      <c r="C98">
        <v>33</v>
      </c>
      <c r="D98" t="s">
        <v>325</v>
      </c>
      <c r="E98">
        <v>5114</v>
      </c>
      <c r="F98" t="s">
        <v>509</v>
      </c>
      <c r="G98">
        <v>1181</v>
      </c>
      <c r="H98" t="s">
        <v>510</v>
      </c>
      <c r="I98">
        <v>2012</v>
      </c>
      <c r="J98">
        <v>2012</v>
      </c>
      <c r="K98" t="s">
        <v>511</v>
      </c>
      <c r="L98">
        <v>690037</v>
      </c>
      <c r="N98" t="s">
        <v>444</v>
      </c>
    </row>
    <row r="99" spans="1:14" x14ac:dyDescent="0.25">
      <c r="A99" t="s">
        <v>507</v>
      </c>
      <c r="B99" t="s">
        <v>508</v>
      </c>
      <c r="C99">
        <v>33</v>
      </c>
      <c r="D99" t="s">
        <v>325</v>
      </c>
      <c r="E99">
        <v>5114</v>
      </c>
      <c r="F99" t="s">
        <v>509</v>
      </c>
      <c r="G99">
        <v>1181</v>
      </c>
      <c r="H99" t="s">
        <v>510</v>
      </c>
      <c r="I99">
        <v>2013</v>
      </c>
      <c r="J99">
        <v>2013</v>
      </c>
      <c r="K99" t="s">
        <v>511</v>
      </c>
      <c r="L99">
        <v>667397</v>
      </c>
      <c r="N99" t="s">
        <v>444</v>
      </c>
    </row>
    <row r="100" spans="1:14" x14ac:dyDescent="0.25">
      <c r="A100" t="s">
        <v>507</v>
      </c>
      <c r="B100" t="s">
        <v>508</v>
      </c>
      <c r="C100">
        <v>33</v>
      </c>
      <c r="D100" t="s">
        <v>325</v>
      </c>
      <c r="E100">
        <v>5114</v>
      </c>
      <c r="F100" t="s">
        <v>509</v>
      </c>
      <c r="G100">
        <v>1181</v>
      </c>
      <c r="H100" t="s">
        <v>510</v>
      </c>
      <c r="I100">
        <v>2014</v>
      </c>
      <c r="J100">
        <v>2014</v>
      </c>
      <c r="K100" t="s">
        <v>511</v>
      </c>
      <c r="L100">
        <v>696252</v>
      </c>
      <c r="N100" t="s">
        <v>444</v>
      </c>
    </row>
    <row r="101" spans="1:14" x14ac:dyDescent="0.25">
      <c r="A101" t="s">
        <v>507</v>
      </c>
      <c r="B101" t="s">
        <v>508</v>
      </c>
      <c r="C101">
        <v>33</v>
      </c>
      <c r="D101" t="s">
        <v>325</v>
      </c>
      <c r="E101">
        <v>5114</v>
      </c>
      <c r="F101" t="s">
        <v>509</v>
      </c>
      <c r="G101">
        <v>1181</v>
      </c>
      <c r="H101" t="s">
        <v>510</v>
      </c>
      <c r="I101">
        <v>2015</v>
      </c>
      <c r="J101">
        <v>2015</v>
      </c>
      <c r="K101" t="s">
        <v>511</v>
      </c>
      <c r="L101">
        <v>698429</v>
      </c>
      <c r="M101" t="s">
        <v>512</v>
      </c>
      <c r="N101" t="s">
        <v>513</v>
      </c>
    </row>
    <row r="102" spans="1:14" x14ac:dyDescent="0.25">
      <c r="A102" t="s">
        <v>507</v>
      </c>
      <c r="B102" t="s">
        <v>508</v>
      </c>
      <c r="C102">
        <v>33</v>
      </c>
      <c r="D102" t="s">
        <v>325</v>
      </c>
      <c r="E102">
        <v>5114</v>
      </c>
      <c r="F102" t="s">
        <v>509</v>
      </c>
      <c r="G102">
        <v>1181</v>
      </c>
      <c r="H102" t="s">
        <v>510</v>
      </c>
      <c r="I102">
        <v>2016</v>
      </c>
      <c r="J102">
        <v>2016</v>
      </c>
      <c r="K102" t="s">
        <v>511</v>
      </c>
      <c r="L102">
        <v>686733</v>
      </c>
      <c r="M102" t="s">
        <v>512</v>
      </c>
      <c r="N102" t="s">
        <v>513</v>
      </c>
    </row>
    <row r="103" spans="1:14" x14ac:dyDescent="0.25">
      <c r="A103" t="s">
        <v>507</v>
      </c>
      <c r="B103" t="s">
        <v>508</v>
      </c>
      <c r="C103">
        <v>33</v>
      </c>
      <c r="D103" t="s">
        <v>325</v>
      </c>
      <c r="E103">
        <v>5111</v>
      </c>
      <c r="F103" t="s">
        <v>509</v>
      </c>
      <c r="G103">
        <v>866</v>
      </c>
      <c r="H103" t="s">
        <v>514</v>
      </c>
      <c r="I103">
        <v>2012</v>
      </c>
      <c r="J103">
        <v>2012</v>
      </c>
      <c r="K103" t="s">
        <v>515</v>
      </c>
      <c r="L103">
        <v>12245000</v>
      </c>
      <c r="N103" t="s">
        <v>444</v>
      </c>
    </row>
    <row r="104" spans="1:14" x14ac:dyDescent="0.25">
      <c r="A104" t="s">
        <v>507</v>
      </c>
      <c r="B104" t="s">
        <v>508</v>
      </c>
      <c r="C104">
        <v>33</v>
      </c>
      <c r="D104" t="s">
        <v>325</v>
      </c>
      <c r="E104">
        <v>5111</v>
      </c>
      <c r="F104" t="s">
        <v>509</v>
      </c>
      <c r="G104">
        <v>866</v>
      </c>
      <c r="H104" t="s">
        <v>514</v>
      </c>
      <c r="I104">
        <v>2013</v>
      </c>
      <c r="J104">
        <v>2013</v>
      </c>
      <c r="K104" t="s">
        <v>515</v>
      </c>
      <c r="L104">
        <v>12305000</v>
      </c>
      <c r="N104" t="s">
        <v>444</v>
      </c>
    </row>
    <row r="105" spans="1:14" x14ac:dyDescent="0.25">
      <c r="A105" t="s">
        <v>507</v>
      </c>
      <c r="B105" t="s">
        <v>508</v>
      </c>
      <c r="C105">
        <v>33</v>
      </c>
      <c r="D105" t="s">
        <v>325</v>
      </c>
      <c r="E105">
        <v>5111</v>
      </c>
      <c r="F105" t="s">
        <v>509</v>
      </c>
      <c r="G105">
        <v>866</v>
      </c>
      <c r="H105" t="s">
        <v>514</v>
      </c>
      <c r="I105">
        <v>2014</v>
      </c>
      <c r="J105">
        <v>2014</v>
      </c>
      <c r="K105" t="s">
        <v>515</v>
      </c>
      <c r="L105">
        <v>12220000</v>
      </c>
      <c r="N105" t="s">
        <v>444</v>
      </c>
    </row>
    <row r="106" spans="1:14" x14ac:dyDescent="0.25">
      <c r="A106" t="s">
        <v>507</v>
      </c>
      <c r="B106" t="s">
        <v>508</v>
      </c>
      <c r="C106">
        <v>33</v>
      </c>
      <c r="D106" t="s">
        <v>325</v>
      </c>
      <c r="E106">
        <v>5111</v>
      </c>
      <c r="F106" t="s">
        <v>509</v>
      </c>
      <c r="G106">
        <v>866</v>
      </c>
      <c r="H106" t="s">
        <v>514</v>
      </c>
      <c r="I106">
        <v>2015</v>
      </c>
      <c r="J106">
        <v>2015</v>
      </c>
      <c r="K106" t="s">
        <v>515</v>
      </c>
      <c r="L106">
        <v>11925000</v>
      </c>
      <c r="M106" t="s">
        <v>516</v>
      </c>
      <c r="N106" t="s">
        <v>517</v>
      </c>
    </row>
    <row r="107" spans="1:14" x14ac:dyDescent="0.25">
      <c r="A107" t="s">
        <v>507</v>
      </c>
      <c r="B107" t="s">
        <v>508</v>
      </c>
      <c r="C107">
        <v>33</v>
      </c>
      <c r="D107" t="s">
        <v>325</v>
      </c>
      <c r="E107">
        <v>5111</v>
      </c>
      <c r="F107" t="s">
        <v>509</v>
      </c>
      <c r="G107">
        <v>866</v>
      </c>
      <c r="H107" t="s">
        <v>514</v>
      </c>
      <c r="I107">
        <v>2016</v>
      </c>
      <c r="J107">
        <v>2016</v>
      </c>
      <c r="K107" t="s">
        <v>515</v>
      </c>
      <c r="L107">
        <v>12035000</v>
      </c>
      <c r="M107" t="s">
        <v>516</v>
      </c>
      <c r="N107" t="s">
        <v>517</v>
      </c>
    </row>
    <row r="108" spans="1:14" x14ac:dyDescent="0.25">
      <c r="A108" t="s">
        <v>507</v>
      </c>
      <c r="B108" t="s">
        <v>508</v>
      </c>
      <c r="C108">
        <v>33</v>
      </c>
      <c r="D108" t="s">
        <v>325</v>
      </c>
      <c r="E108">
        <v>5112</v>
      </c>
      <c r="F108" t="s">
        <v>509</v>
      </c>
      <c r="G108">
        <v>1057</v>
      </c>
      <c r="H108" t="s">
        <v>518</v>
      </c>
      <c r="I108">
        <v>2012</v>
      </c>
      <c r="J108">
        <v>2012</v>
      </c>
      <c r="K108" t="s">
        <v>519</v>
      </c>
      <c r="L108">
        <v>166000</v>
      </c>
      <c r="M108" t="s">
        <v>520</v>
      </c>
      <c r="N108" t="s">
        <v>521</v>
      </c>
    </row>
    <row r="109" spans="1:14" x14ac:dyDescent="0.25">
      <c r="A109" t="s">
        <v>507</v>
      </c>
      <c r="B109" t="s">
        <v>508</v>
      </c>
      <c r="C109">
        <v>33</v>
      </c>
      <c r="D109" t="s">
        <v>325</v>
      </c>
      <c r="E109">
        <v>5112</v>
      </c>
      <c r="F109" t="s">
        <v>509</v>
      </c>
      <c r="G109">
        <v>1057</v>
      </c>
      <c r="H109" t="s">
        <v>518</v>
      </c>
      <c r="I109">
        <v>2013</v>
      </c>
      <c r="J109">
        <v>2013</v>
      </c>
      <c r="K109" t="s">
        <v>519</v>
      </c>
      <c r="L109">
        <v>166500</v>
      </c>
      <c r="M109" t="s">
        <v>520</v>
      </c>
      <c r="N109" t="s">
        <v>521</v>
      </c>
    </row>
    <row r="110" spans="1:14" x14ac:dyDescent="0.25">
      <c r="A110" t="s">
        <v>507</v>
      </c>
      <c r="B110" t="s">
        <v>508</v>
      </c>
      <c r="C110">
        <v>33</v>
      </c>
      <c r="D110" t="s">
        <v>325</v>
      </c>
      <c r="E110">
        <v>5112</v>
      </c>
      <c r="F110" t="s">
        <v>509</v>
      </c>
      <c r="G110">
        <v>1057</v>
      </c>
      <c r="H110" t="s">
        <v>518</v>
      </c>
      <c r="I110">
        <v>2014</v>
      </c>
      <c r="J110">
        <v>2014</v>
      </c>
      <c r="K110" t="s">
        <v>519</v>
      </c>
      <c r="L110">
        <v>167000</v>
      </c>
      <c r="M110" t="s">
        <v>520</v>
      </c>
      <c r="N110" t="s">
        <v>521</v>
      </c>
    </row>
    <row r="111" spans="1:14" x14ac:dyDescent="0.25">
      <c r="A111" t="s">
        <v>507</v>
      </c>
      <c r="B111" t="s">
        <v>508</v>
      </c>
      <c r="C111">
        <v>33</v>
      </c>
      <c r="D111" t="s">
        <v>325</v>
      </c>
      <c r="E111">
        <v>5112</v>
      </c>
      <c r="F111" t="s">
        <v>509</v>
      </c>
      <c r="G111">
        <v>1057</v>
      </c>
      <c r="H111" t="s">
        <v>518</v>
      </c>
      <c r="I111">
        <v>2015</v>
      </c>
      <c r="J111">
        <v>2015</v>
      </c>
      <c r="K111" t="s">
        <v>519</v>
      </c>
      <c r="L111">
        <v>167470</v>
      </c>
      <c r="M111" t="s">
        <v>512</v>
      </c>
      <c r="N111" t="s">
        <v>513</v>
      </c>
    </row>
    <row r="112" spans="1:14" x14ac:dyDescent="0.25">
      <c r="A112" t="s">
        <v>507</v>
      </c>
      <c r="B112" t="s">
        <v>508</v>
      </c>
      <c r="C112">
        <v>33</v>
      </c>
      <c r="D112" t="s">
        <v>325</v>
      </c>
      <c r="E112">
        <v>5112</v>
      </c>
      <c r="F112" t="s">
        <v>509</v>
      </c>
      <c r="G112">
        <v>1057</v>
      </c>
      <c r="H112" t="s">
        <v>518</v>
      </c>
      <c r="I112">
        <v>2016</v>
      </c>
      <c r="J112">
        <v>2016</v>
      </c>
      <c r="K112" t="s">
        <v>519</v>
      </c>
      <c r="L112">
        <v>169646</v>
      </c>
      <c r="M112" t="s">
        <v>512</v>
      </c>
      <c r="N112" t="s">
        <v>513</v>
      </c>
    </row>
    <row r="113" spans="1:14" x14ac:dyDescent="0.25">
      <c r="A113" t="s">
        <v>507</v>
      </c>
      <c r="B113" t="s">
        <v>508</v>
      </c>
      <c r="C113">
        <v>33</v>
      </c>
      <c r="D113" t="s">
        <v>325</v>
      </c>
      <c r="E113">
        <v>5112</v>
      </c>
      <c r="F113" t="s">
        <v>509</v>
      </c>
      <c r="G113">
        <v>1068</v>
      </c>
      <c r="H113" t="s">
        <v>522</v>
      </c>
      <c r="I113">
        <v>2012</v>
      </c>
      <c r="J113">
        <v>2012</v>
      </c>
      <c r="K113" t="s">
        <v>519</v>
      </c>
      <c r="L113">
        <v>1400</v>
      </c>
      <c r="M113" t="s">
        <v>520</v>
      </c>
      <c r="N113" t="s">
        <v>521</v>
      </c>
    </row>
    <row r="114" spans="1:14" x14ac:dyDescent="0.25">
      <c r="A114" t="s">
        <v>507</v>
      </c>
      <c r="B114" t="s">
        <v>508</v>
      </c>
      <c r="C114">
        <v>33</v>
      </c>
      <c r="D114" t="s">
        <v>325</v>
      </c>
      <c r="E114">
        <v>5112</v>
      </c>
      <c r="F114" t="s">
        <v>509</v>
      </c>
      <c r="G114">
        <v>1068</v>
      </c>
      <c r="H114" t="s">
        <v>522</v>
      </c>
      <c r="I114">
        <v>2013</v>
      </c>
      <c r="J114">
        <v>2013</v>
      </c>
      <c r="K114" t="s">
        <v>519</v>
      </c>
      <c r="L114">
        <v>1450</v>
      </c>
      <c r="M114" t="s">
        <v>520</v>
      </c>
      <c r="N114" t="s">
        <v>521</v>
      </c>
    </row>
    <row r="115" spans="1:14" x14ac:dyDescent="0.25">
      <c r="A115" t="s">
        <v>507</v>
      </c>
      <c r="B115" t="s">
        <v>508</v>
      </c>
      <c r="C115">
        <v>33</v>
      </c>
      <c r="D115" t="s">
        <v>325</v>
      </c>
      <c r="E115">
        <v>5112</v>
      </c>
      <c r="F115" t="s">
        <v>509</v>
      </c>
      <c r="G115">
        <v>1068</v>
      </c>
      <c r="H115" t="s">
        <v>522</v>
      </c>
      <c r="I115">
        <v>2014</v>
      </c>
      <c r="J115">
        <v>2014</v>
      </c>
      <c r="K115" t="s">
        <v>519</v>
      </c>
      <c r="L115">
        <v>1450</v>
      </c>
      <c r="M115" t="s">
        <v>520</v>
      </c>
      <c r="N115" t="s">
        <v>521</v>
      </c>
    </row>
    <row r="116" spans="1:14" x14ac:dyDescent="0.25">
      <c r="A116" t="s">
        <v>507</v>
      </c>
      <c r="B116" t="s">
        <v>508</v>
      </c>
      <c r="C116">
        <v>33</v>
      </c>
      <c r="D116" t="s">
        <v>325</v>
      </c>
      <c r="E116">
        <v>5112</v>
      </c>
      <c r="F116" t="s">
        <v>509</v>
      </c>
      <c r="G116">
        <v>1068</v>
      </c>
      <c r="H116" t="s">
        <v>522</v>
      </c>
      <c r="I116">
        <v>2015</v>
      </c>
      <c r="J116">
        <v>2015</v>
      </c>
      <c r="K116" t="s">
        <v>519</v>
      </c>
      <c r="L116">
        <v>1446</v>
      </c>
      <c r="M116" t="s">
        <v>512</v>
      </c>
      <c r="N116" t="s">
        <v>513</v>
      </c>
    </row>
    <row r="117" spans="1:14" x14ac:dyDescent="0.25">
      <c r="A117" t="s">
        <v>507</v>
      </c>
      <c r="B117" t="s">
        <v>508</v>
      </c>
      <c r="C117">
        <v>33</v>
      </c>
      <c r="D117" t="s">
        <v>325</v>
      </c>
      <c r="E117">
        <v>5112</v>
      </c>
      <c r="F117" t="s">
        <v>509</v>
      </c>
      <c r="G117">
        <v>1068</v>
      </c>
      <c r="H117" t="s">
        <v>522</v>
      </c>
      <c r="I117">
        <v>2016</v>
      </c>
      <c r="J117">
        <v>2016</v>
      </c>
      <c r="K117" t="s">
        <v>519</v>
      </c>
      <c r="L117">
        <v>1477</v>
      </c>
      <c r="M117" t="s">
        <v>512</v>
      </c>
      <c r="N117" t="s">
        <v>513</v>
      </c>
    </row>
    <row r="118" spans="1:14" x14ac:dyDescent="0.25">
      <c r="A118" t="s">
        <v>507</v>
      </c>
      <c r="B118" t="s">
        <v>508</v>
      </c>
      <c r="C118">
        <v>33</v>
      </c>
      <c r="D118" t="s">
        <v>325</v>
      </c>
      <c r="E118">
        <v>5112</v>
      </c>
      <c r="F118" t="s">
        <v>509</v>
      </c>
      <c r="G118">
        <v>1072</v>
      </c>
      <c r="H118" t="s">
        <v>523</v>
      </c>
      <c r="I118">
        <v>2012</v>
      </c>
      <c r="J118">
        <v>2012</v>
      </c>
      <c r="K118" t="s">
        <v>519</v>
      </c>
      <c r="L118">
        <v>330</v>
      </c>
      <c r="M118" t="s">
        <v>520</v>
      </c>
      <c r="N118" t="s">
        <v>521</v>
      </c>
    </row>
    <row r="119" spans="1:14" x14ac:dyDescent="0.25">
      <c r="A119" t="s">
        <v>507</v>
      </c>
      <c r="B119" t="s">
        <v>508</v>
      </c>
      <c r="C119">
        <v>33</v>
      </c>
      <c r="D119" t="s">
        <v>325</v>
      </c>
      <c r="E119">
        <v>5112</v>
      </c>
      <c r="F119" t="s">
        <v>509</v>
      </c>
      <c r="G119">
        <v>1072</v>
      </c>
      <c r="H119" t="s">
        <v>523</v>
      </c>
      <c r="I119">
        <v>2013</v>
      </c>
      <c r="J119">
        <v>2013</v>
      </c>
      <c r="K119" t="s">
        <v>519</v>
      </c>
      <c r="L119">
        <v>350</v>
      </c>
      <c r="M119" t="s">
        <v>520</v>
      </c>
      <c r="N119" t="s">
        <v>521</v>
      </c>
    </row>
    <row r="120" spans="1:14" x14ac:dyDescent="0.25">
      <c r="A120" t="s">
        <v>507</v>
      </c>
      <c r="B120" t="s">
        <v>508</v>
      </c>
      <c r="C120">
        <v>33</v>
      </c>
      <c r="D120" t="s">
        <v>325</v>
      </c>
      <c r="E120">
        <v>5112</v>
      </c>
      <c r="F120" t="s">
        <v>509</v>
      </c>
      <c r="G120">
        <v>1072</v>
      </c>
      <c r="H120" t="s">
        <v>523</v>
      </c>
      <c r="I120">
        <v>2014</v>
      </c>
      <c r="J120">
        <v>2014</v>
      </c>
      <c r="K120" t="s">
        <v>519</v>
      </c>
      <c r="L120">
        <v>350</v>
      </c>
      <c r="M120" t="s">
        <v>520</v>
      </c>
      <c r="N120" t="s">
        <v>521</v>
      </c>
    </row>
    <row r="121" spans="1:14" x14ac:dyDescent="0.25">
      <c r="A121" t="s">
        <v>507</v>
      </c>
      <c r="B121" t="s">
        <v>508</v>
      </c>
      <c r="C121">
        <v>33</v>
      </c>
      <c r="D121" t="s">
        <v>325</v>
      </c>
      <c r="E121">
        <v>5112</v>
      </c>
      <c r="F121" t="s">
        <v>509</v>
      </c>
      <c r="G121">
        <v>1072</v>
      </c>
      <c r="H121" t="s">
        <v>523</v>
      </c>
      <c r="I121">
        <v>2015</v>
      </c>
      <c r="J121">
        <v>2015</v>
      </c>
      <c r="K121" t="s">
        <v>519</v>
      </c>
      <c r="L121">
        <v>342</v>
      </c>
      <c r="M121" t="s">
        <v>512</v>
      </c>
      <c r="N121" t="s">
        <v>513</v>
      </c>
    </row>
    <row r="122" spans="1:14" x14ac:dyDescent="0.25">
      <c r="A122" t="s">
        <v>507</v>
      </c>
      <c r="B122" t="s">
        <v>508</v>
      </c>
      <c r="C122">
        <v>33</v>
      </c>
      <c r="D122" t="s">
        <v>325</v>
      </c>
      <c r="E122">
        <v>5112</v>
      </c>
      <c r="F122" t="s">
        <v>509</v>
      </c>
      <c r="G122">
        <v>1072</v>
      </c>
      <c r="H122" t="s">
        <v>523</v>
      </c>
      <c r="I122">
        <v>2016</v>
      </c>
      <c r="J122">
        <v>2016</v>
      </c>
      <c r="K122" t="s">
        <v>519</v>
      </c>
      <c r="L122">
        <v>323</v>
      </c>
      <c r="M122" t="s">
        <v>512</v>
      </c>
      <c r="N122" t="s">
        <v>513</v>
      </c>
    </row>
    <row r="123" spans="1:14" x14ac:dyDescent="0.25">
      <c r="A123" t="s">
        <v>507</v>
      </c>
      <c r="B123" t="s">
        <v>508</v>
      </c>
      <c r="C123">
        <v>33</v>
      </c>
      <c r="D123" t="s">
        <v>325</v>
      </c>
      <c r="E123">
        <v>5111</v>
      </c>
      <c r="F123" t="s">
        <v>509</v>
      </c>
      <c r="G123">
        <v>1016</v>
      </c>
      <c r="H123" t="s">
        <v>73</v>
      </c>
      <c r="I123">
        <v>2012</v>
      </c>
      <c r="J123">
        <v>2012</v>
      </c>
      <c r="K123" t="s">
        <v>515</v>
      </c>
      <c r="L123">
        <v>30000</v>
      </c>
      <c r="M123" t="s">
        <v>520</v>
      </c>
      <c r="N123" t="s">
        <v>521</v>
      </c>
    </row>
    <row r="124" spans="1:14" x14ac:dyDescent="0.25">
      <c r="A124" t="s">
        <v>507</v>
      </c>
      <c r="B124" t="s">
        <v>508</v>
      </c>
      <c r="C124">
        <v>33</v>
      </c>
      <c r="D124" t="s">
        <v>325</v>
      </c>
      <c r="E124">
        <v>5111</v>
      </c>
      <c r="F124" t="s">
        <v>509</v>
      </c>
      <c r="G124">
        <v>1016</v>
      </c>
      <c r="H124" t="s">
        <v>73</v>
      </c>
      <c r="I124">
        <v>2013</v>
      </c>
      <c r="J124">
        <v>2013</v>
      </c>
      <c r="K124" t="s">
        <v>515</v>
      </c>
      <c r="L124">
        <v>30000</v>
      </c>
      <c r="M124" t="s">
        <v>520</v>
      </c>
      <c r="N124" t="s">
        <v>521</v>
      </c>
    </row>
    <row r="125" spans="1:14" x14ac:dyDescent="0.25">
      <c r="A125" t="s">
        <v>507</v>
      </c>
      <c r="B125" t="s">
        <v>508</v>
      </c>
      <c r="C125">
        <v>33</v>
      </c>
      <c r="D125" t="s">
        <v>325</v>
      </c>
      <c r="E125">
        <v>5111</v>
      </c>
      <c r="F125" t="s">
        <v>509</v>
      </c>
      <c r="G125">
        <v>1016</v>
      </c>
      <c r="H125" t="s">
        <v>73</v>
      </c>
      <c r="I125">
        <v>2014</v>
      </c>
      <c r="J125">
        <v>2014</v>
      </c>
      <c r="K125" t="s">
        <v>515</v>
      </c>
      <c r="L125">
        <v>30000</v>
      </c>
      <c r="M125" t="s">
        <v>520</v>
      </c>
      <c r="N125" t="s">
        <v>521</v>
      </c>
    </row>
    <row r="126" spans="1:14" x14ac:dyDescent="0.25">
      <c r="A126" t="s">
        <v>507</v>
      </c>
      <c r="B126" t="s">
        <v>508</v>
      </c>
      <c r="C126">
        <v>33</v>
      </c>
      <c r="D126" t="s">
        <v>325</v>
      </c>
      <c r="E126">
        <v>5111</v>
      </c>
      <c r="F126" t="s">
        <v>509</v>
      </c>
      <c r="G126">
        <v>1016</v>
      </c>
      <c r="H126" t="s">
        <v>73</v>
      </c>
      <c r="I126">
        <v>2015</v>
      </c>
      <c r="J126">
        <v>2015</v>
      </c>
      <c r="K126" t="s">
        <v>515</v>
      </c>
      <c r="L126">
        <v>30005</v>
      </c>
      <c r="M126" t="s">
        <v>512</v>
      </c>
      <c r="N126" t="s">
        <v>513</v>
      </c>
    </row>
    <row r="127" spans="1:14" x14ac:dyDescent="0.25">
      <c r="A127" t="s">
        <v>507</v>
      </c>
      <c r="B127" t="s">
        <v>508</v>
      </c>
      <c r="C127">
        <v>33</v>
      </c>
      <c r="D127" t="s">
        <v>325</v>
      </c>
      <c r="E127">
        <v>5111</v>
      </c>
      <c r="F127" t="s">
        <v>509</v>
      </c>
      <c r="G127">
        <v>1016</v>
      </c>
      <c r="H127" t="s">
        <v>73</v>
      </c>
      <c r="I127">
        <v>2016</v>
      </c>
      <c r="J127">
        <v>2016</v>
      </c>
      <c r="K127" t="s">
        <v>515</v>
      </c>
      <c r="L127">
        <v>30074</v>
      </c>
      <c r="M127" t="s">
        <v>512</v>
      </c>
      <c r="N127" t="s">
        <v>513</v>
      </c>
    </row>
    <row r="128" spans="1:14" x14ac:dyDescent="0.25">
      <c r="A128" t="s">
        <v>507</v>
      </c>
      <c r="B128" t="s">
        <v>508</v>
      </c>
      <c r="C128">
        <v>33</v>
      </c>
      <c r="D128" t="s">
        <v>325</v>
      </c>
      <c r="E128">
        <v>5111</v>
      </c>
      <c r="F128" t="s">
        <v>509</v>
      </c>
      <c r="G128">
        <v>1096</v>
      </c>
      <c r="H128" t="s">
        <v>74</v>
      </c>
      <c r="I128">
        <v>2012</v>
      </c>
      <c r="J128">
        <v>2012</v>
      </c>
      <c r="K128" t="s">
        <v>515</v>
      </c>
      <c r="L128">
        <v>407000</v>
      </c>
      <c r="M128" t="s">
        <v>520</v>
      </c>
      <c r="N128" t="s">
        <v>521</v>
      </c>
    </row>
    <row r="129" spans="1:14" x14ac:dyDescent="0.25">
      <c r="A129" t="s">
        <v>507</v>
      </c>
      <c r="B129" t="s">
        <v>508</v>
      </c>
      <c r="C129">
        <v>33</v>
      </c>
      <c r="D129" t="s">
        <v>325</v>
      </c>
      <c r="E129">
        <v>5111</v>
      </c>
      <c r="F129" t="s">
        <v>509</v>
      </c>
      <c r="G129">
        <v>1096</v>
      </c>
      <c r="H129" t="s">
        <v>74</v>
      </c>
      <c r="I129">
        <v>2013</v>
      </c>
      <c r="J129">
        <v>2013</v>
      </c>
      <c r="K129" t="s">
        <v>515</v>
      </c>
      <c r="L129">
        <v>407000</v>
      </c>
      <c r="M129" t="s">
        <v>520</v>
      </c>
      <c r="N129" t="s">
        <v>521</v>
      </c>
    </row>
    <row r="130" spans="1:14" x14ac:dyDescent="0.25">
      <c r="A130" t="s">
        <v>507</v>
      </c>
      <c r="B130" t="s">
        <v>508</v>
      </c>
      <c r="C130">
        <v>33</v>
      </c>
      <c r="D130" t="s">
        <v>325</v>
      </c>
      <c r="E130">
        <v>5111</v>
      </c>
      <c r="F130" t="s">
        <v>509</v>
      </c>
      <c r="G130">
        <v>1096</v>
      </c>
      <c r="H130" t="s">
        <v>74</v>
      </c>
      <c r="I130">
        <v>2014</v>
      </c>
      <c r="J130">
        <v>2014</v>
      </c>
      <c r="K130" t="s">
        <v>515</v>
      </c>
      <c r="L130">
        <v>408000</v>
      </c>
      <c r="M130" t="s">
        <v>520</v>
      </c>
      <c r="N130" t="s">
        <v>521</v>
      </c>
    </row>
    <row r="131" spans="1:14" x14ac:dyDescent="0.25">
      <c r="A131" t="s">
        <v>507</v>
      </c>
      <c r="B131" t="s">
        <v>508</v>
      </c>
      <c r="C131">
        <v>33</v>
      </c>
      <c r="D131" t="s">
        <v>325</v>
      </c>
      <c r="E131">
        <v>5111</v>
      </c>
      <c r="F131" t="s">
        <v>509</v>
      </c>
      <c r="G131">
        <v>1096</v>
      </c>
      <c r="H131" t="s">
        <v>74</v>
      </c>
      <c r="I131">
        <v>2015</v>
      </c>
      <c r="J131">
        <v>2015</v>
      </c>
      <c r="K131" t="s">
        <v>515</v>
      </c>
      <c r="L131">
        <v>400391</v>
      </c>
      <c r="M131" t="s">
        <v>512</v>
      </c>
      <c r="N131" t="s">
        <v>513</v>
      </c>
    </row>
    <row r="132" spans="1:14" x14ac:dyDescent="0.25">
      <c r="A132" t="s">
        <v>507</v>
      </c>
      <c r="B132" t="s">
        <v>508</v>
      </c>
      <c r="C132">
        <v>33</v>
      </c>
      <c r="D132" t="s">
        <v>325</v>
      </c>
      <c r="E132">
        <v>5111</v>
      </c>
      <c r="F132" t="s">
        <v>509</v>
      </c>
      <c r="G132">
        <v>1096</v>
      </c>
      <c r="H132" t="s">
        <v>74</v>
      </c>
      <c r="I132">
        <v>2016</v>
      </c>
      <c r="J132">
        <v>2016</v>
      </c>
      <c r="K132" t="s">
        <v>515</v>
      </c>
      <c r="L132">
        <v>398802</v>
      </c>
      <c r="M132" t="s">
        <v>512</v>
      </c>
      <c r="N132" t="s">
        <v>513</v>
      </c>
    </row>
    <row r="133" spans="1:14" x14ac:dyDescent="0.25">
      <c r="A133" t="s">
        <v>507</v>
      </c>
      <c r="B133" t="s">
        <v>508</v>
      </c>
      <c r="C133">
        <v>33</v>
      </c>
      <c r="D133" t="s">
        <v>325</v>
      </c>
      <c r="E133">
        <v>5111</v>
      </c>
      <c r="F133" t="s">
        <v>509</v>
      </c>
      <c r="G133">
        <v>1110</v>
      </c>
      <c r="H133" t="s">
        <v>524</v>
      </c>
      <c r="I133">
        <v>2012</v>
      </c>
      <c r="J133">
        <v>2012</v>
      </c>
      <c r="K133" t="s">
        <v>515</v>
      </c>
      <c r="L133">
        <v>4000</v>
      </c>
      <c r="M133" t="s">
        <v>520</v>
      </c>
      <c r="N133" t="s">
        <v>521</v>
      </c>
    </row>
    <row r="134" spans="1:14" x14ac:dyDescent="0.25">
      <c r="A134" t="s">
        <v>507</v>
      </c>
      <c r="B134" t="s">
        <v>508</v>
      </c>
      <c r="C134">
        <v>33</v>
      </c>
      <c r="D134" t="s">
        <v>325</v>
      </c>
      <c r="E134">
        <v>5111</v>
      </c>
      <c r="F134" t="s">
        <v>509</v>
      </c>
      <c r="G134">
        <v>1110</v>
      </c>
      <c r="H134" t="s">
        <v>524</v>
      </c>
      <c r="I134">
        <v>2013</v>
      </c>
      <c r="J134">
        <v>2013</v>
      </c>
      <c r="K134" t="s">
        <v>515</v>
      </c>
      <c r="L134">
        <v>4000</v>
      </c>
      <c r="M134" t="s">
        <v>520</v>
      </c>
      <c r="N134" t="s">
        <v>521</v>
      </c>
    </row>
    <row r="135" spans="1:14" x14ac:dyDescent="0.25">
      <c r="A135" t="s">
        <v>507</v>
      </c>
      <c r="B135" t="s">
        <v>508</v>
      </c>
      <c r="C135">
        <v>33</v>
      </c>
      <c r="D135" t="s">
        <v>325</v>
      </c>
      <c r="E135">
        <v>5111</v>
      </c>
      <c r="F135" t="s">
        <v>509</v>
      </c>
      <c r="G135">
        <v>1110</v>
      </c>
      <c r="H135" t="s">
        <v>524</v>
      </c>
      <c r="I135">
        <v>2014</v>
      </c>
      <c r="J135">
        <v>2014</v>
      </c>
      <c r="K135" t="s">
        <v>515</v>
      </c>
      <c r="L135">
        <v>4000</v>
      </c>
      <c r="M135" t="s">
        <v>520</v>
      </c>
      <c r="N135" t="s">
        <v>521</v>
      </c>
    </row>
    <row r="136" spans="1:14" x14ac:dyDescent="0.25">
      <c r="A136" t="s">
        <v>507</v>
      </c>
      <c r="B136" t="s">
        <v>508</v>
      </c>
      <c r="C136">
        <v>33</v>
      </c>
      <c r="D136" t="s">
        <v>325</v>
      </c>
      <c r="E136">
        <v>5111</v>
      </c>
      <c r="F136" t="s">
        <v>509</v>
      </c>
      <c r="G136">
        <v>1110</v>
      </c>
      <c r="H136" t="s">
        <v>524</v>
      </c>
      <c r="I136">
        <v>2015</v>
      </c>
      <c r="J136">
        <v>2015</v>
      </c>
      <c r="K136" t="s">
        <v>515</v>
      </c>
      <c r="L136">
        <v>4000</v>
      </c>
      <c r="M136" t="s">
        <v>512</v>
      </c>
      <c r="N136" t="s">
        <v>513</v>
      </c>
    </row>
    <row r="137" spans="1:14" x14ac:dyDescent="0.25">
      <c r="A137" t="s">
        <v>507</v>
      </c>
      <c r="B137" t="s">
        <v>508</v>
      </c>
      <c r="C137">
        <v>33</v>
      </c>
      <c r="D137" t="s">
        <v>325</v>
      </c>
      <c r="E137">
        <v>5111</v>
      </c>
      <c r="F137" t="s">
        <v>509</v>
      </c>
      <c r="G137">
        <v>1110</v>
      </c>
      <c r="H137" t="s">
        <v>524</v>
      </c>
      <c r="I137">
        <v>2016</v>
      </c>
      <c r="J137">
        <v>2016</v>
      </c>
      <c r="K137" t="s">
        <v>515</v>
      </c>
      <c r="L137">
        <v>4000</v>
      </c>
      <c r="M137" t="s">
        <v>512</v>
      </c>
      <c r="N137" t="s">
        <v>513</v>
      </c>
    </row>
    <row r="138" spans="1:14" x14ac:dyDescent="0.25">
      <c r="A138" t="s">
        <v>507</v>
      </c>
      <c r="B138" t="s">
        <v>508</v>
      </c>
      <c r="C138">
        <v>33</v>
      </c>
      <c r="D138" t="s">
        <v>325</v>
      </c>
      <c r="E138">
        <v>5111</v>
      </c>
      <c r="F138" t="s">
        <v>509</v>
      </c>
      <c r="G138">
        <v>1034</v>
      </c>
      <c r="H138" t="s">
        <v>525</v>
      </c>
      <c r="I138">
        <v>2012</v>
      </c>
      <c r="J138">
        <v>2012</v>
      </c>
      <c r="K138" t="s">
        <v>515</v>
      </c>
      <c r="L138">
        <v>12625000</v>
      </c>
      <c r="N138" t="s">
        <v>444</v>
      </c>
    </row>
    <row r="139" spans="1:14" x14ac:dyDescent="0.25">
      <c r="A139" t="s">
        <v>507</v>
      </c>
      <c r="B139" t="s">
        <v>508</v>
      </c>
      <c r="C139">
        <v>33</v>
      </c>
      <c r="D139" t="s">
        <v>325</v>
      </c>
      <c r="E139">
        <v>5111</v>
      </c>
      <c r="F139" t="s">
        <v>509</v>
      </c>
      <c r="G139">
        <v>1034</v>
      </c>
      <c r="H139" t="s">
        <v>525</v>
      </c>
      <c r="I139">
        <v>2013</v>
      </c>
      <c r="J139">
        <v>2013</v>
      </c>
      <c r="K139" t="s">
        <v>515</v>
      </c>
      <c r="L139">
        <v>12610000</v>
      </c>
      <c r="N139" t="s">
        <v>444</v>
      </c>
    </row>
    <row r="140" spans="1:14" x14ac:dyDescent="0.25">
      <c r="A140" t="s">
        <v>507</v>
      </c>
      <c r="B140" t="s">
        <v>508</v>
      </c>
      <c r="C140">
        <v>33</v>
      </c>
      <c r="D140" t="s">
        <v>325</v>
      </c>
      <c r="E140">
        <v>5111</v>
      </c>
      <c r="F140" t="s">
        <v>509</v>
      </c>
      <c r="G140">
        <v>1034</v>
      </c>
      <c r="H140" t="s">
        <v>525</v>
      </c>
      <c r="I140">
        <v>2014</v>
      </c>
      <c r="J140">
        <v>2014</v>
      </c>
      <c r="K140" t="s">
        <v>515</v>
      </c>
      <c r="L140">
        <v>12940000</v>
      </c>
      <c r="N140" t="s">
        <v>444</v>
      </c>
    </row>
    <row r="141" spans="1:14" x14ac:dyDescent="0.25">
      <c r="A141" t="s">
        <v>507</v>
      </c>
      <c r="B141" t="s">
        <v>508</v>
      </c>
      <c r="C141">
        <v>33</v>
      </c>
      <c r="D141" t="s">
        <v>325</v>
      </c>
      <c r="E141">
        <v>5111</v>
      </c>
      <c r="F141" t="s">
        <v>509</v>
      </c>
      <c r="G141">
        <v>1034</v>
      </c>
      <c r="H141" t="s">
        <v>525</v>
      </c>
      <c r="I141">
        <v>2015</v>
      </c>
      <c r="J141">
        <v>2015</v>
      </c>
      <c r="K141" t="s">
        <v>515</v>
      </c>
      <c r="L141">
        <v>13247904</v>
      </c>
      <c r="M141" t="s">
        <v>512</v>
      </c>
      <c r="N141" t="s">
        <v>513</v>
      </c>
    </row>
    <row r="142" spans="1:14" x14ac:dyDescent="0.25">
      <c r="A142" t="s">
        <v>507</v>
      </c>
      <c r="B142" t="s">
        <v>508</v>
      </c>
      <c r="C142">
        <v>33</v>
      </c>
      <c r="D142" t="s">
        <v>325</v>
      </c>
      <c r="E142">
        <v>5111</v>
      </c>
      <c r="F142" t="s">
        <v>509</v>
      </c>
      <c r="G142">
        <v>1034</v>
      </c>
      <c r="H142" t="s">
        <v>525</v>
      </c>
      <c r="I142">
        <v>2016</v>
      </c>
      <c r="J142">
        <v>2016</v>
      </c>
      <c r="K142" t="s">
        <v>515</v>
      </c>
      <c r="L142">
        <v>12770461</v>
      </c>
      <c r="M142" t="s">
        <v>512</v>
      </c>
      <c r="N142" t="s">
        <v>513</v>
      </c>
    </row>
    <row r="143" spans="1:14" x14ac:dyDescent="0.25">
      <c r="A143" t="s">
        <v>507</v>
      </c>
      <c r="B143" t="s">
        <v>508</v>
      </c>
      <c r="C143">
        <v>33</v>
      </c>
      <c r="D143" t="s">
        <v>325</v>
      </c>
      <c r="E143">
        <v>5111</v>
      </c>
      <c r="F143" t="s">
        <v>509</v>
      </c>
      <c r="G143">
        <v>976</v>
      </c>
      <c r="H143" t="s">
        <v>72</v>
      </c>
      <c r="I143">
        <v>2012</v>
      </c>
      <c r="J143">
        <v>2012</v>
      </c>
      <c r="K143" t="s">
        <v>515</v>
      </c>
      <c r="L143">
        <v>888300</v>
      </c>
      <c r="N143" t="s">
        <v>444</v>
      </c>
    </row>
    <row r="144" spans="1:14" x14ac:dyDescent="0.25">
      <c r="A144" t="s">
        <v>507</v>
      </c>
      <c r="B144" t="s">
        <v>508</v>
      </c>
      <c r="C144">
        <v>33</v>
      </c>
      <c r="D144" t="s">
        <v>325</v>
      </c>
      <c r="E144">
        <v>5111</v>
      </c>
      <c r="F144" t="s">
        <v>509</v>
      </c>
      <c r="G144">
        <v>976</v>
      </c>
      <c r="H144" t="s">
        <v>72</v>
      </c>
      <c r="I144">
        <v>2013</v>
      </c>
      <c r="J144">
        <v>2013</v>
      </c>
      <c r="K144" t="s">
        <v>515</v>
      </c>
      <c r="L144">
        <v>899500</v>
      </c>
      <c r="N144" t="s">
        <v>444</v>
      </c>
    </row>
    <row r="145" spans="1:14" x14ac:dyDescent="0.25">
      <c r="A145" t="s">
        <v>507</v>
      </c>
      <c r="B145" t="s">
        <v>508</v>
      </c>
      <c r="C145">
        <v>33</v>
      </c>
      <c r="D145" t="s">
        <v>325</v>
      </c>
      <c r="E145">
        <v>5111</v>
      </c>
      <c r="F145" t="s">
        <v>509</v>
      </c>
      <c r="G145">
        <v>976</v>
      </c>
      <c r="H145" t="s">
        <v>72</v>
      </c>
      <c r="I145">
        <v>2014</v>
      </c>
      <c r="J145">
        <v>2014</v>
      </c>
      <c r="K145" t="s">
        <v>515</v>
      </c>
      <c r="L145">
        <v>874700</v>
      </c>
      <c r="N145" t="s">
        <v>444</v>
      </c>
    </row>
    <row r="146" spans="1:14" x14ac:dyDescent="0.25">
      <c r="A146" t="s">
        <v>507</v>
      </c>
      <c r="B146" t="s">
        <v>508</v>
      </c>
      <c r="C146">
        <v>33</v>
      </c>
      <c r="D146" t="s">
        <v>325</v>
      </c>
      <c r="E146">
        <v>5111</v>
      </c>
      <c r="F146" t="s">
        <v>509</v>
      </c>
      <c r="G146">
        <v>976</v>
      </c>
      <c r="H146" t="s">
        <v>72</v>
      </c>
      <c r="I146">
        <v>2015</v>
      </c>
      <c r="J146">
        <v>2015</v>
      </c>
      <c r="K146" t="s">
        <v>515</v>
      </c>
      <c r="L146">
        <v>842300</v>
      </c>
      <c r="M146" t="s">
        <v>516</v>
      </c>
      <c r="N146" t="s">
        <v>517</v>
      </c>
    </row>
    <row r="147" spans="1:14" x14ac:dyDescent="0.25">
      <c r="A147" t="s">
        <v>507</v>
      </c>
      <c r="B147" t="s">
        <v>508</v>
      </c>
      <c r="C147">
        <v>33</v>
      </c>
      <c r="D147" t="s">
        <v>325</v>
      </c>
      <c r="E147">
        <v>5111</v>
      </c>
      <c r="F147" t="s">
        <v>509</v>
      </c>
      <c r="G147">
        <v>976</v>
      </c>
      <c r="H147" t="s">
        <v>72</v>
      </c>
      <c r="I147">
        <v>2016</v>
      </c>
      <c r="J147">
        <v>2016</v>
      </c>
      <c r="K147" t="s">
        <v>515</v>
      </c>
      <c r="L147">
        <v>826400</v>
      </c>
      <c r="M147" t="s">
        <v>516</v>
      </c>
      <c r="N147" t="s">
        <v>517</v>
      </c>
    </row>
    <row r="148" spans="1:14" x14ac:dyDescent="0.25">
      <c r="A148" t="s">
        <v>507</v>
      </c>
      <c r="B148" t="s">
        <v>508</v>
      </c>
      <c r="C148">
        <v>33</v>
      </c>
      <c r="D148" t="s">
        <v>325</v>
      </c>
      <c r="E148">
        <v>5112</v>
      </c>
      <c r="F148" t="s">
        <v>509</v>
      </c>
      <c r="G148">
        <v>1079</v>
      </c>
      <c r="H148" t="s">
        <v>526</v>
      </c>
      <c r="I148">
        <v>2012</v>
      </c>
      <c r="J148">
        <v>2012</v>
      </c>
      <c r="K148" t="s">
        <v>519</v>
      </c>
      <c r="L148">
        <v>5500</v>
      </c>
      <c r="M148" t="s">
        <v>520</v>
      </c>
      <c r="N148" t="s">
        <v>521</v>
      </c>
    </row>
    <row r="149" spans="1:14" x14ac:dyDescent="0.25">
      <c r="A149" t="s">
        <v>507</v>
      </c>
      <c r="B149" t="s">
        <v>508</v>
      </c>
      <c r="C149">
        <v>33</v>
      </c>
      <c r="D149" t="s">
        <v>325</v>
      </c>
      <c r="E149">
        <v>5112</v>
      </c>
      <c r="F149" t="s">
        <v>509</v>
      </c>
      <c r="G149">
        <v>1079</v>
      </c>
      <c r="H149" t="s">
        <v>526</v>
      </c>
      <c r="I149">
        <v>2013</v>
      </c>
      <c r="J149">
        <v>2013</v>
      </c>
      <c r="K149" t="s">
        <v>519</v>
      </c>
      <c r="L149">
        <v>5700</v>
      </c>
      <c r="M149" t="s">
        <v>520</v>
      </c>
      <c r="N149" t="s">
        <v>521</v>
      </c>
    </row>
    <row r="150" spans="1:14" x14ac:dyDescent="0.25">
      <c r="A150" t="s">
        <v>507</v>
      </c>
      <c r="B150" t="s">
        <v>508</v>
      </c>
      <c r="C150">
        <v>33</v>
      </c>
      <c r="D150" t="s">
        <v>325</v>
      </c>
      <c r="E150">
        <v>5112</v>
      </c>
      <c r="F150" t="s">
        <v>509</v>
      </c>
      <c r="G150">
        <v>1079</v>
      </c>
      <c r="H150" t="s">
        <v>526</v>
      </c>
      <c r="I150">
        <v>2014</v>
      </c>
      <c r="J150">
        <v>2014</v>
      </c>
      <c r="K150" t="s">
        <v>519</v>
      </c>
      <c r="L150">
        <v>5700</v>
      </c>
      <c r="M150" t="s">
        <v>520</v>
      </c>
      <c r="N150" t="s">
        <v>521</v>
      </c>
    </row>
    <row r="151" spans="1:14" x14ac:dyDescent="0.25">
      <c r="A151" t="s">
        <v>507</v>
      </c>
      <c r="B151" t="s">
        <v>508</v>
      </c>
      <c r="C151">
        <v>33</v>
      </c>
      <c r="D151" t="s">
        <v>325</v>
      </c>
      <c r="E151">
        <v>5112</v>
      </c>
      <c r="F151" t="s">
        <v>509</v>
      </c>
      <c r="G151">
        <v>1079</v>
      </c>
      <c r="H151" t="s">
        <v>526</v>
      </c>
      <c r="I151">
        <v>2015</v>
      </c>
      <c r="J151">
        <v>2015</v>
      </c>
      <c r="K151" t="s">
        <v>519</v>
      </c>
      <c r="L151">
        <v>5680</v>
      </c>
      <c r="M151" t="s">
        <v>512</v>
      </c>
      <c r="N151" t="s">
        <v>513</v>
      </c>
    </row>
    <row r="152" spans="1:14" x14ac:dyDescent="0.25">
      <c r="A152" t="s">
        <v>507</v>
      </c>
      <c r="B152" t="s">
        <v>508</v>
      </c>
      <c r="C152">
        <v>33</v>
      </c>
      <c r="D152" t="s">
        <v>325</v>
      </c>
      <c r="E152">
        <v>5112</v>
      </c>
      <c r="F152" t="s">
        <v>509</v>
      </c>
      <c r="G152">
        <v>1079</v>
      </c>
      <c r="H152" t="s">
        <v>526</v>
      </c>
      <c r="I152">
        <v>2016</v>
      </c>
      <c r="J152">
        <v>2016</v>
      </c>
      <c r="K152" t="s">
        <v>519</v>
      </c>
      <c r="L152">
        <v>5696</v>
      </c>
      <c r="M152" t="s">
        <v>512</v>
      </c>
      <c r="N152" t="s">
        <v>513</v>
      </c>
    </row>
    <row r="153" spans="1:14" x14ac:dyDescent="0.25">
      <c r="A153" t="s">
        <v>527</v>
      </c>
      <c r="B153" t="s">
        <v>528</v>
      </c>
      <c r="C153">
        <v>33</v>
      </c>
      <c r="D153" t="s">
        <v>325</v>
      </c>
      <c r="E153">
        <v>5320</v>
      </c>
      <c r="F153" t="s">
        <v>529</v>
      </c>
      <c r="G153">
        <v>867</v>
      </c>
      <c r="H153" t="s">
        <v>530</v>
      </c>
      <c r="I153">
        <v>2012</v>
      </c>
      <c r="J153">
        <v>2012</v>
      </c>
      <c r="K153" t="s">
        <v>515</v>
      </c>
      <c r="L153">
        <v>3110300</v>
      </c>
      <c r="M153" t="s">
        <v>531</v>
      </c>
      <c r="N153" t="s">
        <v>532</v>
      </c>
    </row>
    <row r="154" spans="1:14" x14ac:dyDescent="0.25">
      <c r="A154" t="s">
        <v>527</v>
      </c>
      <c r="B154" t="s">
        <v>528</v>
      </c>
      <c r="C154">
        <v>33</v>
      </c>
      <c r="D154" t="s">
        <v>325</v>
      </c>
      <c r="E154">
        <v>5320</v>
      </c>
      <c r="F154" t="s">
        <v>529</v>
      </c>
      <c r="G154">
        <v>867</v>
      </c>
      <c r="H154" t="s">
        <v>530</v>
      </c>
      <c r="I154">
        <v>2013</v>
      </c>
      <c r="J154">
        <v>2013</v>
      </c>
      <c r="K154" t="s">
        <v>515</v>
      </c>
      <c r="L154">
        <v>3066200</v>
      </c>
      <c r="M154" t="s">
        <v>531</v>
      </c>
      <c r="N154" t="s">
        <v>532</v>
      </c>
    </row>
    <row r="155" spans="1:14" x14ac:dyDescent="0.25">
      <c r="A155" t="s">
        <v>527</v>
      </c>
      <c r="B155" t="s">
        <v>528</v>
      </c>
      <c r="C155">
        <v>33</v>
      </c>
      <c r="D155" t="s">
        <v>325</v>
      </c>
      <c r="E155">
        <v>5320</v>
      </c>
      <c r="F155" t="s">
        <v>529</v>
      </c>
      <c r="G155">
        <v>867</v>
      </c>
      <c r="H155" t="s">
        <v>530</v>
      </c>
      <c r="I155">
        <v>2014</v>
      </c>
      <c r="J155">
        <v>2014</v>
      </c>
      <c r="K155" t="s">
        <v>515</v>
      </c>
      <c r="L155">
        <v>2797900</v>
      </c>
      <c r="M155" t="s">
        <v>531</v>
      </c>
      <c r="N155" t="s">
        <v>532</v>
      </c>
    </row>
    <row r="156" spans="1:14" x14ac:dyDescent="0.25">
      <c r="A156" t="s">
        <v>527</v>
      </c>
      <c r="B156" t="s">
        <v>528</v>
      </c>
      <c r="C156">
        <v>33</v>
      </c>
      <c r="D156" t="s">
        <v>325</v>
      </c>
      <c r="E156">
        <v>5320</v>
      </c>
      <c r="F156" t="s">
        <v>529</v>
      </c>
      <c r="G156">
        <v>867</v>
      </c>
      <c r="H156" t="s">
        <v>530</v>
      </c>
      <c r="I156">
        <v>2015</v>
      </c>
      <c r="J156">
        <v>2015</v>
      </c>
      <c r="K156" t="s">
        <v>515</v>
      </c>
      <c r="L156">
        <v>2738998</v>
      </c>
      <c r="M156" t="s">
        <v>512</v>
      </c>
      <c r="N156" t="s">
        <v>513</v>
      </c>
    </row>
    <row r="157" spans="1:14" x14ac:dyDescent="0.25">
      <c r="A157" t="s">
        <v>527</v>
      </c>
      <c r="B157" t="s">
        <v>528</v>
      </c>
      <c r="C157">
        <v>33</v>
      </c>
      <c r="D157" t="s">
        <v>325</v>
      </c>
      <c r="E157">
        <v>5320</v>
      </c>
      <c r="F157" t="s">
        <v>529</v>
      </c>
      <c r="G157">
        <v>867</v>
      </c>
      <c r="H157" t="s">
        <v>530</v>
      </c>
      <c r="I157">
        <v>2016</v>
      </c>
      <c r="J157">
        <v>2016</v>
      </c>
      <c r="K157" t="s">
        <v>515</v>
      </c>
      <c r="L157">
        <v>3030117</v>
      </c>
      <c r="M157" t="s">
        <v>512</v>
      </c>
      <c r="N157" t="s">
        <v>513</v>
      </c>
    </row>
    <row r="158" spans="1:14" x14ac:dyDescent="0.25">
      <c r="A158" t="s">
        <v>527</v>
      </c>
      <c r="B158" t="s">
        <v>528</v>
      </c>
      <c r="C158">
        <v>33</v>
      </c>
      <c r="D158" t="s">
        <v>325</v>
      </c>
      <c r="E158">
        <v>5318</v>
      </c>
      <c r="F158" t="s">
        <v>533</v>
      </c>
      <c r="G158">
        <v>882</v>
      </c>
      <c r="H158" t="s">
        <v>534</v>
      </c>
      <c r="I158">
        <v>2012</v>
      </c>
      <c r="J158">
        <v>2012</v>
      </c>
      <c r="K158" t="s">
        <v>515</v>
      </c>
      <c r="L158">
        <v>958400</v>
      </c>
      <c r="N158" t="s">
        <v>444</v>
      </c>
    </row>
    <row r="159" spans="1:14" x14ac:dyDescent="0.25">
      <c r="A159" t="s">
        <v>527</v>
      </c>
      <c r="B159" t="s">
        <v>528</v>
      </c>
      <c r="C159">
        <v>33</v>
      </c>
      <c r="D159" t="s">
        <v>325</v>
      </c>
      <c r="E159">
        <v>5318</v>
      </c>
      <c r="F159" t="s">
        <v>533</v>
      </c>
      <c r="G159">
        <v>882</v>
      </c>
      <c r="H159" t="s">
        <v>534</v>
      </c>
      <c r="I159">
        <v>2013</v>
      </c>
      <c r="J159">
        <v>2013</v>
      </c>
      <c r="K159" t="s">
        <v>515</v>
      </c>
      <c r="L159">
        <v>960500</v>
      </c>
      <c r="N159" t="s">
        <v>444</v>
      </c>
    </row>
    <row r="160" spans="1:14" x14ac:dyDescent="0.25">
      <c r="A160" t="s">
        <v>527</v>
      </c>
      <c r="B160" t="s">
        <v>528</v>
      </c>
      <c r="C160">
        <v>33</v>
      </c>
      <c r="D160" t="s">
        <v>325</v>
      </c>
      <c r="E160">
        <v>5318</v>
      </c>
      <c r="F160" t="s">
        <v>533</v>
      </c>
      <c r="G160">
        <v>882</v>
      </c>
      <c r="H160" t="s">
        <v>534</v>
      </c>
      <c r="I160">
        <v>2014</v>
      </c>
      <c r="J160">
        <v>2014</v>
      </c>
      <c r="K160" t="s">
        <v>515</v>
      </c>
      <c r="L160">
        <v>959300</v>
      </c>
      <c r="N160" t="s">
        <v>444</v>
      </c>
    </row>
    <row r="161" spans="1:14" x14ac:dyDescent="0.25">
      <c r="A161" t="s">
        <v>527</v>
      </c>
      <c r="B161" t="s">
        <v>528</v>
      </c>
      <c r="C161">
        <v>33</v>
      </c>
      <c r="D161" t="s">
        <v>325</v>
      </c>
      <c r="E161">
        <v>5318</v>
      </c>
      <c r="F161" t="s">
        <v>533</v>
      </c>
      <c r="G161">
        <v>882</v>
      </c>
      <c r="H161" t="s">
        <v>534</v>
      </c>
      <c r="I161">
        <v>2015</v>
      </c>
      <c r="J161">
        <v>2015</v>
      </c>
      <c r="K161" t="s">
        <v>515</v>
      </c>
      <c r="L161">
        <v>1030592</v>
      </c>
      <c r="M161" t="s">
        <v>512</v>
      </c>
      <c r="N161" t="s">
        <v>513</v>
      </c>
    </row>
    <row r="162" spans="1:14" x14ac:dyDescent="0.25">
      <c r="A162" t="s">
        <v>527</v>
      </c>
      <c r="B162" t="s">
        <v>528</v>
      </c>
      <c r="C162">
        <v>33</v>
      </c>
      <c r="D162" t="s">
        <v>325</v>
      </c>
      <c r="E162">
        <v>5318</v>
      </c>
      <c r="F162" t="s">
        <v>533</v>
      </c>
      <c r="G162">
        <v>882</v>
      </c>
      <c r="H162" t="s">
        <v>534</v>
      </c>
      <c r="I162">
        <v>2016</v>
      </c>
      <c r="J162">
        <v>2016</v>
      </c>
      <c r="K162" t="s">
        <v>515</v>
      </c>
      <c r="L162">
        <v>1038634</v>
      </c>
      <c r="M162" t="s">
        <v>512</v>
      </c>
      <c r="N162" t="s">
        <v>513</v>
      </c>
    </row>
    <row r="163" spans="1:14" x14ac:dyDescent="0.25">
      <c r="A163" t="s">
        <v>527</v>
      </c>
      <c r="B163" t="s">
        <v>528</v>
      </c>
      <c r="C163">
        <v>33</v>
      </c>
      <c r="D163" t="s">
        <v>325</v>
      </c>
      <c r="E163">
        <v>5323</v>
      </c>
      <c r="F163" t="s">
        <v>34</v>
      </c>
      <c r="G163">
        <v>1094</v>
      </c>
      <c r="H163" t="s">
        <v>555</v>
      </c>
      <c r="I163">
        <v>2012</v>
      </c>
      <c r="J163">
        <v>2012</v>
      </c>
      <c r="K163" t="s">
        <v>519</v>
      </c>
      <c r="L163">
        <v>595945</v>
      </c>
      <c r="N163" t="s">
        <v>444</v>
      </c>
    </row>
    <row r="164" spans="1:14" x14ac:dyDescent="0.25">
      <c r="A164" t="s">
        <v>527</v>
      </c>
      <c r="B164" t="s">
        <v>528</v>
      </c>
      <c r="C164">
        <v>33</v>
      </c>
      <c r="D164" t="s">
        <v>325</v>
      </c>
      <c r="E164">
        <v>5323</v>
      </c>
      <c r="F164" t="s">
        <v>34</v>
      </c>
      <c r="G164">
        <v>1094</v>
      </c>
      <c r="H164" t="s">
        <v>555</v>
      </c>
      <c r="I164">
        <v>2013</v>
      </c>
      <c r="J164">
        <v>2013</v>
      </c>
      <c r="K164" t="s">
        <v>519</v>
      </c>
      <c r="L164">
        <v>599919</v>
      </c>
      <c r="N164" t="s">
        <v>444</v>
      </c>
    </row>
    <row r="165" spans="1:14" x14ac:dyDescent="0.25">
      <c r="A165" t="s">
        <v>527</v>
      </c>
      <c r="B165" t="s">
        <v>528</v>
      </c>
      <c r="C165">
        <v>33</v>
      </c>
      <c r="D165" t="s">
        <v>325</v>
      </c>
      <c r="E165">
        <v>5424</v>
      </c>
      <c r="F165" t="s">
        <v>556</v>
      </c>
      <c r="G165">
        <v>1094</v>
      </c>
      <c r="H165" t="s">
        <v>555</v>
      </c>
      <c r="I165">
        <v>2012</v>
      </c>
      <c r="J165">
        <v>2012</v>
      </c>
      <c r="K165" t="s">
        <v>557</v>
      </c>
      <c r="L165">
        <v>16440</v>
      </c>
      <c r="M165" t="s">
        <v>531</v>
      </c>
      <c r="N165" t="s">
        <v>532</v>
      </c>
    </row>
    <row r="166" spans="1:14" x14ac:dyDescent="0.25">
      <c r="A166" t="s">
        <v>527</v>
      </c>
      <c r="B166" t="s">
        <v>528</v>
      </c>
      <c r="C166">
        <v>33</v>
      </c>
      <c r="D166" t="s">
        <v>325</v>
      </c>
      <c r="E166">
        <v>5424</v>
      </c>
      <c r="F166" t="s">
        <v>556</v>
      </c>
      <c r="G166">
        <v>1094</v>
      </c>
      <c r="H166" t="s">
        <v>555</v>
      </c>
      <c r="I166">
        <v>2013</v>
      </c>
      <c r="J166">
        <v>2013</v>
      </c>
      <c r="K166" t="s">
        <v>557</v>
      </c>
      <c r="L166">
        <v>16540</v>
      </c>
      <c r="M166" t="s">
        <v>531</v>
      </c>
      <c r="N166" t="s">
        <v>532</v>
      </c>
    </row>
    <row r="167" spans="1:14" x14ac:dyDescent="0.25">
      <c r="A167" t="s">
        <v>527</v>
      </c>
      <c r="B167" t="s">
        <v>528</v>
      </c>
      <c r="C167">
        <v>33</v>
      </c>
      <c r="D167" t="s">
        <v>325</v>
      </c>
      <c r="E167">
        <v>5510</v>
      </c>
      <c r="F167" t="s">
        <v>34</v>
      </c>
      <c r="G167">
        <v>1094</v>
      </c>
      <c r="H167" t="s">
        <v>555</v>
      </c>
      <c r="I167">
        <v>2012</v>
      </c>
      <c r="J167">
        <v>2012</v>
      </c>
      <c r="K167" t="s">
        <v>445</v>
      </c>
      <c r="L167">
        <v>979735</v>
      </c>
      <c r="M167" t="s">
        <v>520</v>
      </c>
      <c r="N167" t="s">
        <v>521</v>
      </c>
    </row>
    <row r="168" spans="1:14" x14ac:dyDescent="0.25">
      <c r="A168" t="s">
        <v>527</v>
      </c>
      <c r="B168" t="s">
        <v>528</v>
      </c>
      <c r="C168">
        <v>33</v>
      </c>
      <c r="D168" t="s">
        <v>325</v>
      </c>
      <c r="E168">
        <v>5510</v>
      </c>
      <c r="F168" t="s">
        <v>34</v>
      </c>
      <c r="G168">
        <v>1094</v>
      </c>
      <c r="H168" t="s">
        <v>555</v>
      </c>
      <c r="I168">
        <v>2013</v>
      </c>
      <c r="J168">
        <v>2013</v>
      </c>
      <c r="K168" t="s">
        <v>445</v>
      </c>
      <c r="L168">
        <v>992270</v>
      </c>
      <c r="M168" t="s">
        <v>520</v>
      </c>
      <c r="N168" t="s">
        <v>521</v>
      </c>
    </row>
    <row r="169" spans="1:14" x14ac:dyDescent="0.25">
      <c r="A169" t="s">
        <v>527</v>
      </c>
      <c r="B169" t="s">
        <v>528</v>
      </c>
      <c r="C169">
        <v>33</v>
      </c>
      <c r="D169" t="s">
        <v>325</v>
      </c>
      <c r="E169">
        <v>5323</v>
      </c>
      <c r="F169" t="s">
        <v>34</v>
      </c>
      <c r="G169">
        <v>1087</v>
      </c>
      <c r="H169" t="s">
        <v>558</v>
      </c>
      <c r="I169">
        <v>2012</v>
      </c>
      <c r="J169">
        <v>2012</v>
      </c>
      <c r="K169" t="s">
        <v>519</v>
      </c>
      <c r="L169">
        <v>24141</v>
      </c>
      <c r="N169" t="s">
        <v>444</v>
      </c>
    </row>
    <row r="170" spans="1:14" x14ac:dyDescent="0.25">
      <c r="A170" t="s">
        <v>527</v>
      </c>
      <c r="B170" t="s">
        <v>528</v>
      </c>
      <c r="C170">
        <v>33</v>
      </c>
      <c r="D170" t="s">
        <v>325</v>
      </c>
      <c r="E170">
        <v>5323</v>
      </c>
      <c r="F170" t="s">
        <v>34</v>
      </c>
      <c r="G170">
        <v>1087</v>
      </c>
      <c r="H170" t="s">
        <v>558</v>
      </c>
      <c r="I170">
        <v>2013</v>
      </c>
      <c r="J170">
        <v>2013</v>
      </c>
      <c r="K170" t="s">
        <v>519</v>
      </c>
      <c r="L170">
        <v>24936</v>
      </c>
      <c r="N170" t="s">
        <v>444</v>
      </c>
    </row>
    <row r="171" spans="1:14" x14ac:dyDescent="0.25">
      <c r="A171" t="s">
        <v>527</v>
      </c>
      <c r="B171" t="s">
        <v>528</v>
      </c>
      <c r="C171">
        <v>33</v>
      </c>
      <c r="D171" t="s">
        <v>325</v>
      </c>
      <c r="E171">
        <v>5424</v>
      </c>
      <c r="F171" t="s">
        <v>556</v>
      </c>
      <c r="G171">
        <v>1087</v>
      </c>
      <c r="H171" t="s">
        <v>558</v>
      </c>
      <c r="I171">
        <v>2012</v>
      </c>
      <c r="J171">
        <v>2012</v>
      </c>
      <c r="K171" t="s">
        <v>557</v>
      </c>
      <c r="L171">
        <v>65946</v>
      </c>
      <c r="M171" t="s">
        <v>531</v>
      </c>
      <c r="N171" t="s">
        <v>532</v>
      </c>
    </row>
    <row r="172" spans="1:14" x14ac:dyDescent="0.25">
      <c r="A172" t="s">
        <v>527</v>
      </c>
      <c r="B172" t="s">
        <v>528</v>
      </c>
      <c r="C172">
        <v>33</v>
      </c>
      <c r="D172" t="s">
        <v>325</v>
      </c>
      <c r="E172">
        <v>5424</v>
      </c>
      <c r="F172" t="s">
        <v>556</v>
      </c>
      <c r="G172">
        <v>1087</v>
      </c>
      <c r="H172" t="s">
        <v>558</v>
      </c>
      <c r="I172">
        <v>2013</v>
      </c>
      <c r="J172">
        <v>2013</v>
      </c>
      <c r="K172" t="s">
        <v>557</v>
      </c>
      <c r="L172">
        <v>66731</v>
      </c>
      <c r="M172" t="s">
        <v>531</v>
      </c>
      <c r="N172" t="s">
        <v>532</v>
      </c>
    </row>
    <row r="173" spans="1:14" x14ac:dyDescent="0.25">
      <c r="A173" t="s">
        <v>527</v>
      </c>
      <c r="B173" t="s">
        <v>528</v>
      </c>
      <c r="C173">
        <v>33</v>
      </c>
      <c r="D173" t="s">
        <v>325</v>
      </c>
      <c r="E173">
        <v>5510</v>
      </c>
      <c r="F173" t="s">
        <v>34</v>
      </c>
      <c r="G173">
        <v>1087</v>
      </c>
      <c r="H173" t="s">
        <v>558</v>
      </c>
      <c r="I173">
        <v>2012</v>
      </c>
      <c r="J173">
        <v>2012</v>
      </c>
      <c r="K173" t="s">
        <v>445</v>
      </c>
      <c r="L173">
        <v>159200</v>
      </c>
      <c r="M173" t="s">
        <v>516</v>
      </c>
      <c r="N173" t="s">
        <v>517</v>
      </c>
    </row>
    <row r="174" spans="1:14" x14ac:dyDescent="0.25">
      <c r="A174" t="s">
        <v>527</v>
      </c>
      <c r="B174" t="s">
        <v>528</v>
      </c>
      <c r="C174">
        <v>33</v>
      </c>
      <c r="D174" t="s">
        <v>325</v>
      </c>
      <c r="E174">
        <v>5510</v>
      </c>
      <c r="F174" t="s">
        <v>34</v>
      </c>
      <c r="G174">
        <v>1087</v>
      </c>
      <c r="H174" t="s">
        <v>558</v>
      </c>
      <c r="I174">
        <v>2013</v>
      </c>
      <c r="J174">
        <v>2013</v>
      </c>
      <c r="K174" t="s">
        <v>445</v>
      </c>
      <c r="L174">
        <v>166400</v>
      </c>
      <c r="M174" t="s">
        <v>516</v>
      </c>
      <c r="N174" t="s">
        <v>517</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pageSetUpPr fitToPage="1"/>
  </sheetPr>
  <dimension ref="A1:E43"/>
  <sheetViews>
    <sheetView showGridLines="0" workbookViewId="0">
      <selection activeCell="E32" activeCellId="1" sqref="L11:AA11 E32"/>
    </sheetView>
  </sheetViews>
  <sheetFormatPr defaultColWidth="8" defaultRowHeight="12" customHeight="1" x14ac:dyDescent="0.2"/>
  <cols>
    <col min="1" max="1" width="44.28515625" style="130" customWidth="1"/>
    <col min="2" max="2" width="40.85546875" style="130" customWidth="1"/>
    <col min="3" max="3" width="16.42578125" style="130" customWidth="1"/>
    <col min="4" max="4" width="22.28515625" style="130" customWidth="1"/>
    <col min="5" max="5" width="16.7109375" style="130" customWidth="1"/>
    <col min="6" max="16384" width="8" style="130"/>
  </cols>
  <sheetData>
    <row r="1" spans="1:5" ht="15.75" x14ac:dyDescent="0.2">
      <c r="A1" s="334" t="s">
        <v>625</v>
      </c>
      <c r="B1" s="334"/>
      <c r="C1" s="118"/>
      <c r="D1" s="118"/>
      <c r="E1" s="117" t="s">
        <v>565</v>
      </c>
    </row>
    <row r="2" spans="1:5" ht="17.25" x14ac:dyDescent="0.2">
      <c r="A2" s="334" t="s">
        <v>626</v>
      </c>
      <c r="B2" s="334"/>
      <c r="C2" s="118"/>
      <c r="D2" s="118"/>
      <c r="E2" s="117" t="s">
        <v>566</v>
      </c>
    </row>
    <row r="3" spans="1:5" ht="15.75" x14ac:dyDescent="0.25">
      <c r="A3" s="119" t="s">
        <v>627</v>
      </c>
      <c r="B3" s="120"/>
      <c r="C3" s="118"/>
      <c r="D3" s="118"/>
      <c r="E3" s="117" t="s">
        <v>567</v>
      </c>
    </row>
    <row r="4" spans="1:5" ht="12" customHeight="1" x14ac:dyDescent="0.2">
      <c r="A4" s="118"/>
      <c r="B4" s="118"/>
      <c r="C4" s="118"/>
      <c r="D4" s="118"/>
      <c r="E4" s="118"/>
    </row>
    <row r="5" spans="1:5" ht="27" customHeight="1" x14ac:dyDescent="0.2">
      <c r="A5" s="145" t="s">
        <v>570</v>
      </c>
      <c r="B5" s="335" t="s">
        <v>628</v>
      </c>
      <c r="C5" s="336"/>
      <c r="D5" s="121" t="s">
        <v>629</v>
      </c>
      <c r="E5" s="146" t="s">
        <v>630</v>
      </c>
    </row>
    <row r="6" spans="1:5" ht="12" customHeight="1" x14ac:dyDescent="0.2">
      <c r="A6" s="147"/>
      <c r="B6" s="122" t="s">
        <v>631</v>
      </c>
      <c r="C6" s="129" t="s">
        <v>437</v>
      </c>
      <c r="D6" s="122"/>
      <c r="E6" s="148" t="s">
        <v>573</v>
      </c>
    </row>
    <row r="7" spans="1:5" ht="29.25" customHeight="1" thickBot="1" x14ac:dyDescent="0.25">
      <c r="A7" s="149"/>
      <c r="B7" s="150"/>
      <c r="C7" s="151" t="s">
        <v>632</v>
      </c>
      <c r="D7" s="152" t="s">
        <v>633</v>
      </c>
      <c r="E7" s="153" t="s">
        <v>577</v>
      </c>
    </row>
    <row r="8" spans="1:5" ht="29.25" customHeight="1" thickTop="1" x14ac:dyDescent="0.2">
      <c r="A8" s="154" t="s">
        <v>634</v>
      </c>
      <c r="B8" s="123" t="s">
        <v>1</v>
      </c>
      <c r="C8" s="123" t="s">
        <v>1</v>
      </c>
      <c r="D8" s="123" t="s">
        <v>1</v>
      </c>
      <c r="E8" s="85">
        <v>62.841554827484032</v>
      </c>
    </row>
    <row r="9" spans="1:5" ht="29.25" customHeight="1" x14ac:dyDescent="0.2">
      <c r="A9" s="155" t="s">
        <v>635</v>
      </c>
      <c r="B9" s="85" t="s">
        <v>1</v>
      </c>
      <c r="C9" s="86">
        <v>2592999999.9999981</v>
      </c>
      <c r="D9" s="85">
        <v>8.5197527317299997E-3</v>
      </c>
      <c r="E9" s="86">
        <v>34.715558166722452</v>
      </c>
    </row>
    <row r="10" spans="1:5" ht="29.25" customHeight="1" x14ac:dyDescent="0.2">
      <c r="A10" s="155" t="s">
        <v>636</v>
      </c>
      <c r="B10" s="85" t="s">
        <v>1</v>
      </c>
      <c r="C10" s="85">
        <v>341627062.44281316</v>
      </c>
      <c r="D10" s="85">
        <v>1.1636919012159999E-2</v>
      </c>
      <c r="E10" s="85">
        <v>6.2471930054413596</v>
      </c>
    </row>
    <row r="11" spans="1:5" ht="25.5" customHeight="1" x14ac:dyDescent="0.2">
      <c r="A11" s="155" t="s">
        <v>637</v>
      </c>
      <c r="B11" s="85" t="s">
        <v>1</v>
      </c>
      <c r="C11" s="86">
        <v>341627062.44281316</v>
      </c>
      <c r="D11" s="85">
        <v>1.1636919012159999E-2</v>
      </c>
      <c r="E11" s="86">
        <v>6.2471930054413596</v>
      </c>
    </row>
    <row r="12" spans="1:5" ht="22.5" customHeight="1" x14ac:dyDescent="0.2">
      <c r="A12" s="155" t="s">
        <v>638</v>
      </c>
      <c r="B12" s="85" t="s">
        <v>1</v>
      </c>
      <c r="C12" s="86" t="s">
        <v>184</v>
      </c>
      <c r="D12" s="85" t="s">
        <v>184</v>
      </c>
      <c r="E12" s="86" t="s">
        <v>184</v>
      </c>
    </row>
    <row r="13" spans="1:5" ht="20.25" customHeight="1" x14ac:dyDescent="0.2">
      <c r="A13" s="156" t="s">
        <v>639</v>
      </c>
      <c r="B13" s="85" t="s">
        <v>1</v>
      </c>
      <c r="C13" s="86" t="s">
        <v>184</v>
      </c>
      <c r="D13" s="85" t="s">
        <v>184</v>
      </c>
      <c r="E13" s="86" t="s">
        <v>184</v>
      </c>
    </row>
    <row r="14" spans="1:5" ht="14.25" customHeight="1" x14ac:dyDescent="0.2">
      <c r="A14" s="155" t="s">
        <v>640</v>
      </c>
      <c r="B14" s="85" t="s">
        <v>1</v>
      </c>
      <c r="C14" s="86">
        <v>295786020.14507705</v>
      </c>
      <c r="D14" s="85">
        <v>1.5067066726900001E-3</v>
      </c>
      <c r="E14" s="86">
        <v>0.70032721037958001</v>
      </c>
    </row>
    <row r="15" spans="1:5" ht="14.25" customHeight="1" x14ac:dyDescent="0.2">
      <c r="A15" s="155" t="s">
        <v>641</v>
      </c>
      <c r="B15" s="85" t="s">
        <v>1</v>
      </c>
      <c r="C15" s="86">
        <v>1342536483.5520172</v>
      </c>
      <c r="D15" s="85">
        <v>8.7405273201699996E-3</v>
      </c>
      <c r="E15" s="86">
        <v>18.439892134408481</v>
      </c>
    </row>
    <row r="16" spans="1:5" ht="25.5" customHeight="1" x14ac:dyDescent="0.2">
      <c r="A16" s="155" t="s">
        <v>642</v>
      </c>
      <c r="B16" s="85" t="s">
        <v>1</v>
      </c>
      <c r="C16" s="86">
        <v>114559040.27272727</v>
      </c>
      <c r="D16" s="85">
        <v>1.408435848011E-2</v>
      </c>
      <c r="E16" s="86">
        <v>2.5354852133893</v>
      </c>
    </row>
    <row r="17" spans="1:5" ht="14.25" customHeight="1" x14ac:dyDescent="0.2">
      <c r="A17" s="155" t="s">
        <v>643</v>
      </c>
      <c r="B17" s="85" t="s">
        <v>1</v>
      </c>
      <c r="C17" s="86">
        <v>16155.609999999997</v>
      </c>
      <c r="D17" s="85">
        <v>8.0000000000001208</v>
      </c>
      <c r="E17" s="86">
        <v>0.20309909714286001</v>
      </c>
    </row>
    <row r="18" spans="1:5" ht="14.25" customHeight="1" x14ac:dyDescent="0.2">
      <c r="A18" s="155" t="s">
        <v>644</v>
      </c>
      <c r="B18" s="85" t="s">
        <v>1</v>
      </c>
      <c r="C18" s="86" t="s">
        <v>569</v>
      </c>
      <c r="D18" s="85" t="s">
        <v>569</v>
      </c>
      <c r="E18" s="86" t="s">
        <v>569</v>
      </c>
    </row>
    <row r="19" spans="1:5" ht="27" customHeight="1" x14ac:dyDescent="0.2">
      <c r="A19" s="157" t="s">
        <v>645</v>
      </c>
      <c r="B19" s="123" t="s">
        <v>1</v>
      </c>
      <c r="C19" s="123" t="s">
        <v>1</v>
      </c>
      <c r="D19" s="123" t="s">
        <v>1</v>
      </c>
      <c r="E19" s="85">
        <v>13.36222279374781</v>
      </c>
    </row>
    <row r="20" spans="1:5" ht="24" customHeight="1" x14ac:dyDescent="0.2">
      <c r="A20" s="158" t="s">
        <v>646</v>
      </c>
      <c r="B20" s="85" t="s">
        <v>1</v>
      </c>
      <c r="C20" s="86">
        <v>255061264.43786567</v>
      </c>
      <c r="D20" s="85">
        <v>0.01</v>
      </c>
      <c r="E20" s="86">
        <v>4.0081055840235997</v>
      </c>
    </row>
    <row r="21" spans="1:5" x14ac:dyDescent="0.2">
      <c r="A21" s="158" t="s">
        <v>647</v>
      </c>
      <c r="B21" s="85" t="s">
        <v>1</v>
      </c>
      <c r="C21" s="86">
        <v>793682672.3402369</v>
      </c>
      <c r="D21" s="85">
        <v>7.4999999999999997E-3</v>
      </c>
      <c r="E21" s="86">
        <v>9.35411720972421</v>
      </c>
    </row>
    <row r="22" spans="1:5" ht="12" customHeight="1" x14ac:dyDescent="0.2">
      <c r="A22" s="118"/>
      <c r="B22" s="118"/>
      <c r="C22" s="118"/>
      <c r="D22" s="118"/>
      <c r="E22" s="118"/>
    </row>
    <row r="23" spans="1:5" ht="11.25" customHeight="1" x14ac:dyDescent="0.2">
      <c r="A23" s="337" t="s">
        <v>648</v>
      </c>
      <c r="B23" s="337"/>
      <c r="C23" s="337"/>
      <c r="D23" s="337"/>
      <c r="E23" s="337"/>
    </row>
    <row r="24" spans="1:5" ht="13.5" x14ac:dyDescent="0.2">
      <c r="A24" s="338" t="s">
        <v>649</v>
      </c>
      <c r="B24" s="338"/>
      <c r="C24" s="338"/>
      <c r="D24" s="338"/>
      <c r="E24" s="338"/>
    </row>
    <row r="25" spans="1:5" x14ac:dyDescent="0.2">
      <c r="A25" s="332" t="s">
        <v>650</v>
      </c>
      <c r="B25" s="333"/>
      <c r="C25" s="333"/>
      <c r="D25" s="333"/>
      <c r="E25" s="333"/>
    </row>
    <row r="26" spans="1:5" ht="14.25" customHeight="1" x14ac:dyDescent="0.2">
      <c r="A26" s="321" t="s">
        <v>651</v>
      </c>
      <c r="B26" s="321"/>
      <c r="C26" s="321"/>
      <c r="D26" s="321"/>
      <c r="E26" s="321"/>
    </row>
    <row r="27" spans="1:5" ht="14.25" customHeight="1" x14ac:dyDescent="0.2">
      <c r="A27" s="321" t="s">
        <v>652</v>
      </c>
      <c r="B27" s="321"/>
      <c r="C27" s="321"/>
      <c r="D27" s="321"/>
      <c r="E27" s="321"/>
    </row>
    <row r="28" spans="1:5" ht="13.5" x14ac:dyDescent="0.2">
      <c r="A28" s="322" t="s">
        <v>653</v>
      </c>
      <c r="B28" s="322"/>
      <c r="C28" s="322"/>
      <c r="D28" s="322"/>
      <c r="E28" s="322"/>
    </row>
    <row r="29" spans="1:5" ht="13.5" x14ac:dyDescent="0.2">
      <c r="A29" s="159"/>
      <c r="B29" s="159"/>
      <c r="C29" s="159"/>
      <c r="D29" s="159"/>
      <c r="E29" s="159"/>
    </row>
    <row r="30" spans="1:5" ht="13.5" x14ac:dyDescent="0.2">
      <c r="A30" s="160" t="s">
        <v>654</v>
      </c>
      <c r="B30" s="159"/>
      <c r="C30" s="159"/>
      <c r="D30" s="159"/>
      <c r="E30" s="159"/>
    </row>
    <row r="31" spans="1:5" ht="14.25" x14ac:dyDescent="0.2">
      <c r="A31" s="161" t="s">
        <v>655</v>
      </c>
      <c r="B31" s="162" t="s">
        <v>631</v>
      </c>
      <c r="C31" s="163" t="s">
        <v>437</v>
      </c>
      <c r="D31" s="159"/>
      <c r="E31" s="159"/>
    </row>
    <row r="32" spans="1:5" ht="25.5" x14ac:dyDescent="0.2">
      <c r="A32" s="164" t="s">
        <v>656</v>
      </c>
      <c r="B32" s="164" t="s">
        <v>657</v>
      </c>
      <c r="C32" s="86">
        <v>5.9744287716390003E-2</v>
      </c>
      <c r="D32" s="159"/>
      <c r="E32" s="159"/>
    </row>
    <row r="33" spans="1:5" ht="27" x14ac:dyDescent="0.2">
      <c r="A33" s="164" t="s">
        <v>658</v>
      </c>
      <c r="B33" s="164" t="s">
        <v>659</v>
      </c>
      <c r="C33" s="86">
        <v>0.30967571128971</v>
      </c>
      <c r="D33" s="159"/>
      <c r="E33" s="159"/>
    </row>
    <row r="34" spans="1:5" ht="24" x14ac:dyDescent="0.2">
      <c r="A34" s="164" t="s">
        <v>660</v>
      </c>
      <c r="B34" s="164" t="s">
        <v>661</v>
      </c>
      <c r="C34" s="86">
        <v>0.18556285346709001</v>
      </c>
      <c r="D34" s="159"/>
      <c r="E34" s="159"/>
    </row>
    <row r="35" spans="1:5" ht="13.5" x14ac:dyDescent="0.2">
      <c r="A35" s="165" t="s">
        <v>662</v>
      </c>
      <c r="B35" s="166"/>
      <c r="C35" s="86" t="s">
        <v>1</v>
      </c>
      <c r="D35" s="159"/>
      <c r="E35" s="159"/>
    </row>
    <row r="36" spans="1:5" ht="13.5" x14ac:dyDescent="0.2">
      <c r="A36" s="167" t="s">
        <v>663</v>
      </c>
      <c r="B36" s="159"/>
      <c r="C36" s="159"/>
      <c r="D36" s="159"/>
      <c r="E36" s="159"/>
    </row>
    <row r="37" spans="1:5" ht="13.5" x14ac:dyDescent="0.2">
      <c r="A37" s="168"/>
      <c r="B37" s="159"/>
      <c r="C37" s="159"/>
      <c r="D37" s="159"/>
      <c r="E37" s="159"/>
    </row>
    <row r="38" spans="1:5" ht="12" customHeight="1" x14ac:dyDescent="0.2">
      <c r="A38" s="323" t="s">
        <v>581</v>
      </c>
      <c r="B38" s="324"/>
      <c r="C38" s="324"/>
      <c r="D38" s="324"/>
      <c r="E38" s="325"/>
    </row>
    <row r="39" spans="1:5" ht="27" customHeight="1" x14ac:dyDescent="0.2">
      <c r="A39" s="326" t="s">
        <v>664</v>
      </c>
      <c r="B39" s="327"/>
      <c r="C39" s="327"/>
      <c r="D39" s="327"/>
      <c r="E39" s="328"/>
    </row>
    <row r="40" spans="1:5" ht="12" customHeight="1" x14ac:dyDescent="0.2">
      <c r="A40" s="329" t="s">
        <v>665</v>
      </c>
      <c r="B40" s="330"/>
      <c r="C40" s="330"/>
      <c r="D40" s="330"/>
      <c r="E40" s="331"/>
    </row>
    <row r="41" spans="1:5" ht="12" customHeight="1" x14ac:dyDescent="0.25">
      <c r="A41" s="169" t="s">
        <v>666</v>
      </c>
      <c r="B41" s="170"/>
      <c r="C41" s="170"/>
      <c r="D41" s="170"/>
      <c r="E41" s="171"/>
    </row>
    <row r="42" spans="1:5" ht="12" customHeight="1" x14ac:dyDescent="0.2">
      <c r="A42" s="172" t="s">
        <v>667</v>
      </c>
      <c r="B42" s="173"/>
      <c r="C42" s="173"/>
      <c r="D42" s="173"/>
      <c r="E42" s="174"/>
    </row>
    <row r="43" spans="1:5" ht="12" customHeight="1" x14ac:dyDescent="0.2">
      <c r="A43" s="175" t="s">
        <v>668</v>
      </c>
      <c r="B43" s="319" t="s">
        <v>669</v>
      </c>
      <c r="C43" s="320"/>
      <c r="D43" s="320"/>
      <c r="E43" s="320"/>
    </row>
  </sheetData>
  <mergeCells count="13">
    <mergeCell ref="A25:E25"/>
    <mergeCell ref="A1:B1"/>
    <mergeCell ref="A2:B2"/>
    <mergeCell ref="B5:C5"/>
    <mergeCell ref="A23:E23"/>
    <mergeCell ref="A24:E24"/>
    <mergeCell ref="B43:E43"/>
    <mergeCell ref="A26:E26"/>
    <mergeCell ref="A27:E27"/>
    <mergeCell ref="A28:E28"/>
    <mergeCell ref="A38:E38"/>
    <mergeCell ref="A39:E39"/>
    <mergeCell ref="A40:E40"/>
  </mergeCells>
  <dataValidations count="1">
    <dataValidation allowBlank="1" showInputMessage="1" showErrorMessage="1" sqref="A45:E65509 F1:IN65509"/>
  </dataValidations>
  <printOptions horizontalCentered="1" verticalCentered="1"/>
  <pageMargins left="0.39370078740157483" right="0.39370078740157483" top="0.39370078740157483" bottom="0.39370078740157483" header="0.19685039370078741" footer="0.19685039370078741"/>
  <pageSetup paperSize="9" scale="28" orientation="portrait"/>
  <headerFooter alignWithMargins="0"/>
  <legacyDrawing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V136"/>
  <sheetViews>
    <sheetView topLeftCell="A121" workbookViewId="0">
      <selection activeCell="E32" activeCellId="1" sqref="L11:AA11 E32"/>
    </sheetView>
  </sheetViews>
  <sheetFormatPr defaultColWidth="8.85546875" defaultRowHeight="15" x14ac:dyDescent="0.25"/>
  <sheetData>
    <row r="1" spans="1:22" ht="18.75" thickBot="1" x14ac:dyDescent="0.3">
      <c r="A1" s="90" t="s">
        <v>454</v>
      </c>
      <c r="B1" s="90"/>
      <c r="C1" s="90"/>
      <c r="D1" s="90"/>
      <c r="E1" s="90"/>
      <c r="F1" s="90"/>
      <c r="G1" s="90"/>
      <c r="H1" s="90"/>
      <c r="I1" s="90"/>
      <c r="J1" s="90"/>
      <c r="K1" s="90"/>
      <c r="L1" s="90"/>
      <c r="M1" s="90"/>
      <c r="N1" s="90"/>
      <c r="O1" s="90"/>
      <c r="P1" s="90"/>
      <c r="Q1" s="90"/>
      <c r="R1" s="90"/>
      <c r="S1" s="90"/>
      <c r="T1" s="90"/>
      <c r="U1" s="90"/>
      <c r="V1" s="90"/>
    </row>
    <row r="2" spans="1:22" ht="15.75" thickTop="1" x14ac:dyDescent="0.25">
      <c r="A2" s="91"/>
      <c r="B2" s="92"/>
      <c r="C2" s="92"/>
      <c r="D2" s="92"/>
      <c r="E2" s="92"/>
      <c r="F2" s="92"/>
      <c r="G2" s="92"/>
      <c r="H2" s="92"/>
      <c r="I2" s="92"/>
      <c r="J2" s="92"/>
      <c r="K2" s="92"/>
      <c r="L2" s="92"/>
      <c r="M2" s="92"/>
      <c r="N2" s="92"/>
      <c r="O2" s="92"/>
      <c r="P2" s="92"/>
      <c r="Q2" s="92"/>
      <c r="R2" s="92"/>
      <c r="S2" s="92"/>
      <c r="T2" s="92"/>
      <c r="U2" s="92"/>
      <c r="V2" s="92"/>
    </row>
    <row r="3" spans="1:22" x14ac:dyDescent="0.25">
      <c r="A3" s="91"/>
      <c r="B3" s="93" t="s">
        <v>455</v>
      </c>
      <c r="C3" s="93" t="s">
        <v>456</v>
      </c>
      <c r="D3" s="93" t="s">
        <v>457</v>
      </c>
      <c r="E3" s="93" t="s">
        <v>458</v>
      </c>
      <c r="F3" s="93" t="s">
        <v>459</v>
      </c>
      <c r="G3" s="93" t="s">
        <v>460</v>
      </c>
      <c r="H3" s="93" t="s">
        <v>461</v>
      </c>
      <c r="I3" s="93" t="s">
        <v>462</v>
      </c>
      <c r="J3" s="93" t="s">
        <v>463</v>
      </c>
      <c r="K3" s="93" t="s">
        <v>464</v>
      </c>
      <c r="L3" s="93" t="s">
        <v>465</v>
      </c>
      <c r="M3" s="93" t="s">
        <v>466</v>
      </c>
      <c r="N3" s="93" t="s">
        <v>467</v>
      </c>
      <c r="O3" s="93" t="s">
        <v>468</v>
      </c>
      <c r="P3" s="93" t="s">
        <v>469</v>
      </c>
      <c r="Q3" s="93" t="s">
        <v>470</v>
      </c>
      <c r="R3" s="93" t="s">
        <v>471</v>
      </c>
      <c r="S3" s="93" t="s">
        <v>472</v>
      </c>
      <c r="T3" s="93" t="s">
        <v>473</v>
      </c>
      <c r="U3" s="93" t="s">
        <v>474</v>
      </c>
      <c r="V3" s="93" t="s">
        <v>475</v>
      </c>
    </row>
    <row r="4" spans="1:22" x14ac:dyDescent="0.25">
      <c r="A4" s="94"/>
      <c r="B4" s="95"/>
      <c r="C4" s="95"/>
      <c r="D4" s="95"/>
      <c r="E4" s="95"/>
      <c r="F4" s="95"/>
      <c r="G4" s="95"/>
      <c r="H4" s="95"/>
      <c r="I4" s="95"/>
      <c r="J4" s="95"/>
      <c r="K4" s="95"/>
      <c r="L4" s="95"/>
      <c r="M4" s="95"/>
      <c r="N4" s="95"/>
      <c r="O4" s="95"/>
      <c r="P4" s="95"/>
      <c r="Q4" s="95"/>
      <c r="R4" s="95"/>
      <c r="S4" s="95"/>
      <c r="T4" s="95"/>
      <c r="U4" s="95"/>
      <c r="V4" s="95"/>
    </row>
    <row r="5" spans="1:22" x14ac:dyDescent="0.25">
      <c r="A5" s="91"/>
      <c r="B5" s="92"/>
      <c r="C5" s="92"/>
      <c r="D5" s="92"/>
      <c r="E5" s="92"/>
      <c r="F5" s="92"/>
      <c r="G5" s="92"/>
      <c r="H5" s="92"/>
      <c r="I5" s="92"/>
      <c r="J5" s="92"/>
      <c r="K5" s="92"/>
      <c r="L5" s="92"/>
      <c r="M5" s="92"/>
      <c r="N5" s="92"/>
      <c r="O5" s="92"/>
      <c r="P5" s="92"/>
      <c r="Q5" s="92"/>
      <c r="R5" s="92"/>
      <c r="S5" s="92"/>
      <c r="T5" s="92"/>
      <c r="U5" s="92"/>
      <c r="V5" s="92"/>
    </row>
    <row r="6" spans="1:22" x14ac:dyDescent="0.25">
      <c r="A6" s="91"/>
      <c r="B6" s="3"/>
      <c r="C6" s="3"/>
      <c r="D6" s="3"/>
      <c r="E6" s="3"/>
      <c r="F6" s="96" t="s">
        <v>476</v>
      </c>
      <c r="G6" s="97"/>
      <c r="H6" s="97"/>
      <c r="I6" s="97"/>
      <c r="J6" s="3"/>
      <c r="K6" s="97"/>
      <c r="L6" s="97"/>
      <c r="M6" s="97"/>
      <c r="N6" s="97"/>
      <c r="O6" s="97"/>
      <c r="P6" s="97"/>
      <c r="Q6" s="96" t="s">
        <v>476</v>
      </c>
      <c r="R6" s="3"/>
      <c r="S6" s="3"/>
      <c r="T6" s="3"/>
      <c r="U6" s="3"/>
      <c r="V6" s="3"/>
    </row>
    <row r="7" spans="1:22" x14ac:dyDescent="0.25">
      <c r="A7" s="91" t="s">
        <v>477</v>
      </c>
      <c r="B7" s="98">
        <v>10585</v>
      </c>
      <c r="C7" s="98">
        <v>8836</v>
      </c>
      <c r="D7" s="98">
        <v>10215</v>
      </c>
      <c r="E7" s="98">
        <v>9389</v>
      </c>
      <c r="F7" s="98">
        <v>9404</v>
      </c>
      <c r="G7" s="98">
        <v>9682</v>
      </c>
      <c r="H7" s="98">
        <v>8640</v>
      </c>
      <c r="I7" s="98">
        <v>10032</v>
      </c>
      <c r="J7" s="98">
        <v>9638</v>
      </c>
      <c r="K7" s="98">
        <v>8269</v>
      </c>
      <c r="L7" s="98">
        <v>8600</v>
      </c>
      <c r="M7" s="98">
        <v>8733.8757774669102</v>
      </c>
      <c r="N7" s="98">
        <v>8796.6240314905863</v>
      </c>
      <c r="O7" s="98">
        <v>8767.1556042743214</v>
      </c>
      <c r="P7" s="98">
        <v>8770.2571524970517</v>
      </c>
      <c r="Q7" s="98">
        <v>8809.1715835948889</v>
      </c>
      <c r="R7" s="98">
        <v>8816.5753015531627</v>
      </c>
      <c r="S7" s="98">
        <v>8777.0064494483158</v>
      </c>
      <c r="T7" s="98">
        <v>8784.9138096118313</v>
      </c>
      <c r="U7" s="98">
        <v>8782.8137058077173</v>
      </c>
      <c r="V7" s="98">
        <v>8780.2092506852205</v>
      </c>
    </row>
    <row r="8" spans="1:22" x14ac:dyDescent="0.25">
      <c r="A8" s="91"/>
      <c r="B8" s="99"/>
      <c r="C8" s="99"/>
      <c r="D8" s="99"/>
      <c r="E8" s="99"/>
      <c r="F8" s="99"/>
      <c r="G8" s="99"/>
      <c r="H8" s="99"/>
      <c r="I8" s="99"/>
      <c r="J8" s="99"/>
      <c r="K8" s="99"/>
      <c r="L8" s="99"/>
      <c r="M8" s="99"/>
      <c r="N8" s="99"/>
      <c r="O8" s="99"/>
      <c r="P8" s="99"/>
      <c r="Q8" s="99"/>
      <c r="R8" s="99"/>
      <c r="S8" s="99"/>
      <c r="T8" s="99"/>
      <c r="U8" s="99"/>
      <c r="V8" s="99"/>
    </row>
    <row r="9" spans="1:22" x14ac:dyDescent="0.25">
      <c r="A9" s="91"/>
      <c r="B9" s="3"/>
      <c r="C9" s="3"/>
      <c r="D9" s="3"/>
      <c r="E9" s="3"/>
      <c r="F9" s="100" t="s">
        <v>478</v>
      </c>
      <c r="G9" s="97"/>
      <c r="H9" s="97"/>
      <c r="I9" s="97"/>
      <c r="J9" s="3"/>
      <c r="K9" s="97"/>
      <c r="L9" s="97"/>
      <c r="M9" s="97"/>
      <c r="N9" s="97"/>
      <c r="O9" s="97"/>
      <c r="P9" s="97"/>
      <c r="Q9" s="100" t="s">
        <v>478</v>
      </c>
      <c r="R9" s="3"/>
      <c r="S9" s="3"/>
      <c r="T9" s="3"/>
      <c r="U9" s="3"/>
      <c r="V9" s="3"/>
    </row>
    <row r="10" spans="1:22" x14ac:dyDescent="0.25">
      <c r="A10" s="91" t="s">
        <v>479</v>
      </c>
      <c r="B10" s="101">
        <v>1.9431270666036844</v>
      </c>
      <c r="C10" s="101">
        <v>1.8331824354911725</v>
      </c>
      <c r="D10" s="101">
        <v>2.256387665198238</v>
      </c>
      <c r="E10" s="101">
        <v>2.6409628288422624</v>
      </c>
      <c r="F10" s="101">
        <v>2.7379838366652489</v>
      </c>
      <c r="G10" s="101">
        <v>2.60948151208428</v>
      </c>
      <c r="H10" s="101">
        <v>2.321064814814815</v>
      </c>
      <c r="I10" s="101">
        <v>2.8519736842105261</v>
      </c>
      <c r="J10" s="101">
        <v>2.7856401743100228</v>
      </c>
      <c r="K10" s="101">
        <v>2.8016688837828032</v>
      </c>
      <c r="L10" s="101">
        <v>2.8139534883720931</v>
      </c>
      <c r="M10" s="101">
        <v>2.8688060339120147</v>
      </c>
      <c r="N10" s="101">
        <v>2.88847513829446</v>
      </c>
      <c r="O10" s="101">
        <v>2.9098200268443923</v>
      </c>
      <c r="P10" s="101">
        <v>2.930034604782783</v>
      </c>
      <c r="Q10" s="101">
        <v>2.953159821708975</v>
      </c>
      <c r="R10" s="101">
        <v>2.9724829489404669</v>
      </c>
      <c r="S10" s="101">
        <v>2.9838682651858672</v>
      </c>
      <c r="T10" s="101">
        <v>2.9972077019200514</v>
      </c>
      <c r="U10" s="101">
        <v>3.0218986025757566</v>
      </c>
      <c r="V10" s="101">
        <v>3.0397080912333871</v>
      </c>
    </row>
    <row r="11" spans="1:22" x14ac:dyDescent="0.25">
      <c r="A11" s="91"/>
      <c r="B11" s="102"/>
      <c r="C11" s="102"/>
      <c r="D11" s="102"/>
      <c r="E11" s="102"/>
      <c r="F11" s="102"/>
      <c r="G11" s="102"/>
      <c r="H11" s="102"/>
      <c r="I11" s="102"/>
      <c r="J11" s="102"/>
      <c r="K11" s="102"/>
      <c r="L11" s="102"/>
      <c r="M11" s="102"/>
      <c r="N11" s="102"/>
      <c r="O11" s="102"/>
      <c r="P11" s="102"/>
      <c r="Q11" s="102"/>
      <c r="R11" s="102"/>
      <c r="S11" s="102"/>
      <c r="T11" s="102"/>
      <c r="U11" s="102"/>
      <c r="V11" s="102"/>
    </row>
    <row r="12" spans="1:22" x14ac:dyDescent="0.25">
      <c r="A12" s="91"/>
      <c r="B12" s="3"/>
      <c r="C12" s="3"/>
      <c r="D12" s="3"/>
      <c r="E12" s="3"/>
      <c r="F12" s="103" t="s">
        <v>480</v>
      </c>
      <c r="G12" s="97"/>
      <c r="H12" s="97"/>
      <c r="I12" s="97"/>
      <c r="J12" s="3"/>
      <c r="K12" s="97"/>
      <c r="L12" s="97"/>
      <c r="M12" s="97"/>
      <c r="N12" s="97"/>
      <c r="O12" s="97"/>
      <c r="P12" s="97"/>
      <c r="Q12" s="103" t="s">
        <v>480</v>
      </c>
      <c r="R12" s="3"/>
      <c r="S12" s="3"/>
      <c r="T12" s="3"/>
      <c r="U12" s="3"/>
      <c r="V12" s="3"/>
    </row>
    <row r="13" spans="1:22" x14ac:dyDescent="0.25">
      <c r="A13" s="91" t="s">
        <v>34</v>
      </c>
      <c r="B13" s="98">
        <v>20568</v>
      </c>
      <c r="C13" s="98">
        <v>16198</v>
      </c>
      <c r="D13" s="98">
        <v>23049</v>
      </c>
      <c r="E13" s="98">
        <v>24796</v>
      </c>
      <c r="F13" s="98">
        <v>25748</v>
      </c>
      <c r="G13" s="98">
        <v>25265</v>
      </c>
      <c r="H13" s="98">
        <v>20054</v>
      </c>
      <c r="I13" s="98">
        <v>28611</v>
      </c>
      <c r="J13" s="98">
        <v>26848</v>
      </c>
      <c r="K13" s="98">
        <v>23167</v>
      </c>
      <c r="L13" s="98">
        <v>24200</v>
      </c>
      <c r="M13" s="98">
        <v>25055.795529379811</v>
      </c>
      <c r="N13" s="98">
        <v>25408.829801008011</v>
      </c>
      <c r="O13" s="98">
        <v>25510.844973443876</v>
      </c>
      <c r="P13" s="98">
        <v>25697.156964054186</v>
      </c>
      <c r="Q13" s="98">
        <v>26014.891594431989</v>
      </c>
      <c r="R13" s="98">
        <v>26207.119740950606</v>
      </c>
      <c r="S13" s="98">
        <v>26189.430977586217</v>
      </c>
      <c r="T13" s="98">
        <v>26330.211376669347</v>
      </c>
      <c r="U13" s="98">
        <v>26540.772514991128</v>
      </c>
      <c r="V13" s="98">
        <v>26689.273162957736</v>
      </c>
    </row>
    <row r="14" spans="1:22" x14ac:dyDescent="0.25">
      <c r="A14" s="91" t="s">
        <v>481</v>
      </c>
      <c r="B14" s="98">
        <v>9658</v>
      </c>
      <c r="C14" s="98">
        <v>6549</v>
      </c>
      <c r="D14" s="98">
        <v>5725</v>
      </c>
      <c r="E14" s="98">
        <v>5985</v>
      </c>
      <c r="F14" s="98">
        <v>7922</v>
      </c>
      <c r="G14" s="98">
        <v>9698</v>
      </c>
      <c r="H14" s="98">
        <v>6865</v>
      </c>
      <c r="I14" s="98">
        <v>4406</v>
      </c>
      <c r="J14" s="98">
        <v>6547</v>
      </c>
      <c r="K14" s="98">
        <v>7829</v>
      </c>
      <c r="L14" s="98">
        <v>7189</v>
      </c>
      <c r="M14" s="98">
        <v>4989</v>
      </c>
      <c r="N14" s="98">
        <v>5005.5596533790831</v>
      </c>
      <c r="O14" s="98">
        <v>4954.3603119285799</v>
      </c>
      <c r="P14" s="98">
        <v>4863.7572977653617</v>
      </c>
      <c r="Q14" s="98">
        <v>4880.3509095237296</v>
      </c>
      <c r="R14" s="98">
        <v>4946.3242283737436</v>
      </c>
      <c r="S14" s="98">
        <v>5085.5845131234</v>
      </c>
      <c r="T14" s="98">
        <v>5138.7960367769556</v>
      </c>
      <c r="U14" s="98">
        <v>5207.0451382616175</v>
      </c>
      <c r="V14" s="98">
        <v>5305.7392677204571</v>
      </c>
    </row>
    <row r="15" spans="1:22" x14ac:dyDescent="0.25">
      <c r="A15" s="91" t="s">
        <v>482</v>
      </c>
      <c r="B15" s="98">
        <v>30226</v>
      </c>
      <c r="C15" s="98">
        <v>22747</v>
      </c>
      <c r="D15" s="98">
        <v>28774</v>
      </c>
      <c r="E15" s="98">
        <v>30781</v>
      </c>
      <c r="F15" s="98">
        <v>33670</v>
      </c>
      <c r="G15" s="98">
        <v>34963</v>
      </c>
      <c r="H15" s="98">
        <v>26919</v>
      </c>
      <c r="I15" s="98">
        <v>33017</v>
      </c>
      <c r="J15" s="98">
        <v>33395</v>
      </c>
      <c r="K15" s="98">
        <v>30996</v>
      </c>
      <c r="L15" s="98">
        <v>31389</v>
      </c>
      <c r="M15" s="98">
        <v>30044.795529379811</v>
      </c>
      <c r="N15" s="98">
        <v>30414.389454387092</v>
      </c>
      <c r="O15" s="98">
        <v>30465.205285372456</v>
      </c>
      <c r="P15" s="98">
        <v>30560.914261819547</v>
      </c>
      <c r="Q15" s="98">
        <v>30895.24250395572</v>
      </c>
      <c r="R15" s="98">
        <v>31153.443969324348</v>
      </c>
      <c r="S15" s="98">
        <v>31275.015490709615</v>
      </c>
      <c r="T15" s="98">
        <v>31469.007413446303</v>
      </c>
      <c r="U15" s="98">
        <v>31747.817653252743</v>
      </c>
      <c r="V15" s="98">
        <v>31995.012430678195</v>
      </c>
    </row>
    <row r="16" spans="1:22" x14ac:dyDescent="0.25">
      <c r="A16" s="91"/>
      <c r="B16" s="98"/>
      <c r="C16" s="98"/>
      <c r="D16" s="98"/>
      <c r="E16" s="98"/>
      <c r="F16" s="98"/>
      <c r="G16" s="98"/>
      <c r="H16" s="98"/>
      <c r="I16" s="98"/>
      <c r="J16" s="98"/>
      <c r="K16" s="98"/>
      <c r="L16" s="98"/>
      <c r="M16" s="98"/>
      <c r="N16" s="98"/>
      <c r="O16" s="98"/>
      <c r="P16" s="98"/>
      <c r="Q16" s="98"/>
      <c r="R16" s="98"/>
      <c r="S16" s="98"/>
      <c r="T16" s="98"/>
      <c r="U16" s="98"/>
      <c r="V16" s="98"/>
    </row>
    <row r="17" spans="1:22" x14ac:dyDescent="0.25">
      <c r="A17" s="91" t="s">
        <v>483</v>
      </c>
      <c r="B17" s="98">
        <v>3575</v>
      </c>
      <c r="C17" s="98">
        <v>3749</v>
      </c>
      <c r="D17" s="98">
        <v>3131</v>
      </c>
      <c r="E17" s="98">
        <v>3834</v>
      </c>
      <c r="F17" s="98">
        <v>3817</v>
      </c>
      <c r="G17" s="98">
        <v>4456</v>
      </c>
      <c r="H17" s="98">
        <v>2167</v>
      </c>
      <c r="I17" s="98">
        <v>3240</v>
      </c>
      <c r="J17" s="98">
        <v>2222</v>
      </c>
      <c r="K17" s="98">
        <v>2886</v>
      </c>
      <c r="L17" s="98">
        <v>3700</v>
      </c>
      <c r="M17" s="98">
        <v>3295.5927294326129</v>
      </c>
      <c r="N17" s="98">
        <v>3384.4931249046444</v>
      </c>
      <c r="O17" s="98">
        <v>3367.1712714662785</v>
      </c>
      <c r="P17" s="98">
        <v>3458.991879217574</v>
      </c>
      <c r="Q17" s="98">
        <v>3499.5896451269659</v>
      </c>
      <c r="R17" s="98">
        <v>3587.4724078866943</v>
      </c>
      <c r="S17" s="98">
        <v>3618.7455105228414</v>
      </c>
      <c r="T17" s="98">
        <v>3633.0151009421002</v>
      </c>
      <c r="U17" s="98">
        <v>3669.5889557436003</v>
      </c>
      <c r="V17" s="98">
        <v>3716.130941054611</v>
      </c>
    </row>
    <row r="18" spans="1:22" x14ac:dyDescent="0.25">
      <c r="A18" s="91" t="s">
        <v>484</v>
      </c>
      <c r="B18" s="98">
        <v>4171</v>
      </c>
      <c r="C18" s="98">
        <v>4223</v>
      </c>
      <c r="D18" s="98">
        <v>4048</v>
      </c>
      <c r="E18" s="98">
        <v>4406</v>
      </c>
      <c r="F18" s="98">
        <v>4420</v>
      </c>
      <c r="G18" s="98">
        <v>4528</v>
      </c>
      <c r="H18" s="98">
        <v>4626</v>
      </c>
      <c r="I18" s="98">
        <v>4737</v>
      </c>
      <c r="J18" s="98">
        <v>4705</v>
      </c>
      <c r="K18" s="98">
        <v>4850</v>
      </c>
      <c r="L18" s="98">
        <v>5100</v>
      </c>
      <c r="M18" s="98">
        <v>5330.9303334333563</v>
      </c>
      <c r="N18" s="98">
        <v>5422.1652953707598</v>
      </c>
      <c r="O18" s="98">
        <v>5469.2964140798131</v>
      </c>
      <c r="P18" s="98">
        <v>5533.2882324760576</v>
      </c>
      <c r="Q18" s="98">
        <v>5608.3791538579299</v>
      </c>
      <c r="R18" s="98">
        <v>5707.9725376488859</v>
      </c>
      <c r="S18" s="98">
        <v>5772.9316153388918</v>
      </c>
      <c r="T18" s="98">
        <v>5833.5226698371771</v>
      </c>
      <c r="U18" s="98">
        <v>5917.1954218331184</v>
      </c>
      <c r="V18" s="98">
        <v>5976.2259742893702</v>
      </c>
    </row>
    <row r="19" spans="1:22" x14ac:dyDescent="0.25">
      <c r="A19" s="91" t="s">
        <v>485</v>
      </c>
      <c r="B19" s="98">
        <v>6549</v>
      </c>
      <c r="C19" s="98">
        <v>5725</v>
      </c>
      <c r="D19" s="98">
        <v>5985</v>
      </c>
      <c r="E19" s="98">
        <v>7922</v>
      </c>
      <c r="F19" s="98">
        <v>9698</v>
      </c>
      <c r="G19" s="98">
        <v>6865</v>
      </c>
      <c r="H19" s="98">
        <v>4406</v>
      </c>
      <c r="I19" s="98">
        <v>6547</v>
      </c>
      <c r="J19" s="98">
        <v>7829</v>
      </c>
      <c r="K19" s="98">
        <v>7189</v>
      </c>
      <c r="L19" s="98">
        <v>4989</v>
      </c>
      <c r="M19" s="98">
        <v>5005.5596533790831</v>
      </c>
      <c r="N19" s="98">
        <v>4954.3603119285799</v>
      </c>
      <c r="O19" s="98">
        <v>4863.7572977653617</v>
      </c>
      <c r="P19" s="98">
        <v>4880.3509095237296</v>
      </c>
      <c r="Q19" s="98">
        <v>4946.3242283737436</v>
      </c>
      <c r="R19" s="98">
        <v>5085.5845131234</v>
      </c>
      <c r="S19" s="98">
        <v>5138.7960367769556</v>
      </c>
      <c r="T19" s="98">
        <v>5207.0451382616175</v>
      </c>
      <c r="U19" s="98">
        <v>5305.7392677204571</v>
      </c>
      <c r="V19" s="98">
        <v>5368.9574873351939</v>
      </c>
    </row>
    <row r="20" spans="1:22" x14ac:dyDescent="0.25">
      <c r="A20" s="91" t="s">
        <v>486</v>
      </c>
      <c r="B20" s="98">
        <v>14295</v>
      </c>
      <c r="C20" s="98">
        <v>13697</v>
      </c>
      <c r="D20" s="98">
        <v>13164</v>
      </c>
      <c r="E20" s="98">
        <v>16162</v>
      </c>
      <c r="F20" s="98">
        <v>17935</v>
      </c>
      <c r="G20" s="98">
        <v>15849</v>
      </c>
      <c r="H20" s="98">
        <v>11199</v>
      </c>
      <c r="I20" s="98">
        <v>14524</v>
      </c>
      <c r="J20" s="98">
        <v>14756</v>
      </c>
      <c r="K20" s="98">
        <v>14925</v>
      </c>
      <c r="L20" s="98">
        <v>13789</v>
      </c>
      <c r="M20" s="98">
        <v>13632.082468541174</v>
      </c>
      <c r="N20" s="98">
        <v>13761.019177271261</v>
      </c>
      <c r="O20" s="98">
        <v>13700.224572308549</v>
      </c>
      <c r="P20" s="98">
        <v>13872.631397192037</v>
      </c>
      <c r="Q20" s="98">
        <v>14054.292695807953</v>
      </c>
      <c r="R20" s="98">
        <v>14381.029765696256</v>
      </c>
      <c r="S20" s="98">
        <v>14530.473070114638</v>
      </c>
      <c r="T20" s="98">
        <v>14673.583036291207</v>
      </c>
      <c r="U20" s="98">
        <v>14892.52365109389</v>
      </c>
      <c r="V20" s="98">
        <v>15061.314233045348</v>
      </c>
    </row>
    <row r="21" spans="1:22" x14ac:dyDescent="0.25">
      <c r="A21" s="91"/>
      <c r="B21" s="98"/>
      <c r="C21" s="98"/>
      <c r="D21" s="98"/>
      <c r="E21" s="98"/>
      <c r="F21" s="98"/>
      <c r="G21" s="98"/>
      <c r="H21" s="98"/>
      <c r="I21" s="98"/>
      <c r="J21" s="98"/>
      <c r="K21" s="98"/>
      <c r="L21" s="98"/>
      <c r="M21" s="98"/>
      <c r="N21" s="98"/>
      <c r="O21" s="98"/>
      <c r="P21" s="98"/>
      <c r="Q21" s="98"/>
      <c r="R21" s="98"/>
      <c r="S21" s="98"/>
      <c r="T21" s="98"/>
      <c r="U21" s="98"/>
      <c r="V21" s="98"/>
    </row>
    <row r="22" spans="1:22" x14ac:dyDescent="0.25">
      <c r="A22" s="91" t="s">
        <v>487</v>
      </c>
      <c r="B22" s="98">
        <v>15931</v>
      </c>
      <c r="C22" s="98">
        <v>9050</v>
      </c>
      <c r="D22" s="98">
        <v>15610</v>
      </c>
      <c r="E22" s="98">
        <v>14619</v>
      </c>
      <c r="F22" s="98">
        <v>15735</v>
      </c>
      <c r="G22" s="98">
        <v>19114</v>
      </c>
      <c r="H22" s="98">
        <v>15720</v>
      </c>
      <c r="I22" s="98">
        <v>18493</v>
      </c>
      <c r="J22" s="98">
        <v>18639</v>
      </c>
      <c r="K22" s="98">
        <v>16071</v>
      </c>
      <c r="L22" s="98">
        <v>17600</v>
      </c>
      <c r="M22" s="98">
        <v>16412.713060838636</v>
      </c>
      <c r="N22" s="98">
        <v>16653.370277115831</v>
      </c>
      <c r="O22" s="98">
        <v>16764.980713063909</v>
      </c>
      <c r="P22" s="98">
        <v>16688.282864627508</v>
      </c>
      <c r="Q22" s="98">
        <v>16840.949808147765</v>
      </c>
      <c r="R22" s="98">
        <v>16772.41420362809</v>
      </c>
      <c r="S22" s="98">
        <v>16744.542420594975</v>
      </c>
      <c r="T22" s="98">
        <v>16795.424377155097</v>
      </c>
      <c r="U22" s="98">
        <v>16855.294002158851</v>
      </c>
      <c r="V22" s="98">
        <v>16933.698197632846</v>
      </c>
    </row>
    <row r="24" spans="1:22" ht="18.75" thickBot="1" x14ac:dyDescent="0.3">
      <c r="A24" s="90" t="s">
        <v>488</v>
      </c>
      <c r="B24" s="104"/>
      <c r="C24" s="104"/>
      <c r="D24" s="104"/>
      <c r="E24" s="104"/>
      <c r="F24" s="104"/>
      <c r="G24" s="104"/>
      <c r="H24" s="104"/>
      <c r="I24" s="104"/>
      <c r="J24" s="104"/>
      <c r="K24" s="104"/>
      <c r="L24" s="104"/>
      <c r="M24" s="104"/>
      <c r="N24" s="104"/>
      <c r="O24" s="104"/>
      <c r="P24" s="104"/>
      <c r="Q24" s="104"/>
      <c r="R24" s="104"/>
      <c r="S24" s="104"/>
      <c r="T24" s="104"/>
      <c r="U24" s="104"/>
      <c r="V24" s="104"/>
    </row>
    <row r="25" spans="1:22" ht="15.75" thickTop="1" x14ac:dyDescent="0.25">
      <c r="A25" s="91"/>
      <c r="B25" s="91"/>
      <c r="C25" s="91"/>
      <c r="D25" s="91"/>
      <c r="E25" s="91"/>
      <c r="F25" s="91"/>
      <c r="G25" s="91"/>
      <c r="H25" s="91"/>
      <c r="I25" s="91"/>
      <c r="J25" s="91"/>
      <c r="K25" s="91"/>
      <c r="L25" s="91"/>
      <c r="M25" s="91"/>
      <c r="N25" s="91"/>
      <c r="O25" s="91"/>
      <c r="P25" s="91"/>
      <c r="Q25" s="91"/>
      <c r="R25" s="91"/>
      <c r="S25" s="91"/>
      <c r="T25" s="91"/>
      <c r="U25" s="91"/>
      <c r="V25" s="91"/>
    </row>
    <row r="26" spans="1:22" x14ac:dyDescent="0.25">
      <c r="A26" s="91"/>
      <c r="B26" s="93" t="s">
        <v>455</v>
      </c>
      <c r="C26" s="93" t="s">
        <v>456</v>
      </c>
      <c r="D26" s="93" t="s">
        <v>457</v>
      </c>
      <c r="E26" s="93" t="s">
        <v>458</v>
      </c>
      <c r="F26" s="93" t="s">
        <v>459</v>
      </c>
      <c r="G26" s="93" t="s">
        <v>460</v>
      </c>
      <c r="H26" s="93" t="s">
        <v>461</v>
      </c>
      <c r="I26" s="93" t="s">
        <v>462</v>
      </c>
      <c r="J26" s="93" t="s">
        <v>463</v>
      </c>
      <c r="K26" s="93" t="s">
        <v>464</v>
      </c>
      <c r="L26" s="93" t="s">
        <v>465</v>
      </c>
      <c r="M26" s="93" t="s">
        <v>466</v>
      </c>
      <c r="N26" s="93" t="s">
        <v>467</v>
      </c>
      <c r="O26" s="93" t="s">
        <v>468</v>
      </c>
      <c r="P26" s="93" t="s">
        <v>469</v>
      </c>
      <c r="Q26" s="93" t="s">
        <v>470</v>
      </c>
      <c r="R26" s="93" t="s">
        <v>471</v>
      </c>
      <c r="S26" s="93" t="s">
        <v>472</v>
      </c>
      <c r="T26" s="93" t="s">
        <v>473</v>
      </c>
      <c r="U26" s="93" t="s">
        <v>474</v>
      </c>
      <c r="V26" s="93" t="s">
        <v>475</v>
      </c>
    </row>
    <row r="27" spans="1:22" x14ac:dyDescent="0.25">
      <c r="A27" s="105"/>
      <c r="B27" s="95"/>
      <c r="C27" s="95"/>
      <c r="D27" s="95"/>
      <c r="E27" s="95"/>
      <c r="F27" s="95"/>
      <c r="G27" s="95"/>
      <c r="H27" s="95"/>
      <c r="I27" s="95"/>
      <c r="J27" s="95"/>
      <c r="K27" s="95"/>
      <c r="L27" s="95"/>
      <c r="M27" s="95"/>
      <c r="N27" s="95"/>
      <c r="O27" s="95"/>
      <c r="P27" s="95"/>
      <c r="Q27" s="95"/>
      <c r="R27" s="95"/>
      <c r="S27" s="95"/>
      <c r="T27" s="95"/>
      <c r="U27" s="95"/>
      <c r="V27" s="95"/>
    </row>
    <row r="28" spans="1:22" x14ac:dyDescent="0.25">
      <c r="A28" s="91"/>
      <c r="B28" s="91"/>
      <c r="C28" s="91"/>
      <c r="D28" s="91"/>
      <c r="E28" s="91"/>
      <c r="F28" s="91"/>
      <c r="G28" s="91"/>
      <c r="H28" s="91"/>
      <c r="I28" s="91"/>
      <c r="J28" s="91"/>
      <c r="K28" s="91"/>
      <c r="L28" s="91"/>
      <c r="M28" s="91"/>
      <c r="N28" s="91"/>
      <c r="O28" s="91"/>
      <c r="P28" s="91"/>
      <c r="Q28" s="91"/>
      <c r="R28" s="91"/>
      <c r="S28" s="91"/>
      <c r="T28" s="91"/>
      <c r="U28" s="91"/>
      <c r="V28" s="91"/>
    </row>
    <row r="29" spans="1:22" x14ac:dyDescent="0.25">
      <c r="A29" s="106" t="s">
        <v>85</v>
      </c>
      <c r="B29" s="3"/>
      <c r="C29" s="3"/>
      <c r="D29" s="3"/>
      <c r="E29" s="3"/>
      <c r="F29" s="103" t="s">
        <v>476</v>
      </c>
      <c r="G29" s="97"/>
      <c r="H29" s="97"/>
      <c r="I29" s="97"/>
      <c r="J29" s="3"/>
      <c r="K29" s="97"/>
      <c r="L29" s="97"/>
      <c r="M29" s="97"/>
      <c r="N29" s="97"/>
      <c r="O29" s="97"/>
      <c r="P29" s="97"/>
      <c r="Q29" s="103" t="s">
        <v>476</v>
      </c>
      <c r="R29" s="3"/>
      <c r="S29" s="3"/>
      <c r="T29" s="3"/>
      <c r="U29" s="3"/>
      <c r="V29" s="3"/>
    </row>
    <row r="30" spans="1:22" x14ac:dyDescent="0.25">
      <c r="A30" s="91" t="s">
        <v>477</v>
      </c>
      <c r="B30" s="98">
        <v>1268</v>
      </c>
      <c r="C30" s="98">
        <v>1283</v>
      </c>
      <c r="D30" s="98">
        <v>1226</v>
      </c>
      <c r="E30" s="98">
        <v>1072</v>
      </c>
      <c r="F30" s="98">
        <v>1085</v>
      </c>
      <c r="G30" s="98">
        <v>1061</v>
      </c>
      <c r="H30" s="98">
        <v>1370</v>
      </c>
      <c r="I30" s="98">
        <v>1169</v>
      </c>
      <c r="J30" s="98">
        <v>1142</v>
      </c>
      <c r="K30" s="98">
        <v>1203</v>
      </c>
      <c r="L30" s="98">
        <v>1200</v>
      </c>
      <c r="M30" s="98">
        <v>1255.5575506245177</v>
      </c>
      <c r="N30" s="98">
        <v>1235.7921011226158</v>
      </c>
      <c r="O30" s="98">
        <v>1255.6243549779333</v>
      </c>
      <c r="P30" s="98">
        <v>1242.6900417204549</v>
      </c>
      <c r="Q30" s="98">
        <v>1239.0047904541159</v>
      </c>
      <c r="R30" s="98">
        <v>1228.2671884279534</v>
      </c>
      <c r="S30" s="98">
        <v>1229.0475520871123</v>
      </c>
      <c r="T30" s="98">
        <v>1226.6241809555568</v>
      </c>
      <c r="U30" s="98">
        <v>1223.192314283898</v>
      </c>
      <c r="V30" s="98">
        <v>1215.5861017608929</v>
      </c>
    </row>
    <row r="31" spans="1:22" x14ac:dyDescent="0.25">
      <c r="A31" s="91"/>
      <c r="B31" s="101"/>
      <c r="C31" s="101"/>
      <c r="D31" s="101"/>
      <c r="E31" s="101"/>
      <c r="F31" s="101"/>
      <c r="G31" s="101"/>
      <c r="H31" s="101"/>
      <c r="I31" s="101"/>
      <c r="J31" s="101"/>
      <c r="K31" s="101"/>
      <c r="L31" s="101"/>
      <c r="M31" s="101"/>
      <c r="N31" s="101"/>
      <c r="O31" s="101"/>
      <c r="P31" s="101"/>
      <c r="Q31" s="101"/>
      <c r="R31" s="101"/>
      <c r="S31" s="101"/>
      <c r="T31" s="101"/>
      <c r="U31" s="101"/>
      <c r="V31" s="101"/>
    </row>
    <row r="32" spans="1:22" x14ac:dyDescent="0.25">
      <c r="A32" s="91"/>
      <c r="B32" s="3"/>
      <c r="C32" s="3"/>
      <c r="D32" s="3"/>
      <c r="E32" s="3"/>
      <c r="F32" s="107" t="s">
        <v>478</v>
      </c>
      <c r="G32" s="97"/>
      <c r="H32" s="97"/>
      <c r="I32" s="97"/>
      <c r="J32" s="3"/>
      <c r="K32" s="97"/>
      <c r="L32" s="97"/>
      <c r="M32" s="97"/>
      <c r="N32" s="97"/>
      <c r="O32" s="97"/>
      <c r="P32" s="97"/>
      <c r="Q32" s="107" t="s">
        <v>478</v>
      </c>
      <c r="R32" s="3"/>
      <c r="S32" s="3"/>
      <c r="T32" s="3"/>
      <c r="U32" s="3"/>
      <c r="V32" s="3"/>
    </row>
    <row r="33" spans="1:22" x14ac:dyDescent="0.25">
      <c r="A33" s="91" t="s">
        <v>479</v>
      </c>
      <c r="B33" s="101">
        <v>6.6159305993690856</v>
      </c>
      <c r="C33" s="101">
        <v>7.0140296180826187</v>
      </c>
      <c r="D33" s="101">
        <v>7.8197389885807507</v>
      </c>
      <c r="E33" s="101">
        <v>8.2434701492537314</v>
      </c>
      <c r="F33" s="101">
        <v>8.6009216589861754</v>
      </c>
      <c r="G33" s="101">
        <v>8.4731385485391133</v>
      </c>
      <c r="H33" s="101">
        <v>8.5029197080291965</v>
      </c>
      <c r="I33" s="101">
        <v>9.0607356715141147</v>
      </c>
      <c r="J33" s="101">
        <v>8.3721541155866905</v>
      </c>
      <c r="K33" s="101">
        <v>9.7373233582709897</v>
      </c>
      <c r="L33" s="101">
        <v>8.3333333333333339</v>
      </c>
      <c r="M33" s="101">
        <v>9.0625109211080748</v>
      </c>
      <c r="N33" s="101">
        <v>9.1436995213892036</v>
      </c>
      <c r="O33" s="101">
        <v>9.2486569492634558</v>
      </c>
      <c r="P33" s="101">
        <v>9.3552004151291293</v>
      </c>
      <c r="Q33" s="101">
        <v>9.4625077581548975</v>
      </c>
      <c r="R33" s="101">
        <v>9.5377218013397247</v>
      </c>
      <c r="S33" s="101">
        <v>9.6005753985046596</v>
      </c>
      <c r="T33" s="101">
        <v>9.666174651441942</v>
      </c>
      <c r="U33" s="101">
        <v>9.7679846816862455</v>
      </c>
      <c r="V33" s="101">
        <v>9.8062889120182817</v>
      </c>
    </row>
    <row r="34" spans="1:22" x14ac:dyDescent="0.25">
      <c r="A34" s="91"/>
      <c r="B34" s="108"/>
      <c r="C34" s="108"/>
      <c r="D34" s="108"/>
      <c r="E34" s="108"/>
      <c r="F34" s="108"/>
      <c r="G34" s="108"/>
      <c r="H34" s="108"/>
      <c r="I34" s="108"/>
      <c r="J34" s="108"/>
      <c r="K34" s="108"/>
      <c r="L34" s="108"/>
      <c r="M34" s="108"/>
      <c r="N34" s="108"/>
      <c r="O34" s="108"/>
      <c r="P34" s="108"/>
      <c r="Q34" s="108"/>
      <c r="R34" s="108"/>
      <c r="S34" s="108"/>
      <c r="T34" s="108"/>
      <c r="U34" s="108"/>
      <c r="V34" s="108"/>
    </row>
    <row r="35" spans="1:22" x14ac:dyDescent="0.25">
      <c r="A35" s="91"/>
      <c r="B35" s="3"/>
      <c r="C35" s="3"/>
      <c r="D35" s="3"/>
      <c r="E35" s="3"/>
      <c r="F35" s="103" t="s">
        <v>480</v>
      </c>
      <c r="G35" s="97"/>
      <c r="H35" s="97"/>
      <c r="I35" s="97"/>
      <c r="J35" s="3"/>
      <c r="K35" s="97"/>
      <c r="L35" s="97"/>
      <c r="M35" s="97"/>
      <c r="N35" s="97"/>
      <c r="O35" s="97"/>
      <c r="P35" s="97"/>
      <c r="Q35" s="103" t="s">
        <v>480</v>
      </c>
      <c r="R35" s="3"/>
      <c r="S35" s="3"/>
      <c r="T35" s="3"/>
      <c r="U35" s="3"/>
      <c r="V35" s="3"/>
    </row>
    <row r="36" spans="1:22" x14ac:dyDescent="0.25">
      <c r="A36" s="91" t="s">
        <v>34</v>
      </c>
      <c r="B36" s="98">
        <v>8389</v>
      </c>
      <c r="C36" s="98">
        <v>8999</v>
      </c>
      <c r="D36" s="98">
        <v>9587</v>
      </c>
      <c r="E36" s="98">
        <v>8837</v>
      </c>
      <c r="F36" s="98">
        <v>9332</v>
      </c>
      <c r="G36" s="98">
        <v>8990</v>
      </c>
      <c r="H36" s="98">
        <v>11649</v>
      </c>
      <c r="I36" s="98">
        <v>10592</v>
      </c>
      <c r="J36" s="98">
        <v>9561</v>
      </c>
      <c r="K36" s="98">
        <v>11714</v>
      </c>
      <c r="L36" s="98">
        <v>10000</v>
      </c>
      <c r="M36" s="98">
        <v>11378.504014396483</v>
      </c>
      <c r="N36" s="98">
        <v>11299.711628544959</v>
      </c>
      <c r="O36" s="98">
        <v>11612.838970764704</v>
      </c>
      <c r="P36" s="98">
        <v>11625.614328196292</v>
      </c>
      <c r="Q36" s="98">
        <v>11724.092404037669</v>
      </c>
      <c r="R36" s="98">
        <v>11714.870743066631</v>
      </c>
      <c r="S36" s="98">
        <v>11799.563765070623</v>
      </c>
      <c r="T36" s="98">
        <v>11856.763602874164</v>
      </c>
      <c r="U36" s="98">
        <v>11948.123836331217</v>
      </c>
      <c r="V36" s="98">
        <v>11920.388566122097</v>
      </c>
    </row>
    <row r="37" spans="1:22" x14ac:dyDescent="0.25">
      <c r="A37" s="91" t="s">
        <v>481</v>
      </c>
      <c r="B37" s="98">
        <v>880</v>
      </c>
      <c r="C37" s="98">
        <v>1056</v>
      </c>
      <c r="D37" s="98">
        <v>1111</v>
      </c>
      <c r="E37" s="98">
        <v>1143</v>
      </c>
      <c r="F37" s="98">
        <v>1802</v>
      </c>
      <c r="G37" s="98">
        <v>2001</v>
      </c>
      <c r="H37" s="98">
        <v>1337</v>
      </c>
      <c r="I37" s="98">
        <v>1457</v>
      </c>
      <c r="J37" s="98">
        <v>1833</v>
      </c>
      <c r="K37" s="98">
        <v>1758</v>
      </c>
      <c r="L37" s="98">
        <v>1278</v>
      </c>
      <c r="M37" s="98">
        <v>1178</v>
      </c>
      <c r="N37" s="98">
        <v>1277.271668123085</v>
      </c>
      <c r="O37" s="98">
        <v>1273.9901382404541</v>
      </c>
      <c r="P37" s="98">
        <v>1297.9431997277934</v>
      </c>
      <c r="Q37" s="98">
        <v>1289.0955817324211</v>
      </c>
      <c r="R37" s="98">
        <v>1289.5661483623694</v>
      </c>
      <c r="S37" s="98">
        <v>1286.8484230570932</v>
      </c>
      <c r="T37" s="98">
        <v>1299.1306886896009</v>
      </c>
      <c r="U37" s="98">
        <v>1316.8175882880573</v>
      </c>
      <c r="V37" s="98">
        <v>1336.2698862458544</v>
      </c>
    </row>
    <row r="38" spans="1:22" x14ac:dyDescent="0.25">
      <c r="A38" s="91" t="s">
        <v>482</v>
      </c>
      <c r="B38" s="98">
        <v>9269</v>
      </c>
      <c r="C38" s="98">
        <v>10055</v>
      </c>
      <c r="D38" s="98">
        <v>10698</v>
      </c>
      <c r="E38" s="98">
        <v>9980</v>
      </c>
      <c r="F38" s="98">
        <v>11134</v>
      </c>
      <c r="G38" s="98">
        <v>10991</v>
      </c>
      <c r="H38" s="98">
        <v>12986</v>
      </c>
      <c r="I38" s="98">
        <v>12049</v>
      </c>
      <c r="J38" s="98">
        <v>11394</v>
      </c>
      <c r="K38" s="98">
        <v>13472</v>
      </c>
      <c r="L38" s="98">
        <v>11278</v>
      </c>
      <c r="M38" s="98">
        <v>12556.504014396483</v>
      </c>
      <c r="N38" s="98">
        <v>12576.983330030249</v>
      </c>
      <c r="O38" s="98">
        <v>12886.828992937148</v>
      </c>
      <c r="P38" s="98">
        <v>12923.557671914896</v>
      </c>
      <c r="Q38" s="98">
        <v>13013.188054667566</v>
      </c>
      <c r="R38" s="98">
        <v>13004.436852255112</v>
      </c>
      <c r="S38" s="98">
        <v>13086.412008705323</v>
      </c>
      <c r="T38" s="98">
        <v>13155.894216894725</v>
      </c>
      <c r="U38" s="98">
        <v>13264.941363969278</v>
      </c>
      <c r="V38" s="98">
        <v>13256.658398390606</v>
      </c>
    </row>
    <row r="39" spans="1:22" x14ac:dyDescent="0.25">
      <c r="A39" s="3"/>
      <c r="B39" s="91"/>
      <c r="C39" s="91"/>
      <c r="D39" s="91"/>
      <c r="E39" s="91"/>
      <c r="F39" s="91"/>
      <c r="G39" s="91"/>
      <c r="H39" s="91"/>
      <c r="I39" s="91"/>
      <c r="J39" s="91"/>
      <c r="K39" s="91"/>
      <c r="L39" s="91"/>
      <c r="M39" s="91"/>
      <c r="N39" s="91"/>
      <c r="O39" s="91"/>
      <c r="P39" s="91"/>
      <c r="Q39" s="91"/>
      <c r="R39" s="91"/>
      <c r="S39" s="91"/>
      <c r="T39" s="91"/>
      <c r="U39" s="91"/>
      <c r="V39" s="91"/>
    </row>
    <row r="40" spans="1:22" x14ac:dyDescent="0.25">
      <c r="A40" s="91" t="s">
        <v>483</v>
      </c>
      <c r="B40" s="98">
        <v>9645</v>
      </c>
      <c r="C40" s="98">
        <v>10156</v>
      </c>
      <c r="D40" s="98">
        <v>8785</v>
      </c>
      <c r="E40" s="98">
        <v>7906</v>
      </c>
      <c r="F40" s="98">
        <v>8518</v>
      </c>
      <c r="G40" s="98">
        <v>8447</v>
      </c>
      <c r="H40" s="98">
        <v>10184</v>
      </c>
      <c r="I40" s="98">
        <v>7557</v>
      </c>
      <c r="J40" s="98">
        <v>6996</v>
      </c>
      <c r="K40" s="98">
        <v>6674</v>
      </c>
      <c r="L40" s="98">
        <v>6300</v>
      </c>
      <c r="M40" s="98">
        <v>6865.0575040105095</v>
      </c>
      <c r="N40" s="98">
        <v>7041.5259371800266</v>
      </c>
      <c r="O40" s="98">
        <v>7213.6774779024026</v>
      </c>
      <c r="P40" s="98">
        <v>7310.9234261119191</v>
      </c>
      <c r="Q40" s="98">
        <v>7341.5364089212972</v>
      </c>
      <c r="R40" s="98">
        <v>7401.8687949433361</v>
      </c>
      <c r="S40" s="98">
        <v>7529.9431032115099</v>
      </c>
      <c r="T40" s="98">
        <v>7639.6226299707832</v>
      </c>
      <c r="U40" s="98">
        <v>7781.1644414572329</v>
      </c>
      <c r="V40" s="98">
        <v>7910.5698821391425</v>
      </c>
    </row>
    <row r="41" spans="1:22" x14ac:dyDescent="0.25">
      <c r="A41" s="91" t="s">
        <v>484</v>
      </c>
      <c r="B41" s="98">
        <v>2320</v>
      </c>
      <c r="C41" s="98">
        <v>2420</v>
      </c>
      <c r="D41" s="98">
        <v>2430</v>
      </c>
      <c r="E41" s="98">
        <v>2405</v>
      </c>
      <c r="F41" s="98">
        <v>2290</v>
      </c>
      <c r="G41" s="98">
        <v>2995</v>
      </c>
      <c r="H41" s="98">
        <v>3585</v>
      </c>
      <c r="I41" s="98">
        <v>4130</v>
      </c>
      <c r="J41" s="98">
        <v>4610</v>
      </c>
      <c r="K41" s="98">
        <v>4760</v>
      </c>
      <c r="L41" s="98">
        <v>4700</v>
      </c>
      <c r="M41" s="98">
        <v>5173.6488607590081</v>
      </c>
      <c r="N41" s="98">
        <v>5346.6399378047627</v>
      </c>
      <c r="O41" s="98">
        <v>5515.1156969530357</v>
      </c>
      <c r="P41" s="98">
        <v>5555.1228731808133</v>
      </c>
      <c r="Q41" s="98">
        <v>5620.5800119861597</v>
      </c>
      <c r="R41" s="98">
        <v>5724.0430517976129</v>
      </c>
      <c r="S41" s="98">
        <v>5857.1957552942431</v>
      </c>
      <c r="T41" s="98">
        <v>5987.8990038997163</v>
      </c>
      <c r="U41" s="98">
        <v>6114.3867993246376</v>
      </c>
      <c r="V41" s="98">
        <v>6214.6392242363136</v>
      </c>
    </row>
    <row r="42" spans="1:22" x14ac:dyDescent="0.25">
      <c r="A42" s="91" t="s">
        <v>485</v>
      </c>
      <c r="B42" s="98">
        <v>1056</v>
      </c>
      <c r="C42" s="98">
        <v>1111</v>
      </c>
      <c r="D42" s="98">
        <v>1143</v>
      </c>
      <c r="E42" s="98">
        <v>1802</v>
      </c>
      <c r="F42" s="98">
        <v>2001</v>
      </c>
      <c r="G42" s="98">
        <v>1337</v>
      </c>
      <c r="H42" s="98">
        <v>1457</v>
      </c>
      <c r="I42" s="98">
        <v>1833</v>
      </c>
      <c r="J42" s="98">
        <v>1758</v>
      </c>
      <c r="K42" s="98">
        <v>1278</v>
      </c>
      <c r="L42" s="98">
        <v>1178</v>
      </c>
      <c r="M42" s="98">
        <v>1277.271668123085</v>
      </c>
      <c r="N42" s="98">
        <v>1273.9901382404541</v>
      </c>
      <c r="O42" s="98">
        <v>1297.9431997277934</v>
      </c>
      <c r="P42" s="98">
        <v>1289.0955817324211</v>
      </c>
      <c r="Q42" s="98">
        <v>1289.5661483623694</v>
      </c>
      <c r="R42" s="98">
        <v>1286.8484230570932</v>
      </c>
      <c r="S42" s="98">
        <v>1299.1306886896009</v>
      </c>
      <c r="T42" s="98">
        <v>1316.8175882880573</v>
      </c>
      <c r="U42" s="98">
        <v>1336.2698862458544</v>
      </c>
      <c r="V42" s="98">
        <v>1347.0429076981438</v>
      </c>
    </row>
    <row r="43" spans="1:22" x14ac:dyDescent="0.25">
      <c r="A43" s="91" t="s">
        <v>486</v>
      </c>
      <c r="B43" s="98">
        <v>13021</v>
      </c>
      <c r="C43" s="98">
        <v>13687</v>
      </c>
      <c r="D43" s="98">
        <v>12358</v>
      </c>
      <c r="E43" s="98">
        <v>12113</v>
      </c>
      <c r="F43" s="98">
        <v>12809</v>
      </c>
      <c r="G43" s="98">
        <v>12779</v>
      </c>
      <c r="H43" s="98">
        <v>15226</v>
      </c>
      <c r="I43" s="98">
        <v>13520</v>
      </c>
      <c r="J43" s="98">
        <v>13364</v>
      </c>
      <c r="K43" s="98">
        <v>12712</v>
      </c>
      <c r="L43" s="98">
        <v>12178</v>
      </c>
      <c r="M43" s="98">
        <v>13315.978035017426</v>
      </c>
      <c r="N43" s="98">
        <v>13662.155481719943</v>
      </c>
      <c r="O43" s="98">
        <v>14026.737245971039</v>
      </c>
      <c r="P43" s="98">
        <v>14155.142653830779</v>
      </c>
      <c r="Q43" s="98">
        <v>14251.681973346345</v>
      </c>
      <c r="R43" s="98">
        <v>14412.759131127648</v>
      </c>
      <c r="S43" s="98">
        <v>14686.268967977405</v>
      </c>
      <c r="T43" s="98">
        <v>14944.338898154077</v>
      </c>
      <c r="U43" s="98">
        <v>15231.820669661347</v>
      </c>
      <c r="V43" s="98">
        <v>15472.251568434804</v>
      </c>
    </row>
    <row r="44" spans="1:22" x14ac:dyDescent="0.25">
      <c r="A44" s="3"/>
      <c r="B44" s="91"/>
      <c r="C44" s="91"/>
      <c r="D44" s="91"/>
      <c r="E44" s="91"/>
      <c r="F44" s="91"/>
      <c r="G44" s="91"/>
      <c r="H44" s="91"/>
      <c r="I44" s="91"/>
      <c r="J44" s="91"/>
      <c r="K44" s="91"/>
      <c r="L44" s="91"/>
      <c r="M44" s="91"/>
      <c r="N44" s="91"/>
      <c r="O44" s="91"/>
      <c r="P44" s="91"/>
      <c r="Q44" s="91"/>
      <c r="R44" s="91"/>
      <c r="S44" s="91"/>
      <c r="T44" s="91"/>
      <c r="U44" s="91"/>
      <c r="V44" s="91"/>
    </row>
    <row r="45" spans="1:22" x14ac:dyDescent="0.25">
      <c r="A45" s="91" t="s">
        <v>487</v>
      </c>
      <c r="B45" s="98">
        <v>-3752</v>
      </c>
      <c r="C45" s="98">
        <v>-3632</v>
      </c>
      <c r="D45" s="98">
        <v>-1660</v>
      </c>
      <c r="E45" s="98">
        <v>-2133</v>
      </c>
      <c r="F45" s="98">
        <v>-1675</v>
      </c>
      <c r="G45" s="98">
        <v>-1788</v>
      </c>
      <c r="H45" s="98">
        <v>-2240</v>
      </c>
      <c r="I45" s="98">
        <v>-1471</v>
      </c>
      <c r="J45" s="98">
        <v>-1970</v>
      </c>
      <c r="K45" s="98">
        <v>760</v>
      </c>
      <c r="L45" s="98">
        <v>-900</v>
      </c>
      <c r="M45" s="98">
        <v>-759.47405274277116</v>
      </c>
      <c r="N45" s="98">
        <v>-1085.1714643839969</v>
      </c>
      <c r="O45" s="98">
        <v>-1139.9087538706935</v>
      </c>
      <c r="P45" s="98">
        <v>-1231.5867530016712</v>
      </c>
      <c r="Q45" s="98">
        <v>-1238.4942026949175</v>
      </c>
      <c r="R45" s="98">
        <v>-1408.3204758423872</v>
      </c>
      <c r="S45" s="98">
        <v>-1599.8550355542593</v>
      </c>
      <c r="T45" s="98">
        <v>-1788.4436705143307</v>
      </c>
      <c r="U45" s="98">
        <v>-1966.878449363352</v>
      </c>
      <c r="V45" s="98">
        <v>-2215.5923156039098</v>
      </c>
    </row>
    <row r="46" spans="1:22" x14ac:dyDescent="0.25">
      <c r="A46" s="91"/>
      <c r="B46" s="109"/>
      <c r="C46" s="109"/>
      <c r="D46" s="109"/>
      <c r="E46" s="109"/>
      <c r="F46" s="109"/>
      <c r="G46" s="109"/>
      <c r="H46" s="109"/>
      <c r="I46" s="109"/>
      <c r="J46" s="109"/>
      <c r="K46" s="109"/>
      <c r="L46" s="109"/>
      <c r="M46" s="109"/>
      <c r="N46" s="109"/>
      <c r="O46" s="109"/>
      <c r="P46" s="109"/>
      <c r="Q46" s="109"/>
      <c r="R46" s="109"/>
      <c r="S46" s="109"/>
      <c r="T46" s="109"/>
      <c r="U46" s="109"/>
      <c r="V46" s="109"/>
    </row>
    <row r="47" spans="1:22" x14ac:dyDescent="0.25">
      <c r="A47" s="106" t="s">
        <v>86</v>
      </c>
      <c r="B47" s="3"/>
      <c r="C47" s="3"/>
      <c r="D47" s="3"/>
      <c r="E47" s="3"/>
      <c r="F47" s="103" t="s">
        <v>476</v>
      </c>
      <c r="G47" s="97"/>
      <c r="H47" s="97"/>
      <c r="I47" s="97"/>
      <c r="J47" s="3"/>
      <c r="K47" s="97"/>
      <c r="L47" s="97"/>
      <c r="M47" s="97"/>
      <c r="N47" s="97"/>
      <c r="O47" s="97"/>
      <c r="P47" s="97"/>
      <c r="Q47" s="103" t="s">
        <v>476</v>
      </c>
      <c r="R47" s="3"/>
      <c r="S47" s="3"/>
      <c r="T47" s="3"/>
      <c r="U47" s="3"/>
      <c r="V47" s="3"/>
    </row>
    <row r="48" spans="1:22" x14ac:dyDescent="0.25">
      <c r="A48" s="91" t="s">
        <v>477</v>
      </c>
      <c r="B48" s="98">
        <v>4150</v>
      </c>
      <c r="C48" s="98">
        <v>3348</v>
      </c>
      <c r="D48" s="98">
        <v>4397</v>
      </c>
      <c r="E48" s="98">
        <v>3841</v>
      </c>
      <c r="F48" s="98">
        <v>3634</v>
      </c>
      <c r="G48" s="98">
        <v>3223</v>
      </c>
      <c r="H48" s="98">
        <v>3998</v>
      </c>
      <c r="I48" s="98">
        <v>3502</v>
      </c>
      <c r="J48" s="98">
        <v>2918</v>
      </c>
      <c r="K48" s="98">
        <v>2387</v>
      </c>
      <c r="L48" s="98">
        <v>2350</v>
      </c>
      <c r="M48" s="98">
        <v>3031.5213378760645</v>
      </c>
      <c r="N48" s="98">
        <v>3004.8849998782289</v>
      </c>
      <c r="O48" s="98">
        <v>2958.4578339802147</v>
      </c>
      <c r="P48" s="98">
        <v>3006.6024634711639</v>
      </c>
      <c r="Q48" s="98">
        <v>3009.6924363777616</v>
      </c>
      <c r="R48" s="98">
        <v>3055.6091386895578</v>
      </c>
      <c r="S48" s="98">
        <v>3078.6879952979543</v>
      </c>
      <c r="T48" s="98">
        <v>3122.4535641706516</v>
      </c>
      <c r="U48" s="98">
        <v>3138.4190762098251</v>
      </c>
      <c r="V48" s="98">
        <v>3177.5238827277626</v>
      </c>
    </row>
    <row r="49" spans="1:22" x14ac:dyDescent="0.25">
      <c r="A49" s="91"/>
      <c r="B49" s="101"/>
      <c r="C49" s="101"/>
      <c r="D49" s="101"/>
      <c r="E49" s="101"/>
      <c r="F49" s="101"/>
      <c r="G49" s="101"/>
      <c r="H49" s="101"/>
      <c r="I49" s="101"/>
      <c r="J49" s="101"/>
      <c r="K49" s="101"/>
      <c r="L49" s="101"/>
      <c r="M49" s="101"/>
      <c r="N49" s="101"/>
      <c r="O49" s="101"/>
      <c r="P49" s="101"/>
      <c r="Q49" s="101"/>
      <c r="R49" s="101"/>
      <c r="S49" s="101"/>
      <c r="T49" s="101"/>
      <c r="U49" s="101"/>
      <c r="V49" s="101"/>
    </row>
    <row r="50" spans="1:22" x14ac:dyDescent="0.25">
      <c r="A50" s="91"/>
      <c r="B50" s="3"/>
      <c r="C50" s="3"/>
      <c r="D50" s="3"/>
      <c r="E50" s="3"/>
      <c r="F50" s="107" t="s">
        <v>478</v>
      </c>
      <c r="G50" s="97"/>
      <c r="H50" s="97"/>
      <c r="I50" s="97"/>
      <c r="J50" s="3"/>
      <c r="K50" s="97"/>
      <c r="L50" s="97"/>
      <c r="M50" s="97"/>
      <c r="N50" s="97"/>
      <c r="O50" s="97"/>
      <c r="P50" s="97"/>
      <c r="Q50" s="107" t="s">
        <v>478</v>
      </c>
      <c r="R50" s="3"/>
      <c r="S50" s="3"/>
      <c r="T50" s="3"/>
      <c r="U50" s="3"/>
      <c r="V50" s="3"/>
    </row>
    <row r="51" spans="1:22" x14ac:dyDescent="0.25">
      <c r="A51" s="91" t="s">
        <v>479</v>
      </c>
      <c r="B51" s="101">
        <v>2.6134939759036144</v>
      </c>
      <c r="C51" s="101">
        <v>2.2368578255675029</v>
      </c>
      <c r="D51" s="101">
        <v>2.7664316579486012</v>
      </c>
      <c r="E51" s="101">
        <v>3.2692007289768288</v>
      </c>
      <c r="F51" s="101">
        <v>3.2135388002201433</v>
      </c>
      <c r="G51" s="101">
        <v>2.9702140862550417</v>
      </c>
      <c r="H51" s="101">
        <v>2.7473736868434218</v>
      </c>
      <c r="I51" s="101">
        <v>3.3640776699029127</v>
      </c>
      <c r="J51" s="101">
        <v>3.2614804660726526</v>
      </c>
      <c r="K51" s="101">
        <v>3.1860075408462505</v>
      </c>
      <c r="L51" s="101">
        <v>3.3617021276595747</v>
      </c>
      <c r="M51" s="101">
        <v>3.3895376377393305</v>
      </c>
      <c r="N51" s="101">
        <v>3.4235526980854631</v>
      </c>
      <c r="O51" s="101">
        <v>3.461624376883476</v>
      </c>
      <c r="P51" s="101">
        <v>3.500508310680825</v>
      </c>
      <c r="Q51" s="101">
        <v>3.5392964269665352</v>
      </c>
      <c r="R51" s="101">
        <v>3.5705459666572636</v>
      </c>
      <c r="S51" s="101">
        <v>3.6006244709957143</v>
      </c>
      <c r="T51" s="101">
        <v>3.6300245980429411</v>
      </c>
      <c r="U51" s="101">
        <v>3.663875886124984</v>
      </c>
      <c r="V51" s="101">
        <v>3.6937829953830992</v>
      </c>
    </row>
    <row r="52" spans="1:22" x14ac:dyDescent="0.25">
      <c r="A52" s="91"/>
      <c r="B52" s="101"/>
      <c r="C52" s="101"/>
      <c r="D52" s="101"/>
      <c r="E52" s="101"/>
      <c r="F52" s="101"/>
      <c r="G52" s="101"/>
      <c r="H52" s="101"/>
      <c r="I52" s="101"/>
      <c r="J52" s="101"/>
      <c r="K52" s="101"/>
      <c r="L52" s="101"/>
      <c r="M52" s="101"/>
      <c r="N52" s="101"/>
      <c r="O52" s="101"/>
      <c r="P52" s="101"/>
      <c r="Q52" s="101"/>
      <c r="R52" s="101"/>
      <c r="S52" s="101"/>
      <c r="T52" s="101"/>
      <c r="U52" s="101"/>
      <c r="V52" s="101"/>
    </row>
    <row r="53" spans="1:22" x14ac:dyDescent="0.25">
      <c r="A53" s="91"/>
      <c r="B53" s="3"/>
      <c r="C53" s="3"/>
      <c r="D53" s="3"/>
      <c r="E53" s="3"/>
      <c r="F53" s="103" t="s">
        <v>480</v>
      </c>
      <c r="G53" s="97"/>
      <c r="H53" s="97"/>
      <c r="I53" s="97"/>
      <c r="J53" s="3"/>
      <c r="K53" s="97"/>
      <c r="L53" s="97"/>
      <c r="M53" s="97"/>
      <c r="N53" s="97"/>
      <c r="O53" s="97"/>
      <c r="P53" s="97"/>
      <c r="Q53" s="103" t="s">
        <v>480</v>
      </c>
      <c r="R53" s="3"/>
      <c r="S53" s="3"/>
      <c r="T53" s="3"/>
      <c r="U53" s="3"/>
      <c r="V53" s="3"/>
    </row>
    <row r="54" spans="1:22" x14ac:dyDescent="0.25">
      <c r="A54" s="91" t="s">
        <v>34</v>
      </c>
      <c r="B54" s="98">
        <v>10846</v>
      </c>
      <c r="C54" s="98">
        <v>7489</v>
      </c>
      <c r="D54" s="98">
        <v>12164</v>
      </c>
      <c r="E54" s="98">
        <v>12557</v>
      </c>
      <c r="F54" s="98">
        <v>11678</v>
      </c>
      <c r="G54" s="98">
        <v>9573</v>
      </c>
      <c r="H54" s="98">
        <v>10984</v>
      </c>
      <c r="I54" s="98">
        <v>11781</v>
      </c>
      <c r="J54" s="98">
        <v>9517</v>
      </c>
      <c r="K54" s="98">
        <v>7605</v>
      </c>
      <c r="L54" s="98">
        <v>7900</v>
      </c>
      <c r="M54" s="98">
        <v>10275.455674154045</v>
      </c>
      <c r="N54" s="98">
        <v>10287.382125202281</v>
      </c>
      <c r="O54" s="98">
        <v>10241.069795095551</v>
      </c>
      <c r="P54" s="98">
        <v>10524.636876091201</v>
      </c>
      <c r="Q54" s="98">
        <v>10652.193723888799</v>
      </c>
      <c r="R54" s="98">
        <v>10910.192845544105</v>
      </c>
      <c r="S54" s="98">
        <v>11085.199352631171</v>
      </c>
      <c r="T54" s="98">
        <v>11334.583233273321</v>
      </c>
      <c r="U54" s="98">
        <v>11498.777982082507</v>
      </c>
      <c r="V54" s="98">
        <v>11737.083690463222</v>
      </c>
    </row>
    <row r="55" spans="1:22" x14ac:dyDescent="0.25">
      <c r="A55" s="91" t="s">
        <v>481</v>
      </c>
      <c r="B55" s="98">
        <v>2516</v>
      </c>
      <c r="C55" s="98">
        <v>2047</v>
      </c>
      <c r="D55" s="98">
        <v>1475</v>
      </c>
      <c r="E55" s="98">
        <v>2102</v>
      </c>
      <c r="F55" s="98">
        <v>3435</v>
      </c>
      <c r="G55" s="98">
        <v>3289</v>
      </c>
      <c r="H55" s="98">
        <v>1491</v>
      </c>
      <c r="I55" s="98">
        <v>1568</v>
      </c>
      <c r="J55" s="98">
        <v>2843</v>
      </c>
      <c r="K55" s="98">
        <v>2583</v>
      </c>
      <c r="L55" s="98">
        <v>1441</v>
      </c>
      <c r="M55" s="98">
        <v>1466</v>
      </c>
      <c r="N55" s="98">
        <v>2444.506913868021</v>
      </c>
      <c r="O55" s="98">
        <v>2548.9975202567284</v>
      </c>
      <c r="P55" s="98">
        <v>2553.9533723632917</v>
      </c>
      <c r="Q55" s="98">
        <v>2557.3250376487417</v>
      </c>
      <c r="R55" s="98">
        <v>2532.0960310256419</v>
      </c>
      <c r="S55" s="98">
        <v>2531.6662501290211</v>
      </c>
      <c r="T55" s="98">
        <v>2540.9467857786562</v>
      </c>
      <c r="U55" s="98">
        <v>2583.2595740446172</v>
      </c>
      <c r="V55" s="98">
        <v>2608.8415394773319</v>
      </c>
    </row>
    <row r="56" spans="1:22" x14ac:dyDescent="0.25">
      <c r="A56" s="91" t="s">
        <v>482</v>
      </c>
      <c r="B56" s="98">
        <v>13362</v>
      </c>
      <c r="C56" s="98">
        <v>9536</v>
      </c>
      <c r="D56" s="98">
        <v>13639</v>
      </c>
      <c r="E56" s="98">
        <v>14659</v>
      </c>
      <c r="F56" s="98">
        <v>15113</v>
      </c>
      <c r="G56" s="98">
        <v>12862</v>
      </c>
      <c r="H56" s="98">
        <v>12475</v>
      </c>
      <c r="I56" s="98">
        <v>13349</v>
      </c>
      <c r="J56" s="98">
        <v>12360</v>
      </c>
      <c r="K56" s="98">
        <v>10188</v>
      </c>
      <c r="L56" s="98">
        <v>9341</v>
      </c>
      <c r="M56" s="98">
        <v>11741.455674154045</v>
      </c>
      <c r="N56" s="98">
        <v>12731.889198176568</v>
      </c>
      <c r="O56" s="98">
        <v>12790.067011686369</v>
      </c>
      <c r="P56" s="98">
        <v>13078.590485237517</v>
      </c>
      <c r="Q56" s="98">
        <v>13209.518475006163</v>
      </c>
      <c r="R56" s="98">
        <v>13442.289211861351</v>
      </c>
      <c r="S56" s="98">
        <v>13616.865495718703</v>
      </c>
      <c r="T56" s="98">
        <v>13875.530063563247</v>
      </c>
      <c r="U56" s="98">
        <v>14082.037470077614</v>
      </c>
      <c r="V56" s="98">
        <v>14345.925187481354</v>
      </c>
    </row>
    <row r="57" spans="1:22" x14ac:dyDescent="0.25">
      <c r="A57" s="91"/>
      <c r="B57" s="101"/>
      <c r="C57" s="101"/>
      <c r="D57" s="101"/>
      <c r="E57" s="101"/>
      <c r="F57" s="101"/>
      <c r="G57" s="101"/>
      <c r="H57" s="101"/>
      <c r="I57" s="101"/>
      <c r="J57" s="101"/>
      <c r="K57" s="101"/>
      <c r="L57" s="101"/>
      <c r="M57" s="101"/>
      <c r="N57" s="101"/>
      <c r="O57" s="101"/>
      <c r="P57" s="101"/>
      <c r="Q57" s="101"/>
      <c r="R57" s="101"/>
      <c r="S57" s="101"/>
      <c r="T57" s="101"/>
      <c r="U57" s="101"/>
      <c r="V57" s="101"/>
    </row>
    <row r="58" spans="1:22" x14ac:dyDescent="0.25">
      <c r="A58" s="91" t="s">
        <v>483</v>
      </c>
      <c r="B58" s="98">
        <v>8915</v>
      </c>
      <c r="C58" s="98">
        <v>6505</v>
      </c>
      <c r="D58" s="98">
        <v>8434</v>
      </c>
      <c r="E58" s="98">
        <v>8813</v>
      </c>
      <c r="F58" s="98">
        <v>8376</v>
      </c>
      <c r="G58" s="98">
        <v>8840</v>
      </c>
      <c r="H58" s="98">
        <v>6566</v>
      </c>
      <c r="I58" s="98">
        <v>7685</v>
      </c>
      <c r="J58" s="98">
        <v>7269</v>
      </c>
      <c r="K58" s="98">
        <v>6449</v>
      </c>
      <c r="L58" s="98">
        <v>6125</v>
      </c>
      <c r="M58" s="98">
        <v>7193.9901855381677</v>
      </c>
      <c r="N58" s="98">
        <v>7619.2042936616772</v>
      </c>
      <c r="O58" s="98">
        <v>7638.14252925658</v>
      </c>
      <c r="P58" s="98">
        <v>7839.3028877385423</v>
      </c>
      <c r="Q58" s="98">
        <v>7787.8639746057306</v>
      </c>
      <c r="R58" s="98">
        <v>7858.2941457846773</v>
      </c>
      <c r="S58" s="98">
        <v>7904.1218069834122</v>
      </c>
      <c r="T58" s="98">
        <v>7986.5044940759744</v>
      </c>
      <c r="U58" s="98">
        <v>8030.6089188191208</v>
      </c>
      <c r="V58" s="98">
        <v>8141.4621865564422</v>
      </c>
    </row>
    <row r="59" spans="1:22" x14ac:dyDescent="0.25">
      <c r="A59" s="91" t="s">
        <v>484</v>
      </c>
      <c r="B59" s="98">
        <v>1356</v>
      </c>
      <c r="C59" s="98">
        <v>1400</v>
      </c>
      <c r="D59" s="98">
        <v>1295</v>
      </c>
      <c r="E59" s="98">
        <v>1325</v>
      </c>
      <c r="F59" s="98">
        <v>1235</v>
      </c>
      <c r="G59" s="98">
        <v>1350</v>
      </c>
      <c r="H59" s="98">
        <v>1350</v>
      </c>
      <c r="I59" s="98">
        <v>1380</v>
      </c>
      <c r="J59" s="98">
        <v>1235</v>
      </c>
      <c r="K59" s="98">
        <v>1135</v>
      </c>
      <c r="L59" s="98">
        <v>1100</v>
      </c>
      <c r="M59" s="98">
        <v>1207.7092037567515</v>
      </c>
      <c r="N59" s="98">
        <v>1233.445947953626</v>
      </c>
      <c r="O59" s="98">
        <v>1235.1151871515031</v>
      </c>
      <c r="P59" s="98">
        <v>1249.1418207688723</v>
      </c>
      <c r="Q59" s="98">
        <v>1247.3246558876906</v>
      </c>
      <c r="R59" s="98">
        <v>1255.2081511167485</v>
      </c>
      <c r="S59" s="98">
        <v>1262.8227455473314</v>
      </c>
      <c r="T59" s="98">
        <v>1281.2186266272374</v>
      </c>
      <c r="U59" s="98">
        <v>1291.535873865186</v>
      </c>
      <c r="V59" s="98">
        <v>1305.1123179274998</v>
      </c>
    </row>
    <row r="60" spans="1:22" x14ac:dyDescent="0.25">
      <c r="A60" s="91" t="s">
        <v>485</v>
      </c>
      <c r="B60" s="98">
        <v>2047</v>
      </c>
      <c r="C60" s="98">
        <v>1475</v>
      </c>
      <c r="D60" s="98">
        <v>2102</v>
      </c>
      <c r="E60" s="98">
        <v>3435</v>
      </c>
      <c r="F60" s="98">
        <v>3289</v>
      </c>
      <c r="G60" s="98">
        <v>1491</v>
      </c>
      <c r="H60" s="98">
        <v>1568</v>
      </c>
      <c r="I60" s="98">
        <v>2843</v>
      </c>
      <c r="J60" s="98">
        <v>2583</v>
      </c>
      <c r="K60" s="98">
        <v>1441</v>
      </c>
      <c r="L60" s="98">
        <v>1466</v>
      </c>
      <c r="M60" s="98">
        <v>2444.506913868021</v>
      </c>
      <c r="N60" s="98">
        <v>2548.9975202567284</v>
      </c>
      <c r="O60" s="98">
        <v>2553.9533723632917</v>
      </c>
      <c r="P60" s="98">
        <v>2557.3250376487417</v>
      </c>
      <c r="Q60" s="98">
        <v>2532.0960310256419</v>
      </c>
      <c r="R60" s="98">
        <v>2531.6662501290211</v>
      </c>
      <c r="S60" s="98">
        <v>2540.9467857786562</v>
      </c>
      <c r="T60" s="98">
        <v>2583.2595740446172</v>
      </c>
      <c r="U60" s="98">
        <v>2608.8415394773319</v>
      </c>
      <c r="V60" s="98">
        <v>2632.3665486574268</v>
      </c>
    </row>
    <row r="61" spans="1:22" x14ac:dyDescent="0.25">
      <c r="A61" s="91" t="s">
        <v>486</v>
      </c>
      <c r="B61" s="98">
        <v>12318</v>
      </c>
      <c r="C61" s="98">
        <v>9380</v>
      </c>
      <c r="D61" s="98">
        <v>11831</v>
      </c>
      <c r="E61" s="98">
        <v>13573</v>
      </c>
      <c r="F61" s="98">
        <v>12900</v>
      </c>
      <c r="G61" s="98">
        <v>11681</v>
      </c>
      <c r="H61" s="98">
        <v>9484</v>
      </c>
      <c r="I61" s="98">
        <v>11908</v>
      </c>
      <c r="J61" s="98">
        <v>11087</v>
      </c>
      <c r="K61" s="98">
        <v>9025</v>
      </c>
      <c r="L61" s="98">
        <v>8691</v>
      </c>
      <c r="M61" s="98">
        <v>10846.206426034334</v>
      </c>
      <c r="N61" s="98">
        <v>11401.647475399473</v>
      </c>
      <c r="O61" s="98">
        <v>11427.211181389186</v>
      </c>
      <c r="P61" s="98">
        <v>11645.769044387151</v>
      </c>
      <c r="Q61" s="98">
        <v>11567.285597138385</v>
      </c>
      <c r="R61" s="98">
        <v>11645.168917425053</v>
      </c>
      <c r="S61" s="98">
        <v>11707.891531197376</v>
      </c>
      <c r="T61" s="98">
        <v>11850.98270496123</v>
      </c>
      <c r="U61" s="98">
        <v>11930.986281760059</v>
      </c>
      <c r="V61" s="98">
        <v>12078.941453210067</v>
      </c>
    </row>
    <row r="62" spans="1:22" x14ac:dyDescent="0.25">
      <c r="A62" s="91"/>
      <c r="B62" s="101"/>
      <c r="C62" s="101"/>
      <c r="D62" s="101"/>
      <c r="E62" s="101"/>
      <c r="F62" s="101"/>
      <c r="G62" s="101"/>
      <c r="H62" s="101"/>
      <c r="I62" s="101"/>
      <c r="J62" s="101"/>
      <c r="K62" s="101"/>
      <c r="L62" s="101"/>
      <c r="M62" s="101"/>
      <c r="N62" s="101"/>
      <c r="O62" s="101"/>
      <c r="P62" s="101"/>
      <c r="Q62" s="101"/>
      <c r="R62" s="101"/>
      <c r="S62" s="101"/>
      <c r="T62" s="101"/>
      <c r="U62" s="101"/>
      <c r="V62" s="101"/>
    </row>
    <row r="63" spans="1:22" x14ac:dyDescent="0.25">
      <c r="A63" s="91" t="s">
        <v>487</v>
      </c>
      <c r="B63" s="98">
        <v>1044</v>
      </c>
      <c r="C63" s="98">
        <v>156</v>
      </c>
      <c r="D63" s="98">
        <v>1808</v>
      </c>
      <c r="E63" s="98">
        <v>1086</v>
      </c>
      <c r="F63" s="98">
        <v>2213</v>
      </c>
      <c r="G63" s="98">
        <v>1181</v>
      </c>
      <c r="H63" s="98">
        <v>2991</v>
      </c>
      <c r="I63" s="98">
        <v>1441</v>
      </c>
      <c r="J63" s="98">
        <v>1273</v>
      </c>
      <c r="K63" s="98">
        <v>1163</v>
      </c>
      <c r="L63" s="98">
        <v>650</v>
      </c>
      <c r="M63" s="98">
        <v>895.24924811971141</v>
      </c>
      <c r="N63" s="98">
        <v>1330.2415636708274</v>
      </c>
      <c r="O63" s="98">
        <v>1362.8561339630946</v>
      </c>
      <c r="P63" s="98">
        <v>1432.821204067342</v>
      </c>
      <c r="Q63" s="98">
        <v>1642.2331643991542</v>
      </c>
      <c r="R63" s="98">
        <v>1797.119959144693</v>
      </c>
      <c r="S63" s="98">
        <v>1908.9740715628163</v>
      </c>
      <c r="T63" s="98">
        <v>2024.5473140907475</v>
      </c>
      <c r="U63" s="98">
        <v>2151.051274367067</v>
      </c>
      <c r="V63" s="98">
        <v>2266.9837767304848</v>
      </c>
    </row>
    <row r="65" spans="1:22" ht="18.75" thickBot="1" x14ac:dyDescent="0.3">
      <c r="A65" s="110" t="s">
        <v>489</v>
      </c>
      <c r="B65" s="110"/>
      <c r="C65" s="110"/>
      <c r="D65" s="110"/>
      <c r="E65" s="110"/>
      <c r="F65" s="104"/>
      <c r="G65" s="110"/>
      <c r="H65" s="110"/>
      <c r="I65" s="110"/>
      <c r="J65" s="110"/>
      <c r="K65" s="110"/>
      <c r="L65" s="110"/>
      <c r="M65" s="110"/>
      <c r="N65" s="110"/>
      <c r="O65" s="110"/>
      <c r="P65" s="110"/>
      <c r="Q65" s="110"/>
      <c r="R65" s="110"/>
      <c r="S65" s="110"/>
      <c r="T65" s="110"/>
      <c r="U65" s="110"/>
      <c r="V65" s="110"/>
    </row>
    <row r="66" spans="1:22" ht="15.75" thickTop="1" x14ac:dyDescent="0.25">
      <c r="A66" s="91"/>
      <c r="B66" s="91"/>
      <c r="C66" s="91"/>
      <c r="D66" s="91"/>
      <c r="E66" s="91"/>
      <c r="F66" s="91"/>
      <c r="G66" s="91"/>
      <c r="H66" s="91"/>
      <c r="I66" s="91"/>
      <c r="J66" s="91"/>
      <c r="K66" s="91"/>
      <c r="L66" s="91"/>
      <c r="M66" s="91"/>
      <c r="N66" s="91"/>
      <c r="O66" s="91"/>
      <c r="P66" s="91"/>
      <c r="Q66" s="91"/>
      <c r="R66" s="91"/>
      <c r="S66" s="91"/>
      <c r="T66" s="91"/>
      <c r="U66" s="91"/>
      <c r="V66" s="91"/>
    </row>
    <row r="67" spans="1:22" x14ac:dyDescent="0.25">
      <c r="A67" s="91"/>
      <c r="B67" s="93" t="s">
        <v>455</v>
      </c>
      <c r="C67" s="93" t="s">
        <v>456</v>
      </c>
      <c r="D67" s="93" t="s">
        <v>457</v>
      </c>
      <c r="E67" s="93" t="s">
        <v>458</v>
      </c>
      <c r="F67" s="93" t="s">
        <v>459</v>
      </c>
      <c r="G67" s="93" t="s">
        <v>460</v>
      </c>
      <c r="H67" s="93" t="s">
        <v>461</v>
      </c>
      <c r="I67" s="93" t="s">
        <v>462</v>
      </c>
      <c r="J67" s="93" t="s">
        <v>463</v>
      </c>
      <c r="K67" s="93" t="s">
        <v>464</v>
      </c>
      <c r="L67" s="93" t="s">
        <v>465</v>
      </c>
      <c r="M67" s="93" t="s">
        <v>466</v>
      </c>
      <c r="N67" s="93" t="s">
        <v>467</v>
      </c>
      <c r="O67" s="93" t="s">
        <v>468</v>
      </c>
      <c r="P67" s="93" t="s">
        <v>469</v>
      </c>
      <c r="Q67" s="93" t="s">
        <v>470</v>
      </c>
      <c r="R67" s="93" t="s">
        <v>471</v>
      </c>
      <c r="S67" s="93" t="s">
        <v>472</v>
      </c>
      <c r="T67" s="93" t="s">
        <v>473</v>
      </c>
      <c r="U67" s="93" t="s">
        <v>474</v>
      </c>
      <c r="V67" s="93" t="s">
        <v>475</v>
      </c>
    </row>
    <row r="68" spans="1:22" x14ac:dyDescent="0.25">
      <c r="A68" s="105"/>
      <c r="B68" s="95"/>
      <c r="C68" s="95"/>
      <c r="D68" s="95"/>
      <c r="E68" s="95"/>
      <c r="F68" s="95"/>
      <c r="G68" s="95"/>
      <c r="H68" s="95"/>
      <c r="I68" s="95"/>
      <c r="J68" s="95"/>
      <c r="K68" s="95"/>
      <c r="L68" s="95"/>
      <c r="M68" s="95"/>
      <c r="N68" s="95"/>
      <c r="O68" s="95"/>
      <c r="P68" s="95"/>
      <c r="Q68" s="95"/>
      <c r="R68" s="95"/>
      <c r="S68" s="95"/>
      <c r="T68" s="95"/>
      <c r="U68" s="95"/>
      <c r="V68" s="95"/>
    </row>
    <row r="69" spans="1:22" x14ac:dyDescent="0.25">
      <c r="A69" s="91"/>
      <c r="B69" s="91"/>
      <c r="C69" s="91"/>
      <c r="D69" s="91"/>
      <c r="E69" s="91"/>
      <c r="F69" s="91"/>
      <c r="G69" s="91"/>
      <c r="H69" s="91"/>
      <c r="I69" s="91"/>
      <c r="J69" s="91"/>
      <c r="K69" s="91"/>
      <c r="L69" s="91"/>
      <c r="M69" s="91"/>
      <c r="N69" s="91"/>
      <c r="O69" s="91"/>
      <c r="P69" s="91"/>
      <c r="Q69" s="91"/>
      <c r="R69" s="91"/>
      <c r="S69" s="91"/>
      <c r="T69" s="91"/>
      <c r="U69" s="91"/>
      <c r="V69" s="91"/>
    </row>
    <row r="70" spans="1:22" x14ac:dyDescent="0.25">
      <c r="A70" s="106" t="s">
        <v>88</v>
      </c>
      <c r="B70" s="91"/>
      <c r="C70" s="91"/>
      <c r="D70" s="91"/>
      <c r="E70" s="91"/>
      <c r="F70" s="103" t="s">
        <v>476</v>
      </c>
      <c r="G70" s="97"/>
      <c r="H70" s="97"/>
      <c r="I70" s="97"/>
      <c r="J70" s="91"/>
      <c r="K70" s="97"/>
      <c r="L70" s="91"/>
      <c r="M70" s="91"/>
      <c r="N70" s="91"/>
      <c r="O70" s="91"/>
      <c r="P70" s="91"/>
      <c r="Q70" s="103" t="s">
        <v>476</v>
      </c>
      <c r="R70" s="91"/>
      <c r="S70" s="91"/>
      <c r="T70" s="91"/>
      <c r="U70" s="91"/>
      <c r="V70" s="91"/>
    </row>
    <row r="71" spans="1:22" x14ac:dyDescent="0.25">
      <c r="A71" s="91" t="s">
        <v>477</v>
      </c>
      <c r="B71" s="98">
        <v>1069</v>
      </c>
      <c r="C71" s="98">
        <v>1024</v>
      </c>
      <c r="D71" s="98">
        <v>1044</v>
      </c>
      <c r="E71" s="98">
        <v>1174</v>
      </c>
      <c r="F71" s="98">
        <v>1169</v>
      </c>
      <c r="G71" s="98">
        <v>1201</v>
      </c>
      <c r="H71" s="98">
        <v>1172</v>
      </c>
      <c r="I71" s="98">
        <v>1195</v>
      </c>
      <c r="J71" s="98">
        <v>1380</v>
      </c>
      <c r="K71" s="98">
        <v>1477</v>
      </c>
      <c r="L71" s="98">
        <v>1500</v>
      </c>
      <c r="M71" s="98">
        <v>1415.7458362883215</v>
      </c>
      <c r="N71" s="98">
        <v>1380.2981540810374</v>
      </c>
      <c r="O71" s="98">
        <v>1378.958024112243</v>
      </c>
      <c r="P71" s="98">
        <v>1395.9303200942159</v>
      </c>
      <c r="Q71" s="98">
        <v>1409.1624226760691</v>
      </c>
      <c r="R71" s="98">
        <v>1420.8662905452852</v>
      </c>
      <c r="S71" s="98">
        <v>1433.8877497314147</v>
      </c>
      <c r="T71" s="98">
        <v>1450.5047228117453</v>
      </c>
      <c r="U71" s="98">
        <v>1467.5523621683533</v>
      </c>
      <c r="V71" s="98">
        <v>1484.815138373003</v>
      </c>
    </row>
    <row r="72" spans="1:22" x14ac:dyDescent="0.25">
      <c r="A72" s="91"/>
      <c r="B72" s="98"/>
      <c r="C72" s="98"/>
      <c r="D72" s="98"/>
      <c r="E72" s="98"/>
      <c r="F72" s="98"/>
      <c r="G72" s="98"/>
      <c r="H72" s="98"/>
      <c r="I72" s="98"/>
      <c r="J72" s="98"/>
      <c r="K72" s="98"/>
      <c r="L72" s="98"/>
      <c r="M72" s="98"/>
      <c r="N72" s="98"/>
      <c r="O72" s="98"/>
      <c r="P72" s="98"/>
      <c r="Q72" s="98"/>
      <c r="R72" s="98"/>
      <c r="S72" s="98"/>
      <c r="T72" s="98"/>
      <c r="U72" s="98"/>
      <c r="V72" s="98"/>
    </row>
    <row r="73" spans="1:22" x14ac:dyDescent="0.25">
      <c r="A73" s="91"/>
      <c r="B73" s="91"/>
      <c r="C73" s="91"/>
      <c r="D73" s="91"/>
      <c r="E73" s="91"/>
      <c r="F73" s="111" t="s">
        <v>478</v>
      </c>
      <c r="G73" s="97"/>
      <c r="H73" s="97"/>
      <c r="I73" s="97"/>
      <c r="J73" s="91"/>
      <c r="K73" s="97"/>
      <c r="L73" s="91"/>
      <c r="M73" s="91"/>
      <c r="N73" s="91"/>
      <c r="O73" s="91"/>
      <c r="P73" s="91"/>
      <c r="Q73" s="111" t="s">
        <v>478</v>
      </c>
      <c r="R73" s="91"/>
      <c r="S73" s="91"/>
      <c r="T73" s="91"/>
      <c r="U73" s="91"/>
      <c r="V73" s="91"/>
    </row>
    <row r="74" spans="1:22" x14ac:dyDescent="0.25">
      <c r="A74" s="91" t="s">
        <v>479</v>
      </c>
      <c r="B74" s="101">
        <v>1.529466791393826</v>
      </c>
      <c r="C74" s="101">
        <v>2.28125</v>
      </c>
      <c r="D74" s="101">
        <v>2.1676245210727969</v>
      </c>
      <c r="E74" s="101">
        <v>2.5911413969335606</v>
      </c>
      <c r="F74" s="101">
        <v>2.6997433704020533</v>
      </c>
      <c r="G74" s="101">
        <v>2.8859283930058286</v>
      </c>
      <c r="H74" s="101">
        <v>2.3003412969283277</v>
      </c>
      <c r="I74" s="101">
        <v>2.7916317991631798</v>
      </c>
      <c r="J74" s="101">
        <v>2.5413043478260868</v>
      </c>
      <c r="K74" s="101">
        <v>2.9417738659444819</v>
      </c>
      <c r="L74" s="101">
        <v>2.6</v>
      </c>
      <c r="M74" s="101">
        <v>2.6008881359880558</v>
      </c>
      <c r="N74" s="101">
        <v>2.6032813945132443</v>
      </c>
      <c r="O74" s="101">
        <v>2.6126002150193575</v>
      </c>
      <c r="P74" s="101">
        <v>2.6246444566542144</v>
      </c>
      <c r="Q74" s="101">
        <v>2.6291138085379582</v>
      </c>
      <c r="R74" s="101">
        <v>2.6284816048158062</v>
      </c>
      <c r="S74" s="101">
        <v>2.6233553257027906</v>
      </c>
      <c r="T74" s="101">
        <v>2.6303222182092814</v>
      </c>
      <c r="U74" s="101">
        <v>2.6295539646635793</v>
      </c>
      <c r="V74" s="101">
        <v>2.6372040150192357</v>
      </c>
    </row>
    <row r="75" spans="1:22" x14ac:dyDescent="0.25">
      <c r="A75" s="91"/>
      <c r="B75" s="109"/>
      <c r="C75" s="109"/>
      <c r="D75" s="109"/>
      <c r="E75" s="109"/>
      <c r="F75" s="109"/>
      <c r="G75" s="109"/>
      <c r="H75" s="109"/>
      <c r="I75" s="109"/>
      <c r="J75" s="109"/>
      <c r="K75" s="109"/>
      <c r="L75" s="109"/>
      <c r="M75" s="109"/>
      <c r="N75" s="109"/>
      <c r="O75" s="109"/>
      <c r="P75" s="109"/>
      <c r="Q75" s="109"/>
      <c r="R75" s="109"/>
      <c r="S75" s="109"/>
      <c r="T75" s="109"/>
      <c r="U75" s="109"/>
      <c r="V75" s="109"/>
    </row>
    <row r="76" spans="1:22" x14ac:dyDescent="0.25">
      <c r="A76" s="91"/>
      <c r="B76" s="91"/>
      <c r="C76" s="91"/>
      <c r="D76" s="91"/>
      <c r="E76" s="91"/>
      <c r="F76" s="103" t="s">
        <v>480</v>
      </c>
      <c r="G76" s="97"/>
      <c r="H76" s="97"/>
      <c r="I76" s="97"/>
      <c r="J76" s="91"/>
      <c r="K76" s="97"/>
      <c r="L76" s="91"/>
      <c r="M76" s="91"/>
      <c r="N76" s="91"/>
      <c r="O76" s="91"/>
      <c r="P76" s="91"/>
      <c r="Q76" s="103" t="s">
        <v>480</v>
      </c>
      <c r="R76" s="91"/>
      <c r="S76" s="91"/>
      <c r="T76" s="91"/>
      <c r="U76" s="91"/>
      <c r="V76" s="91"/>
    </row>
    <row r="77" spans="1:22" x14ac:dyDescent="0.25">
      <c r="A77" s="91" t="s">
        <v>34</v>
      </c>
      <c r="B77" s="98">
        <v>1635</v>
      </c>
      <c r="C77" s="98">
        <v>2336</v>
      </c>
      <c r="D77" s="98">
        <v>2263</v>
      </c>
      <c r="E77" s="98">
        <v>3042</v>
      </c>
      <c r="F77" s="98">
        <v>3156</v>
      </c>
      <c r="G77" s="98">
        <v>3466</v>
      </c>
      <c r="H77" s="98">
        <v>2696</v>
      </c>
      <c r="I77" s="98">
        <v>3336</v>
      </c>
      <c r="J77" s="98">
        <v>3507</v>
      </c>
      <c r="K77" s="98">
        <v>4345</v>
      </c>
      <c r="L77" s="98">
        <v>3900</v>
      </c>
      <c r="M77" s="98">
        <v>3682.1965491767837</v>
      </c>
      <c r="N77" s="98">
        <v>3593.3045034001398</v>
      </c>
      <c r="O77" s="98">
        <v>3602.6660302983146</v>
      </c>
      <c r="P77" s="98">
        <v>3663.8207765108268</v>
      </c>
      <c r="Q77" s="98">
        <v>3704.8483839304563</v>
      </c>
      <c r="R77" s="98">
        <v>3734.7209076011527</v>
      </c>
      <c r="S77" s="98">
        <v>3761.597064717897</v>
      </c>
      <c r="T77" s="98">
        <v>3815.2948000292286</v>
      </c>
      <c r="U77" s="98">
        <v>3859.0081322911942</v>
      </c>
      <c r="V77" s="98">
        <v>3915.7604444786257</v>
      </c>
    </row>
    <row r="78" spans="1:22" x14ac:dyDescent="0.25">
      <c r="A78" s="91" t="s">
        <v>481</v>
      </c>
      <c r="B78" s="98">
        <v>420</v>
      </c>
      <c r="C78" s="98">
        <v>338</v>
      </c>
      <c r="D78" s="98">
        <v>303</v>
      </c>
      <c r="E78" s="98">
        <v>195</v>
      </c>
      <c r="F78" s="98">
        <v>453</v>
      </c>
      <c r="G78" s="98">
        <v>636</v>
      </c>
      <c r="H78" s="98">
        <v>655</v>
      </c>
      <c r="I78" s="98">
        <v>174</v>
      </c>
      <c r="J78" s="98">
        <v>174</v>
      </c>
      <c r="K78" s="98">
        <v>175</v>
      </c>
      <c r="L78" s="98">
        <v>153</v>
      </c>
      <c r="M78" s="98">
        <v>153</v>
      </c>
      <c r="N78" s="98">
        <v>221.76558069412766</v>
      </c>
      <c r="O78" s="98">
        <v>223.69597498187585</v>
      </c>
      <c r="P78" s="98">
        <v>196.79434326127131</v>
      </c>
      <c r="Q78" s="98">
        <v>187.13815252743353</v>
      </c>
      <c r="R78" s="98">
        <v>190.20660192200393</v>
      </c>
      <c r="S78" s="98">
        <v>208.35638006125663</v>
      </c>
      <c r="T78" s="98">
        <v>220.86034575481352</v>
      </c>
      <c r="U78" s="98">
        <v>241.97383140209155</v>
      </c>
      <c r="V78" s="98">
        <v>241.97383140209155</v>
      </c>
    </row>
    <row r="79" spans="1:22" x14ac:dyDescent="0.25">
      <c r="A79" s="91" t="s">
        <v>482</v>
      </c>
      <c r="B79" s="98">
        <v>2055</v>
      </c>
      <c r="C79" s="98">
        <v>2674</v>
      </c>
      <c r="D79" s="98">
        <v>2566</v>
      </c>
      <c r="E79" s="98">
        <v>3237</v>
      </c>
      <c r="F79" s="98">
        <v>3609</v>
      </c>
      <c r="G79" s="98">
        <v>4102</v>
      </c>
      <c r="H79" s="98">
        <v>3351</v>
      </c>
      <c r="I79" s="98">
        <v>3510</v>
      </c>
      <c r="J79" s="98">
        <v>3681</v>
      </c>
      <c r="K79" s="98">
        <v>4520</v>
      </c>
      <c r="L79" s="98">
        <v>4053</v>
      </c>
      <c r="M79" s="98">
        <v>3835.1965491767837</v>
      </c>
      <c r="N79" s="98">
        <v>3815.0700840942673</v>
      </c>
      <c r="O79" s="98">
        <v>3826.3620052801903</v>
      </c>
      <c r="P79" s="98">
        <v>3860.6151197720983</v>
      </c>
      <c r="Q79" s="98">
        <v>3891.98653645789</v>
      </c>
      <c r="R79" s="98">
        <v>3924.9275095231565</v>
      </c>
      <c r="S79" s="98">
        <v>3969.9534447791534</v>
      </c>
      <c r="T79" s="98">
        <v>4036.1551457840419</v>
      </c>
      <c r="U79" s="98">
        <v>4100.9819636932862</v>
      </c>
      <c r="V79" s="98">
        <v>4157.7342758807172</v>
      </c>
    </row>
    <row r="80" spans="1:22" x14ac:dyDescent="0.25">
      <c r="A80" s="91"/>
      <c r="B80" s="98"/>
      <c r="C80" s="98"/>
      <c r="D80" s="98"/>
      <c r="E80" s="98"/>
      <c r="F80" s="98"/>
      <c r="G80" s="98"/>
      <c r="H80" s="98"/>
      <c r="I80" s="98"/>
      <c r="J80" s="98"/>
      <c r="K80" s="98"/>
      <c r="L80" s="98"/>
      <c r="M80" s="98"/>
      <c r="N80" s="98"/>
      <c r="O80" s="98"/>
      <c r="P80" s="98"/>
      <c r="Q80" s="98"/>
      <c r="R80" s="98"/>
      <c r="S80" s="98"/>
      <c r="T80" s="98"/>
      <c r="U80" s="98"/>
      <c r="V80" s="98"/>
    </row>
    <row r="81" spans="1:22" x14ac:dyDescent="0.25">
      <c r="A81" s="91" t="s">
        <v>490</v>
      </c>
      <c r="B81" s="98">
        <v>1694</v>
      </c>
      <c r="C81" s="98">
        <v>1796</v>
      </c>
      <c r="D81" s="98">
        <v>1565</v>
      </c>
      <c r="E81" s="98">
        <v>1545</v>
      </c>
      <c r="F81" s="98">
        <v>1497</v>
      </c>
      <c r="G81" s="98">
        <v>1524</v>
      </c>
      <c r="H81" s="98">
        <v>1383</v>
      </c>
      <c r="I81" s="98">
        <v>1286</v>
      </c>
      <c r="J81" s="98">
        <v>1292</v>
      </c>
      <c r="K81" s="98">
        <v>1337</v>
      </c>
      <c r="L81" s="98">
        <v>1300</v>
      </c>
      <c r="M81" s="98">
        <v>1309.2850634333272</v>
      </c>
      <c r="N81" s="98">
        <v>1325.735864999916</v>
      </c>
      <c r="O81" s="98">
        <v>1340.5137070163191</v>
      </c>
      <c r="P81" s="98">
        <v>1378.407880756904</v>
      </c>
      <c r="Q81" s="98">
        <v>1391.335412108011</v>
      </c>
      <c r="R81" s="98">
        <v>1402.9231056419203</v>
      </c>
      <c r="S81" s="98">
        <v>1409.5898428489309</v>
      </c>
      <c r="T81" s="98">
        <v>1416.9558607425461</v>
      </c>
      <c r="U81" s="98">
        <v>1420.2673924357914</v>
      </c>
      <c r="V81" s="98">
        <v>1419.8684331203995</v>
      </c>
    </row>
    <row r="82" spans="1:22" x14ac:dyDescent="0.25">
      <c r="A82" s="91" t="s">
        <v>491</v>
      </c>
      <c r="B82" s="98">
        <v>503</v>
      </c>
      <c r="C82" s="98">
        <v>500</v>
      </c>
      <c r="D82" s="98">
        <v>505</v>
      </c>
      <c r="E82" s="98">
        <v>501</v>
      </c>
      <c r="F82" s="98">
        <v>499</v>
      </c>
      <c r="G82" s="98">
        <v>474</v>
      </c>
      <c r="H82" s="98">
        <v>350</v>
      </c>
      <c r="I82" s="98">
        <v>420</v>
      </c>
      <c r="J82" s="98">
        <v>342</v>
      </c>
      <c r="K82" s="98">
        <v>330</v>
      </c>
      <c r="L82" s="98">
        <v>320</v>
      </c>
      <c r="M82" s="98">
        <v>308.00627951373826</v>
      </c>
      <c r="N82" s="98">
        <v>295.66783450593198</v>
      </c>
      <c r="O82" s="98">
        <v>287.91606460544017</v>
      </c>
      <c r="P82" s="98">
        <v>291.46536871097396</v>
      </c>
      <c r="Q82" s="98">
        <v>297.09447488745582</v>
      </c>
      <c r="R82" s="98">
        <v>306.24232766400473</v>
      </c>
      <c r="S82" s="98">
        <v>314.34336758992117</v>
      </c>
      <c r="T82" s="98">
        <v>326.07405957448077</v>
      </c>
      <c r="U82" s="98">
        <v>336.33274485053835</v>
      </c>
      <c r="V82" s="98">
        <v>347.11005217701631</v>
      </c>
    </row>
    <row r="83" spans="1:22" x14ac:dyDescent="0.25">
      <c r="A83" s="91" t="s">
        <v>485</v>
      </c>
      <c r="B83" s="98">
        <v>338</v>
      </c>
      <c r="C83" s="98">
        <v>303</v>
      </c>
      <c r="D83" s="98">
        <v>195</v>
      </c>
      <c r="E83" s="98">
        <v>453</v>
      </c>
      <c r="F83" s="98">
        <v>636</v>
      </c>
      <c r="G83" s="98">
        <v>655</v>
      </c>
      <c r="H83" s="98">
        <v>174</v>
      </c>
      <c r="I83" s="98">
        <v>174</v>
      </c>
      <c r="J83" s="98">
        <v>175</v>
      </c>
      <c r="K83" s="98">
        <v>153</v>
      </c>
      <c r="L83" s="98">
        <v>153</v>
      </c>
      <c r="M83" s="98">
        <v>221.76558069412766</v>
      </c>
      <c r="N83" s="98">
        <v>223.69597498187585</v>
      </c>
      <c r="O83" s="98">
        <v>196.79434326127131</v>
      </c>
      <c r="P83" s="98">
        <v>187.13815252743353</v>
      </c>
      <c r="Q83" s="98">
        <v>190.20660192200393</v>
      </c>
      <c r="R83" s="98">
        <v>208.35638006125663</v>
      </c>
      <c r="S83" s="98">
        <v>220.86034575481352</v>
      </c>
      <c r="T83" s="98">
        <v>241.97383140209155</v>
      </c>
      <c r="U83" s="98">
        <v>257.05857193619642</v>
      </c>
      <c r="V83" s="98">
        <v>273.77458442859228</v>
      </c>
    </row>
    <row r="84" spans="1:22" x14ac:dyDescent="0.25">
      <c r="A84" s="91" t="s">
        <v>486</v>
      </c>
      <c r="B84" s="98">
        <v>2535</v>
      </c>
      <c r="C84" s="98">
        <v>2599</v>
      </c>
      <c r="D84" s="98">
        <v>2265</v>
      </c>
      <c r="E84" s="98">
        <v>2499</v>
      </c>
      <c r="F84" s="98">
        <v>2632</v>
      </c>
      <c r="G84" s="98">
        <v>2653</v>
      </c>
      <c r="H84" s="98">
        <v>1907</v>
      </c>
      <c r="I84" s="98">
        <v>1880</v>
      </c>
      <c r="J84" s="98">
        <v>1809</v>
      </c>
      <c r="K84" s="98">
        <v>1820</v>
      </c>
      <c r="L84" s="98">
        <v>1773</v>
      </c>
      <c r="M84" s="98">
        <v>1839.0569236411932</v>
      </c>
      <c r="N84" s="98">
        <v>1845.0996744877239</v>
      </c>
      <c r="O84" s="98">
        <v>1825.2241148830306</v>
      </c>
      <c r="P84" s="98">
        <v>1857.0114019953114</v>
      </c>
      <c r="Q84" s="98">
        <v>1878.6364889174708</v>
      </c>
      <c r="R84" s="98">
        <v>1917.5218133671817</v>
      </c>
      <c r="S84" s="98">
        <v>1944.7935561936656</v>
      </c>
      <c r="T84" s="98">
        <v>1985.0037517191183</v>
      </c>
      <c r="U84" s="98">
        <v>2013.6587092225261</v>
      </c>
      <c r="V84" s="98">
        <v>2040.7530697260081</v>
      </c>
    </row>
    <row r="85" spans="1:22" x14ac:dyDescent="0.25">
      <c r="A85" s="91"/>
      <c r="B85" s="98"/>
      <c r="C85" s="98"/>
      <c r="D85" s="98"/>
      <c r="E85" s="98"/>
      <c r="F85" s="98"/>
      <c r="G85" s="98"/>
      <c r="H85" s="98"/>
      <c r="I85" s="98"/>
      <c r="J85" s="98"/>
      <c r="K85" s="98"/>
      <c r="L85" s="98"/>
      <c r="M85" s="98"/>
      <c r="N85" s="98"/>
      <c r="O85" s="98"/>
      <c r="P85" s="98"/>
      <c r="Q85" s="98"/>
      <c r="R85" s="98"/>
      <c r="S85" s="98"/>
      <c r="T85" s="98"/>
      <c r="U85" s="98"/>
      <c r="V85" s="98"/>
    </row>
    <row r="86" spans="1:22" x14ac:dyDescent="0.25">
      <c r="A86" s="91" t="s">
        <v>487</v>
      </c>
      <c r="B86" s="98">
        <v>-480</v>
      </c>
      <c r="C86" s="98">
        <v>75</v>
      </c>
      <c r="D86" s="98">
        <v>301</v>
      </c>
      <c r="E86" s="98">
        <v>738</v>
      </c>
      <c r="F86" s="98">
        <v>977</v>
      </c>
      <c r="G86" s="98">
        <v>1449</v>
      </c>
      <c r="H86" s="98">
        <v>1444</v>
      </c>
      <c r="I86" s="98">
        <v>1630</v>
      </c>
      <c r="J86" s="98">
        <v>1872</v>
      </c>
      <c r="K86" s="98">
        <v>2700</v>
      </c>
      <c r="L86" s="98">
        <v>2280</v>
      </c>
      <c r="M86" s="98">
        <v>1996.139595914517</v>
      </c>
      <c r="N86" s="98">
        <v>1969.9705577532479</v>
      </c>
      <c r="O86" s="98">
        <v>2001.1376896091433</v>
      </c>
      <c r="P86" s="98">
        <v>2003.6040799650548</v>
      </c>
      <c r="Q86" s="98">
        <v>2013.3499455982692</v>
      </c>
      <c r="R86" s="98">
        <v>2007.4058605730695</v>
      </c>
      <c r="S86" s="98">
        <v>2025.1598512956473</v>
      </c>
      <c r="T86" s="98">
        <v>2051.1514497669577</v>
      </c>
      <c r="U86" s="98">
        <v>2087.3233006524451</v>
      </c>
      <c r="V86" s="98">
        <v>2132.065817375581</v>
      </c>
    </row>
    <row r="87" spans="1:22" x14ac:dyDescent="0.25">
      <c r="A87" s="91"/>
      <c r="B87" s="98"/>
      <c r="C87" s="98"/>
      <c r="D87" s="98"/>
      <c r="E87" s="98"/>
      <c r="F87" s="98"/>
      <c r="G87" s="98"/>
      <c r="H87" s="98"/>
      <c r="I87" s="98"/>
      <c r="J87" s="98"/>
      <c r="K87" s="98"/>
      <c r="L87" s="98"/>
      <c r="M87" s="98"/>
      <c r="N87" s="98"/>
      <c r="O87" s="98"/>
      <c r="P87" s="98"/>
      <c r="Q87" s="98"/>
      <c r="R87" s="98"/>
      <c r="S87" s="98"/>
      <c r="T87" s="98"/>
      <c r="U87" s="98"/>
      <c r="V87" s="98"/>
    </row>
    <row r="88" spans="1:22" x14ac:dyDescent="0.25">
      <c r="A88" s="91"/>
      <c r="B88" s="109"/>
      <c r="C88" s="109"/>
      <c r="D88" s="109"/>
      <c r="E88" s="109"/>
      <c r="F88" s="109"/>
      <c r="G88" s="109"/>
      <c r="H88" s="109"/>
      <c r="I88" s="109"/>
      <c r="J88" s="109"/>
      <c r="K88" s="109"/>
      <c r="L88" s="109"/>
      <c r="M88" s="109"/>
      <c r="N88" s="109"/>
      <c r="O88" s="109"/>
      <c r="P88" s="109"/>
      <c r="Q88" s="109"/>
      <c r="R88" s="109"/>
      <c r="S88" s="109"/>
      <c r="T88" s="109"/>
      <c r="U88" s="109"/>
      <c r="V88" s="109"/>
    </row>
    <row r="89" spans="1:22" x14ac:dyDescent="0.25">
      <c r="A89" s="106" t="s">
        <v>492</v>
      </c>
      <c r="B89" s="109"/>
      <c r="C89" s="109"/>
      <c r="D89" s="109"/>
      <c r="E89" s="109"/>
      <c r="F89" s="109"/>
      <c r="G89" s="109"/>
      <c r="H89" s="109"/>
      <c r="I89" s="109"/>
      <c r="J89" s="109"/>
      <c r="K89" s="109"/>
      <c r="L89" s="109"/>
      <c r="M89" s="109"/>
      <c r="N89" s="109"/>
      <c r="O89" s="109"/>
      <c r="P89" s="109"/>
      <c r="Q89" s="109"/>
      <c r="R89" s="109"/>
      <c r="S89" s="109"/>
      <c r="T89" s="109"/>
      <c r="U89" s="109"/>
      <c r="V89" s="109"/>
    </row>
    <row r="90" spans="1:22" x14ac:dyDescent="0.25">
      <c r="A90" s="91" t="s">
        <v>34</v>
      </c>
      <c r="B90" s="98">
        <v>1321</v>
      </c>
      <c r="C90" s="98">
        <v>1400</v>
      </c>
      <c r="D90" s="98">
        <v>1248</v>
      </c>
      <c r="E90" s="98">
        <v>1230</v>
      </c>
      <c r="F90" s="98">
        <v>1182</v>
      </c>
      <c r="G90" s="98">
        <v>1200</v>
      </c>
      <c r="H90" s="98">
        <v>1090</v>
      </c>
      <c r="I90" s="98">
        <v>1015</v>
      </c>
      <c r="J90" s="98">
        <v>1020</v>
      </c>
      <c r="K90" s="98">
        <v>1055</v>
      </c>
      <c r="L90" s="98">
        <v>1025</v>
      </c>
      <c r="M90" s="98">
        <v>1032.3208173398477</v>
      </c>
      <c r="N90" s="98">
        <v>1045.2918531469297</v>
      </c>
      <c r="O90" s="98">
        <v>1056.9435213761963</v>
      </c>
      <c r="P90" s="98">
        <v>1086.8214545619292</v>
      </c>
      <c r="Q90" s="98">
        <v>1097.0144437928825</v>
      </c>
      <c r="R90" s="98">
        <v>1106.1508382977486</v>
      </c>
      <c r="S90" s="98">
        <v>1111.4073801340007</v>
      </c>
      <c r="T90" s="98">
        <v>1117.2151532921337</v>
      </c>
      <c r="U90" s="98">
        <v>1119.8261863082555</v>
      </c>
      <c r="V90" s="98">
        <v>1119.5117222801114</v>
      </c>
    </row>
    <row r="91" spans="1:22" x14ac:dyDescent="0.25">
      <c r="A91" s="91" t="s">
        <v>481</v>
      </c>
      <c r="B91" s="98">
        <v>30</v>
      </c>
      <c r="C91" s="98">
        <v>25</v>
      </c>
      <c r="D91" s="98">
        <v>25</v>
      </c>
      <c r="E91" s="98">
        <v>24</v>
      </c>
      <c r="F91" s="98">
        <v>20</v>
      </c>
      <c r="G91" s="98">
        <v>23</v>
      </c>
      <c r="H91" s="98">
        <v>25</v>
      </c>
      <c r="I91" s="98">
        <v>21</v>
      </c>
      <c r="J91" s="98">
        <v>20</v>
      </c>
      <c r="K91" s="98">
        <v>20</v>
      </c>
      <c r="L91" s="98">
        <v>21</v>
      </c>
      <c r="M91" s="98">
        <v>21</v>
      </c>
      <c r="N91" s="98">
        <v>23.561961735378702</v>
      </c>
      <c r="O91" s="98">
        <v>23.451049834781546</v>
      </c>
      <c r="P91" s="98">
        <v>22.894014162095615</v>
      </c>
      <c r="Q91" s="98">
        <v>22.516104789615724</v>
      </c>
      <c r="R91" s="98">
        <v>22.789051732308771</v>
      </c>
      <c r="S91" s="98">
        <v>23.371864534637755</v>
      </c>
      <c r="T91" s="98">
        <v>23.86989118612966</v>
      </c>
      <c r="U91" s="98">
        <v>24.661314118670798</v>
      </c>
      <c r="V91" s="98">
        <v>24.661314118670798</v>
      </c>
    </row>
    <row r="92" spans="1:22" x14ac:dyDescent="0.25">
      <c r="A92" s="91" t="s">
        <v>482</v>
      </c>
      <c r="B92" s="98">
        <v>1351</v>
      </c>
      <c r="C92" s="98">
        <v>1425</v>
      </c>
      <c r="D92" s="98">
        <v>1273</v>
      </c>
      <c r="E92" s="98">
        <v>1254</v>
      </c>
      <c r="F92" s="98">
        <v>1202</v>
      </c>
      <c r="G92" s="98">
        <v>1223</v>
      </c>
      <c r="H92" s="98">
        <v>1115</v>
      </c>
      <c r="I92" s="98">
        <v>1036</v>
      </c>
      <c r="J92" s="98">
        <v>1040</v>
      </c>
      <c r="K92" s="98">
        <v>1075</v>
      </c>
      <c r="L92" s="98">
        <v>1046</v>
      </c>
      <c r="M92" s="98">
        <v>1053.3208173398477</v>
      </c>
      <c r="N92" s="98">
        <v>1068.8538148823084</v>
      </c>
      <c r="O92" s="98">
        <v>1080.3945712109778</v>
      </c>
      <c r="P92" s="98">
        <v>1109.7154687240247</v>
      </c>
      <c r="Q92" s="98">
        <v>1119.5305485824983</v>
      </c>
      <c r="R92" s="98">
        <v>1128.9398900300573</v>
      </c>
      <c r="S92" s="98">
        <v>1134.7792446686385</v>
      </c>
      <c r="T92" s="98">
        <v>1141.0850444782634</v>
      </c>
      <c r="U92" s="98">
        <v>1144.4875004269263</v>
      </c>
      <c r="V92" s="98">
        <v>1144.1730363987822</v>
      </c>
    </row>
    <row r="93" spans="1:22" x14ac:dyDescent="0.25">
      <c r="A93" s="91"/>
      <c r="B93" s="109"/>
      <c r="C93" s="109"/>
      <c r="D93" s="109"/>
      <c r="E93" s="109"/>
      <c r="F93" s="109"/>
      <c r="G93" s="109"/>
      <c r="H93" s="109"/>
      <c r="I93" s="109"/>
      <c r="J93" s="109"/>
      <c r="K93" s="109"/>
      <c r="L93" s="109"/>
      <c r="M93" s="109"/>
      <c r="N93" s="109"/>
      <c r="O93" s="109"/>
      <c r="P93" s="109"/>
      <c r="Q93" s="109"/>
      <c r="R93" s="109"/>
      <c r="S93" s="109"/>
      <c r="T93" s="109"/>
      <c r="U93" s="109"/>
      <c r="V93" s="109"/>
    </row>
    <row r="94" spans="1:22" x14ac:dyDescent="0.25">
      <c r="A94" s="91" t="s">
        <v>493</v>
      </c>
      <c r="B94" s="98">
        <v>2335</v>
      </c>
      <c r="C94" s="98">
        <v>2356</v>
      </c>
      <c r="D94" s="98">
        <v>2260</v>
      </c>
      <c r="E94" s="98">
        <v>2286</v>
      </c>
      <c r="F94" s="98">
        <v>2392</v>
      </c>
      <c r="G94" s="98">
        <v>2476</v>
      </c>
      <c r="H94" s="98">
        <v>2485</v>
      </c>
      <c r="I94" s="98">
        <v>2185</v>
      </c>
      <c r="J94" s="98">
        <v>2000</v>
      </c>
      <c r="K94" s="98">
        <v>1920</v>
      </c>
      <c r="L94" s="98">
        <v>1900</v>
      </c>
      <c r="M94" s="98">
        <v>1935.019831185044</v>
      </c>
      <c r="N94" s="98">
        <v>1962.1685790697911</v>
      </c>
      <c r="O94" s="98">
        <v>1942.917128626621</v>
      </c>
      <c r="P94" s="98">
        <v>1950.9794893011876</v>
      </c>
      <c r="Q94" s="98">
        <v>1967.3511500709549</v>
      </c>
      <c r="R94" s="98">
        <v>2000.1239461733353</v>
      </c>
      <c r="S94" s="98">
        <v>2022.1063422499528</v>
      </c>
      <c r="T94" s="98">
        <v>2053.1022182137458</v>
      </c>
      <c r="U94" s="98">
        <v>2078.5022806321249</v>
      </c>
      <c r="V94" s="98">
        <v>2115.8866894559997</v>
      </c>
    </row>
    <row r="95" spans="1:22" x14ac:dyDescent="0.25">
      <c r="A95" s="91" t="s">
        <v>485</v>
      </c>
      <c r="B95" s="98">
        <v>25</v>
      </c>
      <c r="C95" s="98">
        <v>25</v>
      </c>
      <c r="D95" s="98">
        <v>24</v>
      </c>
      <c r="E95" s="98">
        <v>20</v>
      </c>
      <c r="F95" s="98">
        <v>23</v>
      </c>
      <c r="G95" s="98">
        <v>25</v>
      </c>
      <c r="H95" s="98">
        <v>21</v>
      </c>
      <c r="I95" s="98">
        <v>20</v>
      </c>
      <c r="J95" s="98">
        <v>20</v>
      </c>
      <c r="K95" s="98">
        <v>21</v>
      </c>
      <c r="L95" s="98">
        <v>21</v>
      </c>
      <c r="M95" s="98">
        <v>23.561961735378702</v>
      </c>
      <c r="N95" s="98">
        <v>23.451049834781546</v>
      </c>
      <c r="O95" s="98">
        <v>22.894014162095615</v>
      </c>
      <c r="P95" s="98">
        <v>22.516104789615724</v>
      </c>
      <c r="Q95" s="98">
        <v>22.789051732308771</v>
      </c>
      <c r="R95" s="98">
        <v>23.371864534637755</v>
      </c>
      <c r="S95" s="98">
        <v>23.86989118612966</v>
      </c>
      <c r="T95" s="98">
        <v>24.661314118670798</v>
      </c>
      <c r="U95" s="98">
        <v>25.336388667793436</v>
      </c>
      <c r="V95" s="98">
        <v>26.276276915419817</v>
      </c>
    </row>
    <row r="96" spans="1:22" x14ac:dyDescent="0.25">
      <c r="A96" s="91" t="s">
        <v>486</v>
      </c>
      <c r="B96" s="98">
        <v>2360</v>
      </c>
      <c r="C96" s="98">
        <v>2381</v>
      </c>
      <c r="D96" s="98">
        <v>2284</v>
      </c>
      <c r="E96" s="98">
        <v>2306</v>
      </c>
      <c r="F96" s="98">
        <v>2415</v>
      </c>
      <c r="G96" s="98">
        <v>2501</v>
      </c>
      <c r="H96" s="98">
        <v>2506</v>
      </c>
      <c r="I96" s="98">
        <v>2205</v>
      </c>
      <c r="J96" s="98">
        <v>2020</v>
      </c>
      <c r="K96" s="98">
        <v>1941</v>
      </c>
      <c r="L96" s="98">
        <v>1921</v>
      </c>
      <c r="M96" s="98">
        <v>1958.5817929204227</v>
      </c>
      <c r="N96" s="98">
        <v>1985.6196289045727</v>
      </c>
      <c r="O96" s="98">
        <v>1965.8111427887166</v>
      </c>
      <c r="P96" s="98">
        <v>1973.4955940908035</v>
      </c>
      <c r="Q96" s="98">
        <v>1990.1402018032636</v>
      </c>
      <c r="R96" s="98">
        <v>2023.4958107079731</v>
      </c>
      <c r="S96" s="98">
        <v>2045.9762334360826</v>
      </c>
      <c r="T96" s="98">
        <v>2077.7635323324166</v>
      </c>
      <c r="U96" s="98">
        <v>2103.8386692999184</v>
      </c>
      <c r="V96" s="98">
        <v>2142.1629663714193</v>
      </c>
    </row>
    <row r="97" spans="1:22" x14ac:dyDescent="0.25">
      <c r="A97" s="91"/>
      <c r="B97" s="98"/>
      <c r="C97" s="98"/>
      <c r="D97" s="98"/>
      <c r="E97" s="98"/>
      <c r="F97" s="98"/>
      <c r="G97" s="98"/>
      <c r="H97" s="98"/>
      <c r="I97" s="98"/>
      <c r="J97" s="98"/>
      <c r="K97" s="98"/>
      <c r="L97" s="98"/>
      <c r="M97" s="98"/>
      <c r="N97" s="98"/>
      <c r="O97" s="98"/>
      <c r="P97" s="98"/>
      <c r="Q97" s="98"/>
      <c r="R97" s="98"/>
      <c r="S97" s="98"/>
      <c r="T97" s="98"/>
      <c r="U97" s="98"/>
      <c r="V97" s="98"/>
    </row>
    <row r="98" spans="1:22" x14ac:dyDescent="0.25">
      <c r="A98" s="91" t="s">
        <v>487</v>
      </c>
      <c r="B98" s="98">
        <v>-1009</v>
      </c>
      <c r="C98" s="98">
        <v>-956</v>
      </c>
      <c r="D98" s="98">
        <v>-1011</v>
      </c>
      <c r="E98" s="98">
        <v>-1052</v>
      </c>
      <c r="F98" s="98">
        <v>-1213</v>
      </c>
      <c r="G98" s="98">
        <v>-1278</v>
      </c>
      <c r="H98" s="98">
        <v>-1391</v>
      </c>
      <c r="I98" s="98">
        <v>-1169</v>
      </c>
      <c r="J98" s="98">
        <v>-980</v>
      </c>
      <c r="K98" s="98">
        <v>-866</v>
      </c>
      <c r="L98" s="98">
        <v>-875</v>
      </c>
      <c r="M98" s="98">
        <v>-905.26128914563537</v>
      </c>
      <c r="N98" s="98">
        <v>-916.76538766387375</v>
      </c>
      <c r="O98" s="98">
        <v>-885.41652272866736</v>
      </c>
      <c r="P98" s="98">
        <v>-863.78015814035507</v>
      </c>
      <c r="Q98" s="98">
        <v>-870.6097647180286</v>
      </c>
      <c r="R98" s="98">
        <v>-894.55600340188812</v>
      </c>
      <c r="S98" s="98">
        <v>-911.19693486092274</v>
      </c>
      <c r="T98" s="98">
        <v>-936.67849234644677</v>
      </c>
      <c r="U98" s="98">
        <v>-959.35112121029783</v>
      </c>
      <c r="V98" s="98">
        <v>-997.31465924352324</v>
      </c>
    </row>
    <row r="99" spans="1:22" x14ac:dyDescent="0.25">
      <c r="A99" s="91"/>
      <c r="B99" s="109"/>
      <c r="C99" s="109"/>
      <c r="D99" s="109"/>
      <c r="E99" s="109"/>
      <c r="F99" s="109"/>
      <c r="G99" s="109"/>
      <c r="H99" s="109"/>
      <c r="I99" s="109"/>
      <c r="J99" s="109"/>
      <c r="K99" s="109"/>
      <c r="L99" s="109"/>
      <c r="M99" s="109"/>
      <c r="N99" s="109"/>
      <c r="O99" s="109"/>
      <c r="P99" s="109"/>
      <c r="Q99" s="109"/>
      <c r="R99" s="109"/>
      <c r="S99" s="109"/>
      <c r="T99" s="109"/>
      <c r="U99" s="109"/>
      <c r="V99" s="109"/>
    </row>
    <row r="100" spans="1:22" x14ac:dyDescent="0.25">
      <c r="A100" s="91"/>
      <c r="B100" s="109"/>
      <c r="C100" s="109"/>
      <c r="D100" s="109"/>
      <c r="E100" s="109"/>
      <c r="F100" s="109"/>
      <c r="G100" s="109"/>
      <c r="H100" s="109"/>
      <c r="I100" s="109"/>
      <c r="J100" s="109"/>
      <c r="K100" s="109"/>
      <c r="L100" s="109"/>
      <c r="M100" s="109"/>
      <c r="N100" s="109"/>
      <c r="O100" s="109"/>
      <c r="P100" s="109"/>
      <c r="Q100" s="109"/>
      <c r="R100" s="109"/>
      <c r="S100" s="109"/>
      <c r="T100" s="109"/>
      <c r="U100" s="109"/>
      <c r="V100" s="109"/>
    </row>
    <row r="101" spans="1:22" x14ac:dyDescent="0.25">
      <c r="A101" s="106" t="s">
        <v>494</v>
      </c>
      <c r="B101" s="109"/>
      <c r="C101" s="109"/>
      <c r="D101" s="109"/>
      <c r="E101" s="109"/>
      <c r="F101" s="109"/>
      <c r="G101" s="109"/>
      <c r="H101" s="109"/>
      <c r="I101" s="109"/>
      <c r="J101" s="109"/>
      <c r="K101" s="109"/>
      <c r="L101" s="109"/>
      <c r="M101" s="109"/>
      <c r="N101" s="109"/>
      <c r="O101" s="109"/>
      <c r="P101" s="109"/>
      <c r="Q101" s="109"/>
      <c r="R101" s="109"/>
      <c r="S101" s="109"/>
      <c r="T101" s="109"/>
      <c r="U101" s="109"/>
      <c r="V101" s="109"/>
    </row>
    <row r="102" spans="1:22" x14ac:dyDescent="0.25">
      <c r="A102" s="91" t="s">
        <v>34</v>
      </c>
      <c r="B102" s="98">
        <v>295</v>
      </c>
      <c r="C102" s="98">
        <v>312</v>
      </c>
      <c r="D102" s="98">
        <v>278</v>
      </c>
      <c r="E102" s="98">
        <v>275</v>
      </c>
      <c r="F102" s="98">
        <v>275</v>
      </c>
      <c r="G102" s="98">
        <v>278</v>
      </c>
      <c r="H102" s="98">
        <v>253</v>
      </c>
      <c r="I102" s="98">
        <v>235</v>
      </c>
      <c r="J102" s="98">
        <v>236</v>
      </c>
      <c r="K102" s="98">
        <v>244</v>
      </c>
      <c r="L102" s="98">
        <v>236</v>
      </c>
      <c r="M102" s="98">
        <v>237.68557355336981</v>
      </c>
      <c r="N102" s="98">
        <v>240.67207545626869</v>
      </c>
      <c r="O102" s="98">
        <v>243.35480101929986</v>
      </c>
      <c r="P102" s="98">
        <v>250.23401295279538</v>
      </c>
      <c r="Q102" s="98">
        <v>252.58088657084906</v>
      </c>
      <c r="R102" s="98">
        <v>254.68448569587187</v>
      </c>
      <c r="S102" s="98">
        <v>255.89477240158456</v>
      </c>
      <c r="T102" s="98">
        <v>257.23197675799366</v>
      </c>
      <c r="U102" s="98">
        <v>257.83315118902277</v>
      </c>
      <c r="V102" s="98">
        <v>257.76074776400611</v>
      </c>
    </row>
    <row r="103" spans="1:22" x14ac:dyDescent="0.25">
      <c r="A103" s="91" t="s">
        <v>481</v>
      </c>
      <c r="B103" s="98">
        <v>7</v>
      </c>
      <c r="C103" s="98">
        <v>7</v>
      </c>
      <c r="D103" s="98">
        <v>37</v>
      </c>
      <c r="E103" s="98">
        <v>42</v>
      </c>
      <c r="F103" s="98">
        <v>37</v>
      </c>
      <c r="G103" s="98">
        <v>33</v>
      </c>
      <c r="H103" s="98">
        <v>34</v>
      </c>
      <c r="I103" s="98">
        <v>12</v>
      </c>
      <c r="J103" s="98">
        <v>9</v>
      </c>
      <c r="K103" s="98">
        <v>13</v>
      </c>
      <c r="L103" s="98">
        <v>8</v>
      </c>
      <c r="M103" s="98">
        <v>8</v>
      </c>
      <c r="N103" s="98">
        <v>8.576137824431191</v>
      </c>
      <c r="O103" s="98">
        <v>8.7155264524019191</v>
      </c>
      <c r="P103" s="98">
        <v>8.3029215927646653</v>
      </c>
      <c r="Q103" s="98">
        <v>8.0513196384630437</v>
      </c>
      <c r="R103" s="98">
        <v>8.0254060576888264</v>
      </c>
      <c r="S103" s="98">
        <v>8.2604197659123955</v>
      </c>
      <c r="T103" s="98">
        <v>8.4279362127394357</v>
      </c>
      <c r="U103" s="98">
        <v>8.6618968182444522</v>
      </c>
      <c r="V103" s="98">
        <v>8.6618968182444522</v>
      </c>
    </row>
    <row r="104" spans="1:22" x14ac:dyDescent="0.25">
      <c r="A104" s="91" t="s">
        <v>482</v>
      </c>
      <c r="B104" s="98">
        <v>302</v>
      </c>
      <c r="C104" s="98">
        <v>319</v>
      </c>
      <c r="D104" s="98">
        <v>315</v>
      </c>
      <c r="E104" s="98">
        <v>317</v>
      </c>
      <c r="F104" s="98">
        <v>312</v>
      </c>
      <c r="G104" s="98">
        <v>311</v>
      </c>
      <c r="H104" s="98">
        <v>287</v>
      </c>
      <c r="I104" s="98">
        <v>247</v>
      </c>
      <c r="J104" s="98">
        <v>245</v>
      </c>
      <c r="K104" s="98">
        <v>257</v>
      </c>
      <c r="L104" s="98">
        <v>244</v>
      </c>
      <c r="M104" s="98">
        <v>245.68557355336981</v>
      </c>
      <c r="N104" s="98">
        <v>249.24821328069987</v>
      </c>
      <c r="O104" s="98">
        <v>252.07032747170177</v>
      </c>
      <c r="P104" s="98">
        <v>258.53693454556003</v>
      </c>
      <c r="Q104" s="98">
        <v>260.63220620931213</v>
      </c>
      <c r="R104" s="98">
        <v>262.70989175356067</v>
      </c>
      <c r="S104" s="98">
        <v>264.15519216749698</v>
      </c>
      <c r="T104" s="98">
        <v>265.6599129707331</v>
      </c>
      <c r="U104" s="98">
        <v>266.4950480072672</v>
      </c>
      <c r="V104" s="98">
        <v>266.42264458225054</v>
      </c>
    </row>
    <row r="105" spans="1:22" x14ac:dyDescent="0.25">
      <c r="A105" s="91"/>
      <c r="B105" s="109"/>
      <c r="C105" s="109"/>
      <c r="D105" s="109"/>
      <c r="E105" s="109"/>
      <c r="F105" s="109"/>
      <c r="G105" s="109"/>
      <c r="H105" s="109"/>
      <c r="I105" s="109"/>
      <c r="J105" s="109"/>
      <c r="K105" s="109"/>
      <c r="L105" s="109"/>
      <c r="M105" s="109"/>
      <c r="N105" s="109"/>
      <c r="O105" s="109"/>
      <c r="P105" s="109"/>
      <c r="Q105" s="109"/>
      <c r="R105" s="109"/>
      <c r="S105" s="109"/>
      <c r="T105" s="109"/>
      <c r="U105" s="109"/>
      <c r="V105" s="109"/>
    </row>
    <row r="106" spans="1:22" x14ac:dyDescent="0.25">
      <c r="A106" s="91" t="s">
        <v>493</v>
      </c>
      <c r="B106" s="98">
        <v>341</v>
      </c>
      <c r="C106" s="98">
        <v>385</v>
      </c>
      <c r="D106" s="98">
        <v>354</v>
      </c>
      <c r="E106" s="98">
        <v>347</v>
      </c>
      <c r="F106" s="98">
        <v>334</v>
      </c>
      <c r="G106" s="98">
        <v>332</v>
      </c>
      <c r="H106" s="98">
        <v>305</v>
      </c>
      <c r="I106" s="98">
        <v>245</v>
      </c>
      <c r="J106" s="98">
        <v>228</v>
      </c>
      <c r="K106" s="98">
        <v>215</v>
      </c>
      <c r="L106" s="98">
        <v>210</v>
      </c>
      <c r="M106" s="98">
        <v>214.84554717667737</v>
      </c>
      <c r="N106" s="98">
        <v>219.1344419145276</v>
      </c>
      <c r="O106" s="98">
        <v>218.30458826958454</v>
      </c>
      <c r="P106" s="98">
        <v>218.84944444946674</v>
      </c>
      <c r="Q106" s="98">
        <v>221.07993877810972</v>
      </c>
      <c r="R106" s="98">
        <v>225.18009858187435</v>
      </c>
      <c r="S106" s="98">
        <v>228.73783609152073</v>
      </c>
      <c r="T106" s="98">
        <v>232.66228939158398</v>
      </c>
      <c r="U106" s="98">
        <v>236.47585378268434</v>
      </c>
      <c r="V106" s="98">
        <v>239.40108132599173</v>
      </c>
    </row>
    <row r="107" spans="1:22" x14ac:dyDescent="0.25">
      <c r="A107" s="91" t="s">
        <v>485</v>
      </c>
      <c r="B107" s="98">
        <v>7</v>
      </c>
      <c r="C107" s="98">
        <v>37</v>
      </c>
      <c r="D107" s="98">
        <v>42</v>
      </c>
      <c r="E107" s="98">
        <v>37</v>
      </c>
      <c r="F107" s="98">
        <v>33</v>
      </c>
      <c r="G107" s="98">
        <v>34</v>
      </c>
      <c r="H107" s="98">
        <v>12</v>
      </c>
      <c r="I107" s="98">
        <v>9</v>
      </c>
      <c r="J107" s="98">
        <v>13</v>
      </c>
      <c r="K107" s="98">
        <v>8</v>
      </c>
      <c r="L107" s="98">
        <v>8</v>
      </c>
      <c r="M107" s="98">
        <v>8.576137824431191</v>
      </c>
      <c r="N107" s="98">
        <v>8.7155264524019191</v>
      </c>
      <c r="O107" s="98">
        <v>8.3029215927646653</v>
      </c>
      <c r="P107" s="98">
        <v>8.0513196384630437</v>
      </c>
      <c r="Q107" s="98">
        <v>8.0254060576888264</v>
      </c>
      <c r="R107" s="98">
        <v>8.2604197659123955</v>
      </c>
      <c r="S107" s="98">
        <v>8.4279362127394357</v>
      </c>
      <c r="T107" s="98">
        <v>8.6618968182444522</v>
      </c>
      <c r="U107" s="98">
        <v>8.8274831896904509</v>
      </c>
      <c r="V107" s="98">
        <v>8.919990199169618</v>
      </c>
    </row>
    <row r="108" spans="1:22" x14ac:dyDescent="0.25">
      <c r="A108" s="91" t="s">
        <v>486</v>
      </c>
      <c r="B108" s="98">
        <v>348</v>
      </c>
      <c r="C108" s="98">
        <v>422</v>
      </c>
      <c r="D108" s="98">
        <v>396</v>
      </c>
      <c r="E108" s="98">
        <v>384</v>
      </c>
      <c r="F108" s="98">
        <v>367</v>
      </c>
      <c r="G108" s="98">
        <v>366</v>
      </c>
      <c r="H108" s="98">
        <v>317</v>
      </c>
      <c r="I108" s="98">
        <v>254</v>
      </c>
      <c r="J108" s="98">
        <v>241</v>
      </c>
      <c r="K108" s="98">
        <v>223</v>
      </c>
      <c r="L108" s="98">
        <v>218</v>
      </c>
      <c r="M108" s="98">
        <v>223.42168500110856</v>
      </c>
      <c r="N108" s="98">
        <v>227.84996836692952</v>
      </c>
      <c r="O108" s="98">
        <v>226.60750986234922</v>
      </c>
      <c r="P108" s="98">
        <v>226.90076408792979</v>
      </c>
      <c r="Q108" s="98">
        <v>229.10534483579855</v>
      </c>
      <c r="R108" s="98">
        <v>233.44051834778674</v>
      </c>
      <c r="S108" s="98">
        <v>237.16577230426017</v>
      </c>
      <c r="T108" s="98">
        <v>241.32418620982844</v>
      </c>
      <c r="U108" s="98">
        <v>245.30333697237478</v>
      </c>
      <c r="V108" s="98">
        <v>248.32107152516136</v>
      </c>
    </row>
    <row r="109" spans="1:22" x14ac:dyDescent="0.25">
      <c r="A109" s="91"/>
      <c r="B109" s="109"/>
      <c r="C109" s="109"/>
      <c r="D109" s="109"/>
      <c r="E109" s="109"/>
      <c r="F109" s="109"/>
      <c r="G109" s="109"/>
      <c r="H109" s="109"/>
      <c r="I109" s="109"/>
      <c r="J109" s="109"/>
      <c r="K109" s="109"/>
      <c r="L109" s="109"/>
      <c r="M109" s="109"/>
      <c r="N109" s="109"/>
      <c r="O109" s="109"/>
      <c r="P109" s="109"/>
      <c r="Q109" s="109"/>
      <c r="R109" s="109"/>
      <c r="S109" s="109"/>
      <c r="T109" s="109"/>
      <c r="U109" s="109"/>
      <c r="V109" s="109"/>
    </row>
    <row r="110" spans="1:22" x14ac:dyDescent="0.25">
      <c r="A110" s="91" t="s">
        <v>487</v>
      </c>
      <c r="B110" s="98">
        <v>-46</v>
      </c>
      <c r="C110" s="98">
        <v>-103</v>
      </c>
      <c r="D110" s="98">
        <v>-81</v>
      </c>
      <c r="E110" s="98">
        <v>-67</v>
      </c>
      <c r="F110" s="98">
        <v>-55</v>
      </c>
      <c r="G110" s="98">
        <v>-55</v>
      </c>
      <c r="H110" s="98">
        <v>-30</v>
      </c>
      <c r="I110" s="98">
        <v>-7</v>
      </c>
      <c r="J110" s="98">
        <v>4</v>
      </c>
      <c r="K110" s="98">
        <v>34</v>
      </c>
      <c r="L110" s="98">
        <v>26</v>
      </c>
      <c r="M110" s="98">
        <v>22.263860016664438</v>
      </c>
      <c r="N110" s="98">
        <v>21.398280488314668</v>
      </c>
      <c r="O110" s="98">
        <v>25.462814437568113</v>
      </c>
      <c r="P110" s="98">
        <v>31.636130536415607</v>
      </c>
      <c r="Q110" s="98">
        <v>31.526848436824309</v>
      </c>
      <c r="R110" s="98">
        <v>29.269350197424671</v>
      </c>
      <c r="S110" s="98">
        <v>26.98941535574906</v>
      </c>
      <c r="T110" s="98">
        <v>24.335707394533358</v>
      </c>
      <c r="U110" s="98">
        <v>21.191695575245063</v>
      </c>
      <c r="V110" s="98">
        <v>18.267177667064203</v>
      </c>
    </row>
    <row r="112" spans="1:22" ht="18.75" thickBot="1" x14ac:dyDescent="0.3">
      <c r="A112" s="110" t="s">
        <v>495</v>
      </c>
      <c r="B112" s="112"/>
      <c r="C112" s="112"/>
      <c r="D112" s="112"/>
      <c r="E112" s="112"/>
      <c r="F112" s="112"/>
      <c r="G112" s="113"/>
      <c r="H112" s="113"/>
      <c r="I112" s="113"/>
      <c r="J112" s="113"/>
      <c r="K112" s="113"/>
      <c r="L112" s="113"/>
      <c r="M112" s="113"/>
      <c r="N112" s="113"/>
      <c r="O112" s="113"/>
      <c r="P112" s="113"/>
      <c r="Q112" s="113"/>
      <c r="R112" s="113"/>
      <c r="S112" s="113"/>
      <c r="T112" s="113"/>
      <c r="U112" s="113"/>
      <c r="V112" s="113"/>
    </row>
    <row r="113" spans="1:22" ht="15.75" thickTop="1" x14ac:dyDescent="0.25">
      <c r="A113" s="91"/>
      <c r="B113" s="91"/>
      <c r="C113" s="91"/>
      <c r="D113" s="91"/>
      <c r="E113" s="91"/>
      <c r="F113" s="91"/>
      <c r="G113" s="91"/>
      <c r="H113" s="91"/>
      <c r="I113" s="91"/>
      <c r="J113" s="91"/>
      <c r="K113" s="91"/>
      <c r="L113" s="91"/>
      <c r="M113" s="91"/>
      <c r="N113" s="91"/>
      <c r="O113" s="91"/>
      <c r="P113" s="91"/>
      <c r="Q113" s="91"/>
      <c r="R113" s="91"/>
      <c r="S113" s="91"/>
      <c r="T113" s="91"/>
      <c r="U113" s="91"/>
      <c r="V113" s="91"/>
    </row>
    <row r="114" spans="1:22" x14ac:dyDescent="0.25">
      <c r="A114" s="91"/>
      <c r="B114" s="93" t="s">
        <v>455</v>
      </c>
      <c r="C114" s="93" t="s">
        <v>456</v>
      </c>
      <c r="D114" s="93" t="s">
        <v>457</v>
      </c>
      <c r="E114" s="93" t="s">
        <v>458</v>
      </c>
      <c r="F114" s="93" t="s">
        <v>459</v>
      </c>
      <c r="G114" s="93" t="s">
        <v>460</v>
      </c>
      <c r="H114" s="93" t="s">
        <v>461</v>
      </c>
      <c r="I114" s="93" t="s">
        <v>462</v>
      </c>
      <c r="J114" s="93" t="s">
        <v>463</v>
      </c>
      <c r="K114" s="93" t="s">
        <v>464</v>
      </c>
      <c r="L114" s="93" t="s">
        <v>465</v>
      </c>
      <c r="M114" s="93" t="s">
        <v>466</v>
      </c>
      <c r="N114" s="93" t="s">
        <v>467</v>
      </c>
      <c r="O114" s="93" t="s">
        <v>468</v>
      </c>
      <c r="P114" s="93" t="s">
        <v>469</v>
      </c>
      <c r="Q114" s="93" t="s">
        <v>470</v>
      </c>
      <c r="R114" s="93" t="s">
        <v>471</v>
      </c>
      <c r="S114" s="93" t="s">
        <v>472</v>
      </c>
      <c r="T114" s="93" t="s">
        <v>473</v>
      </c>
      <c r="U114" s="93" t="s">
        <v>474</v>
      </c>
      <c r="V114" s="93" t="s">
        <v>475</v>
      </c>
    </row>
    <row r="115" spans="1:22" x14ac:dyDescent="0.25">
      <c r="A115" s="94"/>
      <c r="B115" s="95"/>
      <c r="C115" s="95"/>
      <c r="D115" s="95"/>
      <c r="E115" s="95"/>
      <c r="F115" s="95"/>
      <c r="G115" s="95"/>
      <c r="H115" s="95"/>
      <c r="I115" s="95"/>
      <c r="J115" s="95"/>
      <c r="K115" s="95"/>
      <c r="L115" s="95"/>
      <c r="M115" s="95"/>
      <c r="N115" s="95"/>
      <c r="O115" s="95"/>
      <c r="P115" s="95"/>
      <c r="Q115" s="95"/>
      <c r="R115" s="95"/>
      <c r="S115" s="95"/>
      <c r="T115" s="95"/>
      <c r="U115" s="95"/>
      <c r="V115" s="95"/>
    </row>
    <row r="116" spans="1:22" x14ac:dyDescent="0.25">
      <c r="A116" s="91"/>
      <c r="B116" s="91"/>
      <c r="C116" s="91"/>
      <c r="D116" s="91"/>
      <c r="E116" s="91"/>
      <c r="F116" s="91"/>
      <c r="G116" s="91"/>
      <c r="H116" s="91"/>
      <c r="I116" s="91"/>
      <c r="J116" s="91"/>
      <c r="K116" s="91"/>
      <c r="L116" s="91"/>
      <c r="M116" s="91"/>
      <c r="N116" s="91"/>
      <c r="O116" s="91"/>
      <c r="P116" s="91"/>
      <c r="Q116" s="91"/>
      <c r="R116" s="91"/>
      <c r="S116" s="91"/>
      <c r="T116" s="91"/>
      <c r="U116" s="91"/>
      <c r="V116" s="91"/>
    </row>
    <row r="117" spans="1:22" x14ac:dyDescent="0.25">
      <c r="A117" s="106" t="s">
        <v>496</v>
      </c>
      <c r="B117" s="97"/>
      <c r="C117" s="97"/>
      <c r="D117" s="97"/>
      <c r="E117" s="97"/>
      <c r="F117" s="96" t="s">
        <v>476</v>
      </c>
      <c r="G117" s="97"/>
      <c r="H117" s="97"/>
      <c r="I117" s="97"/>
      <c r="J117" s="91"/>
      <c r="K117" s="97"/>
      <c r="L117" s="97"/>
      <c r="M117" s="97"/>
      <c r="N117" s="97"/>
      <c r="O117" s="97"/>
      <c r="P117" s="97"/>
      <c r="Q117" s="96" t="s">
        <v>476</v>
      </c>
      <c r="R117" s="3"/>
      <c r="S117" s="3"/>
      <c r="T117" s="3"/>
      <c r="U117" s="3"/>
      <c r="V117" s="3"/>
    </row>
    <row r="118" spans="1:22" x14ac:dyDescent="0.25">
      <c r="A118" s="91" t="s">
        <v>477</v>
      </c>
      <c r="B118" s="114">
        <v>10.5</v>
      </c>
      <c r="C118" s="114">
        <v>11.599999999999994</v>
      </c>
      <c r="D118" s="114">
        <v>13.674999999999997</v>
      </c>
      <c r="E118" s="114">
        <v>13.599999999999994</v>
      </c>
      <c r="F118" s="114">
        <v>14.599999999999994</v>
      </c>
      <c r="G118" s="114">
        <v>14.100000000000009</v>
      </c>
      <c r="H118" s="114">
        <v>8.625</v>
      </c>
      <c r="I118" s="114">
        <v>9.9000000000000057</v>
      </c>
      <c r="J118" s="114">
        <v>9.5387628018406474</v>
      </c>
      <c r="K118" s="114">
        <v>12.605890554800027</v>
      </c>
      <c r="L118" s="114">
        <v>13.038914957799861</v>
      </c>
      <c r="M118" s="114">
        <v>12.991311642597722</v>
      </c>
      <c r="N118" s="114">
        <v>12.8224083039606</v>
      </c>
      <c r="O118" s="114">
        <v>12.763939700897694</v>
      </c>
      <c r="P118" s="114">
        <v>12.706355524366884</v>
      </c>
      <c r="Q118" s="114">
        <v>12.562842464542328</v>
      </c>
      <c r="R118" s="114">
        <v>12.49049223293224</v>
      </c>
      <c r="S118" s="114">
        <v>12.553413242620678</v>
      </c>
      <c r="T118" s="114">
        <v>12.662947729227469</v>
      </c>
      <c r="U118" s="114">
        <v>12.797411604309644</v>
      </c>
      <c r="V118" s="114">
        <v>12.834034746503704</v>
      </c>
    </row>
    <row r="119" spans="1:22" x14ac:dyDescent="0.25">
      <c r="A119" s="91"/>
      <c r="B119" s="91"/>
      <c r="C119" s="91"/>
      <c r="D119" s="91"/>
      <c r="E119" s="91"/>
      <c r="F119" s="91"/>
      <c r="G119" s="91"/>
      <c r="H119" s="91"/>
      <c r="I119" s="91"/>
      <c r="J119" s="91"/>
      <c r="K119" s="91"/>
      <c r="L119" s="91"/>
      <c r="M119" s="91"/>
      <c r="N119" s="91"/>
      <c r="O119" s="91"/>
      <c r="P119" s="91"/>
      <c r="Q119" s="91"/>
      <c r="R119" s="91"/>
      <c r="S119" s="91"/>
      <c r="T119" s="91"/>
      <c r="U119" s="91"/>
      <c r="V119" s="91"/>
    </row>
    <row r="120" spans="1:22" x14ac:dyDescent="0.25">
      <c r="A120" s="91"/>
      <c r="B120" s="97"/>
      <c r="C120" s="97"/>
      <c r="D120" s="97"/>
      <c r="E120" s="97"/>
      <c r="F120" s="96" t="s">
        <v>478</v>
      </c>
      <c r="G120" s="97"/>
      <c r="H120" s="97"/>
      <c r="I120" s="97"/>
      <c r="J120" s="91"/>
      <c r="K120" s="97"/>
      <c r="L120" s="97"/>
      <c r="M120" s="97"/>
      <c r="N120" s="97"/>
      <c r="O120" s="97"/>
      <c r="P120" s="97"/>
      <c r="Q120" s="96" t="s">
        <v>478</v>
      </c>
      <c r="R120" s="3"/>
      <c r="S120" s="3"/>
      <c r="T120" s="3"/>
      <c r="U120" s="3"/>
      <c r="V120" s="3"/>
    </row>
    <row r="121" spans="1:22" x14ac:dyDescent="0.25">
      <c r="A121" s="91" t="s">
        <v>479</v>
      </c>
      <c r="B121" s="115">
        <v>37.580952380952397</v>
      </c>
      <c r="C121" s="115">
        <v>51.420258620689651</v>
      </c>
      <c r="D121" s="115">
        <v>53.237659963436926</v>
      </c>
      <c r="E121" s="115">
        <v>47.193014705882348</v>
      </c>
      <c r="F121" s="115">
        <v>55.145547945205465</v>
      </c>
      <c r="G121" s="115">
        <v>55.973404255319139</v>
      </c>
      <c r="H121" s="115">
        <v>52.060869565217388</v>
      </c>
      <c r="I121" s="115">
        <v>58.530303030303031</v>
      </c>
      <c r="J121" s="115">
        <v>60.973542019099483</v>
      </c>
      <c r="K121" s="115">
        <v>61.686906409559498</v>
      </c>
      <c r="L121" s="115">
        <v>62.178087253270206</v>
      </c>
      <c r="M121" s="115">
        <v>62.752336678268563</v>
      </c>
      <c r="N121" s="115">
        <v>63.393512638899352</v>
      </c>
      <c r="O121" s="115">
        <v>64.157796161501807</v>
      </c>
      <c r="P121" s="115">
        <v>64.935468843174164</v>
      </c>
      <c r="Q121" s="115">
        <v>65.661866785866806</v>
      </c>
      <c r="R121" s="115">
        <v>66.403934671434314</v>
      </c>
      <c r="S121" s="115">
        <v>67.114726937933625</v>
      </c>
      <c r="T121" s="115">
        <v>67.863234686840002</v>
      </c>
      <c r="U121" s="115">
        <v>68.480945956530519</v>
      </c>
      <c r="V121" s="115">
        <v>69.049504084505003</v>
      </c>
    </row>
    <row r="122" spans="1:22" x14ac:dyDescent="0.25">
      <c r="A122" s="91"/>
      <c r="B122" s="114"/>
      <c r="C122" s="114"/>
      <c r="D122" s="114"/>
      <c r="E122" s="114"/>
      <c r="F122" s="114"/>
      <c r="G122" s="114"/>
      <c r="H122" s="114"/>
      <c r="I122" s="114"/>
      <c r="J122" s="114"/>
      <c r="K122" s="114"/>
      <c r="L122" s="114"/>
      <c r="M122" s="114"/>
      <c r="N122" s="114"/>
      <c r="O122" s="114"/>
      <c r="P122" s="114"/>
      <c r="Q122" s="114"/>
      <c r="R122" s="114"/>
      <c r="S122" s="114"/>
      <c r="T122" s="114"/>
      <c r="U122" s="114"/>
      <c r="V122" s="114"/>
    </row>
    <row r="123" spans="1:22" x14ac:dyDescent="0.25">
      <c r="A123" s="91"/>
      <c r="B123" s="97"/>
      <c r="C123" s="97"/>
      <c r="D123" s="97"/>
      <c r="E123" s="97"/>
      <c r="F123" s="96" t="s">
        <v>480</v>
      </c>
      <c r="G123" s="97"/>
      <c r="H123" s="97"/>
      <c r="I123" s="97"/>
      <c r="J123" s="91"/>
      <c r="K123" s="97"/>
      <c r="L123" s="97"/>
      <c r="M123" s="97"/>
      <c r="N123" s="97"/>
      <c r="O123" s="97"/>
      <c r="P123" s="97"/>
      <c r="Q123" s="96" t="s">
        <v>480</v>
      </c>
      <c r="R123" s="3"/>
      <c r="S123" s="3"/>
      <c r="T123" s="3"/>
      <c r="U123" s="3"/>
      <c r="V123" s="3"/>
    </row>
    <row r="124" spans="1:22" x14ac:dyDescent="0.25">
      <c r="A124" s="91" t="s">
        <v>34</v>
      </c>
      <c r="B124" s="114">
        <v>394.60000000000014</v>
      </c>
      <c r="C124" s="114">
        <v>596.47499999999968</v>
      </c>
      <c r="D124" s="114">
        <v>728.02499999999986</v>
      </c>
      <c r="E124" s="114">
        <v>641.8249999999997</v>
      </c>
      <c r="F124" s="114">
        <v>805.12499999999943</v>
      </c>
      <c r="G124" s="114">
        <v>789.22500000000036</v>
      </c>
      <c r="H124" s="114">
        <v>449.02499999999998</v>
      </c>
      <c r="I124" s="114">
        <v>579.45000000000039</v>
      </c>
      <c r="J124" s="114">
        <v>581.61215450825387</v>
      </c>
      <c r="K124" s="114">
        <v>777.61839086309931</v>
      </c>
      <c r="L124" s="114">
        <v>810.73479193404978</v>
      </c>
      <c r="M124" s="114">
        <v>815.23516208860246</v>
      </c>
      <c r="N124" s="114">
        <v>812.85750287825431</v>
      </c>
      <c r="O124" s="114">
        <v>818.90624154789464</v>
      </c>
      <c r="P124" s="114">
        <v>825.09315326281978</v>
      </c>
      <c r="Q124" s="114">
        <v>824.89968835860896</v>
      </c>
      <c r="R124" s="114">
        <v>829.41783024969016</v>
      </c>
      <c r="S124" s="114">
        <v>842.5189019175267</v>
      </c>
      <c r="T124" s="114">
        <v>859.34859357575135</v>
      </c>
      <c r="U124" s="114">
        <v>876.3788524582053</v>
      </c>
      <c r="V124" s="114">
        <v>886.18373464938668</v>
      </c>
    </row>
    <row r="125" spans="1:22" x14ac:dyDescent="0.25">
      <c r="A125" s="91"/>
      <c r="B125" s="91"/>
      <c r="C125" s="91"/>
      <c r="D125" s="91"/>
      <c r="E125" s="91"/>
      <c r="F125" s="91"/>
      <c r="G125" s="91"/>
      <c r="H125" s="91"/>
      <c r="I125" s="91"/>
      <c r="J125" s="91"/>
      <c r="K125" s="91"/>
      <c r="L125" s="91"/>
      <c r="M125" s="91"/>
      <c r="N125" s="91"/>
      <c r="O125" s="91"/>
      <c r="P125" s="91"/>
      <c r="Q125" s="91"/>
      <c r="R125" s="91"/>
      <c r="S125" s="91"/>
      <c r="T125" s="91"/>
      <c r="U125" s="91"/>
      <c r="V125" s="91"/>
    </row>
    <row r="126" spans="1:22" x14ac:dyDescent="0.25">
      <c r="A126" s="106" t="s">
        <v>497</v>
      </c>
      <c r="B126" s="96"/>
      <c r="C126" s="96"/>
      <c r="D126" s="96"/>
      <c r="E126" s="96"/>
      <c r="F126" s="96"/>
      <c r="G126" s="96"/>
      <c r="H126" s="96"/>
      <c r="I126" s="96"/>
      <c r="J126" s="96"/>
      <c r="K126" s="96"/>
      <c r="L126" s="96"/>
      <c r="M126" s="96"/>
      <c r="N126" s="96"/>
      <c r="O126" s="96"/>
      <c r="P126" s="96"/>
      <c r="Q126" s="96"/>
      <c r="R126" s="96"/>
      <c r="S126" s="96"/>
      <c r="T126" s="96"/>
      <c r="U126" s="96"/>
      <c r="V126" s="96"/>
    </row>
    <row r="127" spans="1:22" x14ac:dyDescent="0.25">
      <c r="A127" s="91" t="s">
        <v>34</v>
      </c>
      <c r="B127" s="114">
        <v>88</v>
      </c>
      <c r="C127" s="114">
        <v>54</v>
      </c>
      <c r="D127" s="114">
        <v>98</v>
      </c>
      <c r="E127" s="114">
        <v>105</v>
      </c>
      <c r="F127" s="114">
        <v>105</v>
      </c>
      <c r="G127" s="114">
        <v>135</v>
      </c>
      <c r="H127" s="114">
        <v>116</v>
      </c>
      <c r="I127" s="114">
        <v>61</v>
      </c>
      <c r="J127" s="114">
        <v>70</v>
      </c>
      <c r="K127" s="114">
        <v>97</v>
      </c>
      <c r="L127" s="114">
        <v>95</v>
      </c>
      <c r="M127" s="114">
        <v>95.608866327860724</v>
      </c>
      <c r="N127" s="114">
        <v>95.411305786689553</v>
      </c>
      <c r="O127" s="114">
        <v>96.203183158569857</v>
      </c>
      <c r="P127" s="114">
        <v>97.012516340535385</v>
      </c>
      <c r="Q127" s="114">
        <v>97.072259160025936</v>
      </c>
      <c r="R127" s="114">
        <v>97.686885276021727</v>
      </c>
      <c r="S127" s="114">
        <v>99.314150637027851</v>
      </c>
      <c r="T127" s="114">
        <v>101.38393004719084</v>
      </c>
      <c r="U127" s="114">
        <v>103.48075790276044</v>
      </c>
      <c r="V127" s="114">
        <v>104.72711375179863</v>
      </c>
    </row>
    <row r="128" spans="1:22" x14ac:dyDescent="0.25">
      <c r="A128" s="91" t="s">
        <v>481</v>
      </c>
      <c r="B128" s="114">
        <v>194</v>
      </c>
      <c r="C128" s="114">
        <v>253</v>
      </c>
      <c r="D128" s="114">
        <v>220</v>
      </c>
      <c r="E128" s="114">
        <v>198</v>
      </c>
      <c r="F128" s="114">
        <v>131</v>
      </c>
      <c r="G128" s="114">
        <v>222</v>
      </c>
      <c r="H128" s="114">
        <v>97</v>
      </c>
      <c r="I128" s="114">
        <v>206</v>
      </c>
      <c r="J128" s="114">
        <v>92</v>
      </c>
      <c r="K128" s="114">
        <v>45</v>
      </c>
      <c r="L128" s="114">
        <v>86</v>
      </c>
      <c r="M128" s="114">
        <v>136</v>
      </c>
      <c r="N128" s="114">
        <v>151.83456608735122</v>
      </c>
      <c r="O128" s="114">
        <v>156.65045771305932</v>
      </c>
      <c r="P128" s="114">
        <v>156.06333928064771</v>
      </c>
      <c r="Q128" s="114">
        <v>154.7874014364898</v>
      </c>
      <c r="R128" s="114">
        <v>154.31385859156876</v>
      </c>
      <c r="S128" s="114">
        <v>154.77534472732629</v>
      </c>
      <c r="T128" s="114">
        <v>155.96962532997253</v>
      </c>
      <c r="U128" s="114">
        <v>157.13547118527424</v>
      </c>
      <c r="V128" s="114">
        <v>158.8256430706403</v>
      </c>
    </row>
    <row r="129" spans="1:22" x14ac:dyDescent="0.25">
      <c r="A129" s="91" t="s">
        <v>498</v>
      </c>
      <c r="B129" s="114">
        <v>282</v>
      </c>
      <c r="C129" s="114">
        <v>307</v>
      </c>
      <c r="D129" s="114">
        <v>318</v>
      </c>
      <c r="E129" s="114">
        <v>303</v>
      </c>
      <c r="F129" s="114">
        <v>236</v>
      </c>
      <c r="G129" s="114">
        <v>357</v>
      </c>
      <c r="H129" s="114">
        <v>213</v>
      </c>
      <c r="I129" s="114">
        <v>267</v>
      </c>
      <c r="J129" s="114">
        <v>162</v>
      </c>
      <c r="K129" s="114">
        <v>142</v>
      </c>
      <c r="L129" s="114">
        <v>181</v>
      </c>
      <c r="M129" s="114">
        <v>231.60886632786071</v>
      </c>
      <c r="N129" s="114">
        <v>247.24587187404077</v>
      </c>
      <c r="O129" s="114">
        <v>252.85364087162918</v>
      </c>
      <c r="P129" s="114">
        <v>253.07585562118311</v>
      </c>
      <c r="Q129" s="114">
        <v>251.85966059651574</v>
      </c>
      <c r="R129" s="114">
        <v>252.00074386759047</v>
      </c>
      <c r="S129" s="114">
        <v>254.08949536435415</v>
      </c>
      <c r="T129" s="114">
        <v>257.35355537716339</v>
      </c>
      <c r="U129" s="114">
        <v>260.61622908803469</v>
      </c>
      <c r="V129" s="114">
        <v>263.55275682243894</v>
      </c>
    </row>
    <row r="130" spans="1:22" x14ac:dyDescent="0.25">
      <c r="A130" s="91"/>
      <c r="B130" s="91"/>
      <c r="C130" s="91"/>
      <c r="D130" s="91"/>
      <c r="E130" s="91"/>
      <c r="F130" s="91"/>
      <c r="G130" s="91"/>
      <c r="H130" s="91"/>
      <c r="I130" s="91"/>
      <c r="J130" s="91"/>
      <c r="K130" s="91"/>
      <c r="L130" s="91"/>
      <c r="M130" s="91"/>
      <c r="N130" s="91"/>
      <c r="O130" s="91"/>
      <c r="P130" s="91"/>
      <c r="Q130" s="91"/>
      <c r="R130" s="91"/>
      <c r="S130" s="91"/>
      <c r="T130" s="91"/>
      <c r="U130" s="91"/>
      <c r="V130" s="91"/>
    </row>
    <row r="131" spans="1:22" x14ac:dyDescent="0.25">
      <c r="A131" s="91" t="s">
        <v>493</v>
      </c>
      <c r="B131" s="114">
        <v>1250</v>
      </c>
      <c r="C131" s="114">
        <v>1398</v>
      </c>
      <c r="D131" s="114">
        <v>1431</v>
      </c>
      <c r="E131" s="114">
        <v>1425</v>
      </c>
      <c r="F131" s="114">
        <v>1380</v>
      </c>
      <c r="G131" s="114">
        <v>1380</v>
      </c>
      <c r="H131" s="114">
        <v>1375</v>
      </c>
      <c r="I131" s="114">
        <v>1380</v>
      </c>
      <c r="J131" s="114">
        <v>1375</v>
      </c>
      <c r="K131" s="114">
        <v>1380</v>
      </c>
      <c r="L131" s="114">
        <v>1385</v>
      </c>
      <c r="M131" s="114">
        <v>1441.0884665904102</v>
      </c>
      <c r="N131" s="114">
        <v>1467.9949981934788</v>
      </c>
      <c r="O131" s="114">
        <v>1473.6271298661209</v>
      </c>
      <c r="P131" s="114">
        <v>1480.7586102454882</v>
      </c>
      <c r="Q131" s="114">
        <v>1493.537069429138</v>
      </c>
      <c r="R131" s="114">
        <v>1511.4219004835172</v>
      </c>
      <c r="S131" s="114">
        <v>1532.7344497281836</v>
      </c>
      <c r="T131" s="114">
        <v>1552.7393547267814</v>
      </c>
      <c r="U131" s="114">
        <v>1576.3514472198583</v>
      </c>
      <c r="V131" s="114">
        <v>1592.0910421594906</v>
      </c>
    </row>
    <row r="132" spans="1:22" x14ac:dyDescent="0.25">
      <c r="A132" s="91" t="s">
        <v>485</v>
      </c>
      <c r="B132" s="114">
        <v>253</v>
      </c>
      <c r="C132" s="114">
        <v>220</v>
      </c>
      <c r="D132" s="114">
        <v>198</v>
      </c>
      <c r="E132" s="114">
        <v>131</v>
      </c>
      <c r="F132" s="114">
        <v>222</v>
      </c>
      <c r="G132" s="114">
        <v>97</v>
      </c>
      <c r="H132" s="114">
        <v>206</v>
      </c>
      <c r="I132" s="114">
        <v>92</v>
      </c>
      <c r="J132" s="114">
        <v>45</v>
      </c>
      <c r="K132" s="114">
        <v>86</v>
      </c>
      <c r="L132" s="114">
        <v>136</v>
      </c>
      <c r="M132" s="114">
        <v>151.83456608735122</v>
      </c>
      <c r="N132" s="114">
        <v>156.65045771305932</v>
      </c>
      <c r="O132" s="114">
        <v>156.06333928064771</v>
      </c>
      <c r="P132" s="114">
        <v>154.7874014364898</v>
      </c>
      <c r="Q132" s="114">
        <v>154.31385859156876</v>
      </c>
      <c r="R132" s="114">
        <v>154.77534472732629</v>
      </c>
      <c r="S132" s="114">
        <v>155.96962532997253</v>
      </c>
      <c r="T132" s="114">
        <v>157.13547118527424</v>
      </c>
      <c r="U132" s="114">
        <v>158.8256430706403</v>
      </c>
      <c r="V132" s="114">
        <v>159.41414903256577</v>
      </c>
    </row>
    <row r="133" spans="1:22" x14ac:dyDescent="0.25">
      <c r="A133" s="91" t="s">
        <v>499</v>
      </c>
      <c r="B133" s="114">
        <v>1503</v>
      </c>
      <c r="C133" s="114">
        <v>1618</v>
      </c>
      <c r="D133" s="114">
        <v>1629</v>
      </c>
      <c r="E133" s="114">
        <v>1556</v>
      </c>
      <c r="F133" s="114">
        <v>1602</v>
      </c>
      <c r="G133" s="114">
        <v>1477</v>
      </c>
      <c r="H133" s="114">
        <v>1581</v>
      </c>
      <c r="I133" s="114">
        <v>1472</v>
      </c>
      <c r="J133" s="114">
        <v>1420</v>
      </c>
      <c r="K133" s="114">
        <v>1466</v>
      </c>
      <c r="L133" s="114">
        <v>1521</v>
      </c>
      <c r="M133" s="114">
        <v>1592.9230326777615</v>
      </c>
      <c r="N133" s="114">
        <v>1624.645455906538</v>
      </c>
      <c r="O133" s="114">
        <v>1629.6904691467685</v>
      </c>
      <c r="P133" s="114">
        <v>1635.5460116819779</v>
      </c>
      <c r="Q133" s="114">
        <v>1647.8509280207068</v>
      </c>
      <c r="R133" s="114">
        <v>1666.1972452108434</v>
      </c>
      <c r="S133" s="114">
        <v>1688.7040750581561</v>
      </c>
      <c r="T133" s="114">
        <v>1709.8748259120557</v>
      </c>
      <c r="U133" s="114">
        <v>1735.1770902904987</v>
      </c>
      <c r="V133" s="114">
        <v>1751.5051911920564</v>
      </c>
    </row>
    <row r="134" spans="1:22" x14ac:dyDescent="0.25">
      <c r="A134" s="91"/>
      <c r="B134" s="91"/>
      <c r="C134" s="91"/>
      <c r="D134" s="91"/>
      <c r="E134" s="91"/>
      <c r="F134" s="91"/>
      <c r="G134" s="91"/>
      <c r="H134" s="91"/>
      <c r="I134" s="91"/>
      <c r="J134" s="91"/>
      <c r="K134" s="91"/>
      <c r="L134" s="91"/>
      <c r="M134" s="91"/>
      <c r="N134" s="91"/>
      <c r="O134" s="91"/>
      <c r="P134" s="91"/>
      <c r="Q134" s="91"/>
      <c r="R134" s="91"/>
      <c r="S134" s="91"/>
      <c r="T134" s="91"/>
      <c r="U134" s="91"/>
      <c r="V134" s="91"/>
    </row>
    <row r="135" spans="1:22" x14ac:dyDescent="0.25">
      <c r="A135" s="91" t="s">
        <v>500</v>
      </c>
      <c r="B135" s="114">
        <v>-1221</v>
      </c>
      <c r="C135" s="114">
        <v>-1311</v>
      </c>
      <c r="D135" s="114">
        <v>-1311</v>
      </c>
      <c r="E135" s="114">
        <v>-1253</v>
      </c>
      <c r="F135" s="114">
        <v>-1366</v>
      </c>
      <c r="G135" s="114">
        <v>-1120</v>
      </c>
      <c r="H135" s="114">
        <v>-1368</v>
      </c>
      <c r="I135" s="114">
        <v>-1205</v>
      </c>
      <c r="J135" s="114">
        <v>-1258</v>
      </c>
      <c r="K135" s="114">
        <v>-1324</v>
      </c>
      <c r="L135" s="114">
        <v>-1340</v>
      </c>
      <c r="M135" s="114">
        <v>-1361.3141663499007</v>
      </c>
      <c r="N135" s="114">
        <v>-1377.3995840324972</v>
      </c>
      <c r="O135" s="114">
        <v>-1376.8368282751394</v>
      </c>
      <c r="P135" s="114">
        <v>-1382.4701560607948</v>
      </c>
      <c r="Q135" s="114">
        <v>-1395.9912674241909</v>
      </c>
      <c r="R135" s="114">
        <v>-1414.196501343253</v>
      </c>
      <c r="S135" s="114">
        <v>-1434.6145796938019</v>
      </c>
      <c r="T135" s="114">
        <v>-1452.5212705348922</v>
      </c>
      <c r="U135" s="114">
        <v>-1474.5608612024639</v>
      </c>
      <c r="V135" s="114">
        <v>-1487.9524343696173</v>
      </c>
    </row>
    <row r="136" spans="1:22" x14ac:dyDescent="0.25">
      <c r="A136" s="94"/>
      <c r="B136" s="95"/>
      <c r="C136" s="95"/>
      <c r="D136" s="95"/>
      <c r="E136" s="95"/>
      <c r="F136" s="95"/>
      <c r="G136" s="95"/>
      <c r="H136" s="95"/>
      <c r="I136" s="95"/>
      <c r="J136" s="95"/>
      <c r="K136" s="95"/>
      <c r="L136" s="95"/>
      <c r="M136" s="95"/>
      <c r="N136" s="95"/>
      <c r="O136" s="95"/>
      <c r="P136" s="95"/>
      <c r="Q136" s="95"/>
      <c r="R136" s="95"/>
      <c r="S136" s="95"/>
      <c r="T136" s="95"/>
      <c r="U136" s="95"/>
      <c r="V136" s="95"/>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H134"/>
  <sheetViews>
    <sheetView topLeftCell="A82" workbookViewId="0">
      <selection activeCell="E32" activeCellId="1" sqref="L11:AA11 E32"/>
    </sheetView>
  </sheetViews>
  <sheetFormatPr defaultColWidth="8.85546875" defaultRowHeight="15" x14ac:dyDescent="0.25"/>
  <cols>
    <col min="1" max="1" width="43.85546875" bestFit="1" customWidth="1"/>
    <col min="2" max="4" width="5.85546875" bestFit="1" customWidth="1"/>
    <col min="5" max="7" width="10.42578125" bestFit="1" customWidth="1"/>
    <col min="8" max="8" width="14.140625" bestFit="1" customWidth="1"/>
  </cols>
  <sheetData>
    <row r="1" spans="1:8" ht="15.75" x14ac:dyDescent="0.25">
      <c r="A1" s="334" t="s">
        <v>673</v>
      </c>
      <c r="B1" s="334"/>
      <c r="C1" s="118"/>
      <c r="D1" s="118"/>
      <c r="E1" s="118"/>
      <c r="F1" s="118"/>
      <c r="G1" s="118"/>
      <c r="H1" s="117" t="s">
        <v>565</v>
      </c>
    </row>
    <row r="2" spans="1:8" ht="15.75" x14ac:dyDescent="0.25">
      <c r="A2" s="119" t="s">
        <v>627</v>
      </c>
      <c r="B2" s="120"/>
      <c r="C2" s="118"/>
      <c r="D2" s="118"/>
      <c r="E2" s="118"/>
      <c r="F2" s="118"/>
      <c r="G2" s="118"/>
      <c r="H2" s="117" t="s">
        <v>566</v>
      </c>
    </row>
    <row r="3" spans="1:8" x14ac:dyDescent="0.25">
      <c r="A3" s="118"/>
      <c r="B3" s="118"/>
      <c r="C3" s="118"/>
      <c r="D3" s="118"/>
      <c r="E3" s="118"/>
      <c r="F3" s="118"/>
      <c r="G3" s="118"/>
      <c r="H3" s="117" t="s">
        <v>567</v>
      </c>
    </row>
    <row r="4" spans="1:8" x14ac:dyDescent="0.25">
      <c r="A4" s="118"/>
      <c r="B4" s="118"/>
      <c r="C4" s="118"/>
      <c r="D4" s="118"/>
      <c r="E4" s="118"/>
      <c r="F4" s="118"/>
      <c r="G4" s="118"/>
      <c r="H4" s="124"/>
    </row>
    <row r="5" spans="1:8" x14ac:dyDescent="0.25">
      <c r="A5" s="339" t="s">
        <v>674</v>
      </c>
      <c r="B5" s="176" t="s">
        <v>675</v>
      </c>
      <c r="C5" s="177" t="s">
        <v>572</v>
      </c>
      <c r="D5" s="177" t="s">
        <v>573</v>
      </c>
      <c r="E5" s="177" t="s">
        <v>574</v>
      </c>
      <c r="F5" s="178" t="s">
        <v>161</v>
      </c>
      <c r="G5" s="179" t="s">
        <v>575</v>
      </c>
      <c r="H5" s="178" t="s">
        <v>576</v>
      </c>
    </row>
    <row r="6" spans="1:8" ht="15.75" thickBot="1" x14ac:dyDescent="0.3">
      <c r="A6" s="340"/>
      <c r="B6" s="341" t="s">
        <v>577</v>
      </c>
      <c r="C6" s="342"/>
      <c r="D6" s="342"/>
      <c r="E6" s="342"/>
      <c r="F6" s="342"/>
      <c r="G6" s="342"/>
      <c r="H6" s="343"/>
    </row>
    <row r="7" spans="1:8" ht="15.75" thickTop="1" x14ac:dyDescent="0.25">
      <c r="A7" s="180" t="s">
        <v>676</v>
      </c>
      <c r="B7" s="87">
        <v>413.57439993231696</v>
      </c>
      <c r="C7" s="87">
        <v>923.7734383736223</v>
      </c>
      <c r="D7" s="87">
        <v>3.9954037288743098</v>
      </c>
      <c r="E7" s="87" t="s">
        <v>677</v>
      </c>
      <c r="F7" s="87" t="s">
        <v>677</v>
      </c>
      <c r="G7" s="87" t="s">
        <v>677</v>
      </c>
      <c r="H7" s="87" t="s">
        <v>578</v>
      </c>
    </row>
    <row r="8" spans="1:8" x14ac:dyDescent="0.25">
      <c r="A8" s="181" t="s">
        <v>678</v>
      </c>
      <c r="B8" s="87" t="s">
        <v>679</v>
      </c>
      <c r="C8" s="87">
        <v>885.86221494275549</v>
      </c>
      <c r="D8" s="123" t="s">
        <v>1</v>
      </c>
      <c r="E8" s="87" t="s">
        <v>680</v>
      </c>
      <c r="F8" s="87" t="s">
        <v>680</v>
      </c>
      <c r="G8" s="87" t="s">
        <v>680</v>
      </c>
      <c r="H8" s="123" t="s">
        <v>1</v>
      </c>
    </row>
    <row r="9" spans="1:8" x14ac:dyDescent="0.25">
      <c r="A9" s="126" t="s">
        <v>681</v>
      </c>
      <c r="B9" s="87" t="s">
        <v>679</v>
      </c>
      <c r="C9" s="87">
        <v>740.88149579294338</v>
      </c>
      <c r="D9" s="123" t="s">
        <v>1</v>
      </c>
      <c r="E9" s="86" t="s">
        <v>569</v>
      </c>
      <c r="F9" s="86" t="s">
        <v>569</v>
      </c>
      <c r="G9" s="86" t="s">
        <v>569</v>
      </c>
      <c r="H9" s="123" t="s">
        <v>1</v>
      </c>
    </row>
    <row r="10" spans="1:8" x14ac:dyDescent="0.25">
      <c r="A10" s="126" t="s">
        <v>682</v>
      </c>
      <c r="B10" s="87" t="s">
        <v>579</v>
      </c>
      <c r="C10" s="87">
        <v>144.98071914981213</v>
      </c>
      <c r="D10" s="123" t="s">
        <v>1</v>
      </c>
      <c r="E10" s="86" t="s">
        <v>569</v>
      </c>
      <c r="F10" s="86" t="s">
        <v>569</v>
      </c>
      <c r="G10" s="86" t="s">
        <v>569</v>
      </c>
      <c r="H10" s="123" t="s">
        <v>1</v>
      </c>
    </row>
    <row r="11" spans="1:8" x14ac:dyDescent="0.25">
      <c r="A11" s="182" t="s">
        <v>683</v>
      </c>
      <c r="B11" s="87" t="s">
        <v>568</v>
      </c>
      <c r="C11" s="87" t="s">
        <v>568</v>
      </c>
      <c r="D11" s="123" t="s">
        <v>1</v>
      </c>
      <c r="E11" s="87" t="s">
        <v>568</v>
      </c>
      <c r="F11" s="87" t="s">
        <v>568</v>
      </c>
      <c r="G11" s="87" t="s">
        <v>568</v>
      </c>
      <c r="H11" s="123" t="s">
        <v>1</v>
      </c>
    </row>
    <row r="12" spans="1:8" x14ac:dyDescent="0.25">
      <c r="A12" s="181" t="s">
        <v>684</v>
      </c>
      <c r="B12" s="123" t="s">
        <v>1</v>
      </c>
      <c r="C12" s="87">
        <v>21.88903186560373</v>
      </c>
      <c r="D12" s="87">
        <v>1.31334191193622</v>
      </c>
      <c r="E12" s="87" t="s">
        <v>184</v>
      </c>
      <c r="F12" s="87" t="s">
        <v>184</v>
      </c>
      <c r="G12" s="87" t="s">
        <v>184</v>
      </c>
      <c r="H12" s="123" t="s">
        <v>1</v>
      </c>
    </row>
    <row r="13" spans="1:8" x14ac:dyDescent="0.25">
      <c r="A13" s="183" t="s">
        <v>685</v>
      </c>
      <c r="B13" s="123" t="s">
        <v>1</v>
      </c>
      <c r="C13" s="87">
        <v>21.88903186560373</v>
      </c>
      <c r="D13" s="87">
        <v>1.31334191193622</v>
      </c>
      <c r="E13" s="86" t="s">
        <v>184</v>
      </c>
      <c r="F13" s="86" t="s">
        <v>184</v>
      </c>
      <c r="G13" s="86" t="s">
        <v>184</v>
      </c>
      <c r="H13" s="123" t="s">
        <v>1</v>
      </c>
    </row>
    <row r="14" spans="1:8" x14ac:dyDescent="0.25">
      <c r="A14" s="183" t="s">
        <v>686</v>
      </c>
      <c r="B14" s="123" t="s">
        <v>1</v>
      </c>
      <c r="C14" s="87" t="s">
        <v>687</v>
      </c>
      <c r="D14" s="87" t="s">
        <v>687</v>
      </c>
      <c r="E14" s="86" t="s">
        <v>184</v>
      </c>
      <c r="F14" s="86" t="s">
        <v>184</v>
      </c>
      <c r="G14" s="86" t="s">
        <v>184</v>
      </c>
      <c r="H14" s="123" t="s">
        <v>1</v>
      </c>
    </row>
    <row r="15" spans="1:8" x14ac:dyDescent="0.25">
      <c r="A15" s="181" t="s">
        <v>688</v>
      </c>
      <c r="B15" s="87">
        <v>413.57439993231696</v>
      </c>
      <c r="C15" s="87">
        <v>0.26226094538304001</v>
      </c>
      <c r="D15" s="87">
        <v>0.44250894827407999</v>
      </c>
      <c r="E15" s="87" t="s">
        <v>580</v>
      </c>
      <c r="F15" s="87" t="s">
        <v>580</v>
      </c>
      <c r="G15" s="87" t="s">
        <v>580</v>
      </c>
      <c r="H15" s="87" t="s">
        <v>580</v>
      </c>
    </row>
    <row r="16" spans="1:8" x14ac:dyDescent="0.25">
      <c r="A16" s="126" t="s">
        <v>689</v>
      </c>
      <c r="B16" s="87">
        <v>413.57439993231696</v>
      </c>
      <c r="C16" s="87">
        <v>0.26226094538304001</v>
      </c>
      <c r="D16" s="87">
        <v>0.44250894827407999</v>
      </c>
      <c r="E16" s="86" t="s">
        <v>569</v>
      </c>
      <c r="F16" s="86" t="s">
        <v>569</v>
      </c>
      <c r="G16" s="86" t="s">
        <v>569</v>
      </c>
      <c r="H16" s="86" t="s">
        <v>569</v>
      </c>
    </row>
    <row r="17" spans="1:8" x14ac:dyDescent="0.25">
      <c r="A17" s="126" t="s">
        <v>690</v>
      </c>
      <c r="B17" s="87" t="s">
        <v>592</v>
      </c>
      <c r="C17" s="87" t="s">
        <v>592</v>
      </c>
      <c r="D17" s="87" t="s">
        <v>592</v>
      </c>
      <c r="E17" s="86" t="s">
        <v>184</v>
      </c>
      <c r="F17" s="86" t="s">
        <v>184</v>
      </c>
      <c r="G17" s="86" t="s">
        <v>184</v>
      </c>
      <c r="H17" s="86" t="s">
        <v>184</v>
      </c>
    </row>
    <row r="18" spans="1:8" x14ac:dyDescent="0.25">
      <c r="A18" s="181" t="s">
        <v>691</v>
      </c>
      <c r="B18" s="123" t="s">
        <v>1</v>
      </c>
      <c r="C18" s="87">
        <v>15.75993061988</v>
      </c>
      <c r="D18" s="87">
        <v>2.2395528686640098</v>
      </c>
      <c r="E18" s="87" t="s">
        <v>680</v>
      </c>
      <c r="F18" s="87" t="s">
        <v>680</v>
      </c>
      <c r="G18" s="87" t="s">
        <v>680</v>
      </c>
      <c r="H18" s="123" t="s">
        <v>1</v>
      </c>
    </row>
    <row r="19" spans="1:8" x14ac:dyDescent="0.25">
      <c r="A19" s="126" t="s">
        <v>692</v>
      </c>
      <c r="B19" s="123" t="s">
        <v>1</v>
      </c>
      <c r="C19" s="87">
        <v>15.20293061988</v>
      </c>
      <c r="D19" s="87">
        <v>2.2395528686640098</v>
      </c>
      <c r="E19" s="86" t="s">
        <v>569</v>
      </c>
      <c r="F19" s="86" t="s">
        <v>569</v>
      </c>
      <c r="G19" s="86" t="s">
        <v>569</v>
      </c>
      <c r="H19" s="123" t="s">
        <v>1</v>
      </c>
    </row>
    <row r="20" spans="1:8" x14ac:dyDescent="0.25">
      <c r="A20" s="126" t="s">
        <v>693</v>
      </c>
      <c r="B20" s="123" t="s">
        <v>1</v>
      </c>
      <c r="C20" s="87">
        <v>0.55700000000000005</v>
      </c>
      <c r="D20" s="87" t="s">
        <v>184</v>
      </c>
      <c r="E20" s="86" t="s">
        <v>569</v>
      </c>
      <c r="F20" s="86" t="s">
        <v>569</v>
      </c>
      <c r="G20" s="86" t="s">
        <v>569</v>
      </c>
      <c r="H20" s="123" t="s">
        <v>1</v>
      </c>
    </row>
    <row r="21" spans="1:8" x14ac:dyDescent="0.25">
      <c r="A21" s="126" t="s">
        <v>694</v>
      </c>
      <c r="B21" s="123" t="s">
        <v>1</v>
      </c>
      <c r="C21" s="87" t="s">
        <v>568</v>
      </c>
      <c r="D21" s="87" t="s">
        <v>568</v>
      </c>
      <c r="E21" s="87" t="s">
        <v>568</v>
      </c>
      <c r="F21" s="87" t="s">
        <v>568</v>
      </c>
      <c r="G21" s="87" t="s">
        <v>568</v>
      </c>
      <c r="H21" s="123" t="s">
        <v>1</v>
      </c>
    </row>
    <row r="22" spans="1:8" x14ac:dyDescent="0.25">
      <c r="A22" s="181" t="s">
        <v>695</v>
      </c>
      <c r="B22" s="87" t="s">
        <v>579</v>
      </c>
      <c r="C22" s="87" t="s">
        <v>579</v>
      </c>
      <c r="D22" s="87" t="s">
        <v>579</v>
      </c>
      <c r="E22" s="87" t="s">
        <v>579</v>
      </c>
      <c r="F22" s="87" t="s">
        <v>579</v>
      </c>
      <c r="G22" s="87" t="s">
        <v>579</v>
      </c>
      <c r="H22" s="87" t="s">
        <v>579</v>
      </c>
    </row>
    <row r="23" spans="1:8" x14ac:dyDescent="0.25">
      <c r="A23" s="181" t="s">
        <v>696</v>
      </c>
      <c r="B23" s="123" t="s">
        <v>1</v>
      </c>
      <c r="C23" s="123" t="s">
        <v>1</v>
      </c>
      <c r="D23" s="123" t="s">
        <v>1</v>
      </c>
      <c r="E23" s="123" t="s">
        <v>1</v>
      </c>
      <c r="F23" s="123" t="s">
        <v>1</v>
      </c>
      <c r="G23" s="123" t="s">
        <v>1</v>
      </c>
      <c r="H23" s="123" t="s">
        <v>1</v>
      </c>
    </row>
    <row r="24" spans="1:8" x14ac:dyDescent="0.25">
      <c r="A24" s="183" t="s">
        <v>697</v>
      </c>
      <c r="B24" s="86" t="s">
        <v>184</v>
      </c>
      <c r="C24" s="123" t="s">
        <v>1</v>
      </c>
      <c r="D24" s="123" t="s">
        <v>1</v>
      </c>
      <c r="E24" s="123" t="s">
        <v>1</v>
      </c>
      <c r="F24" s="123" t="s">
        <v>1</v>
      </c>
      <c r="G24" s="123" t="s">
        <v>1</v>
      </c>
      <c r="H24" s="123" t="s">
        <v>1</v>
      </c>
    </row>
    <row r="25" spans="1:8" x14ac:dyDescent="0.25">
      <c r="A25" s="183" t="s">
        <v>698</v>
      </c>
      <c r="B25" s="86" t="s">
        <v>184</v>
      </c>
      <c r="C25" s="123" t="s">
        <v>1</v>
      </c>
      <c r="D25" s="123" t="s">
        <v>1</v>
      </c>
      <c r="E25" s="123" t="s">
        <v>1</v>
      </c>
      <c r="F25" s="123" t="s">
        <v>1</v>
      </c>
      <c r="G25" s="123" t="s">
        <v>1</v>
      </c>
      <c r="H25" s="123" t="s">
        <v>1</v>
      </c>
    </row>
    <row r="26" spans="1:8" x14ac:dyDescent="0.25">
      <c r="A26" s="184" t="s">
        <v>699</v>
      </c>
      <c r="B26" s="86" t="s">
        <v>184</v>
      </c>
      <c r="C26" s="123" t="s">
        <v>1</v>
      </c>
      <c r="D26" s="123" t="s">
        <v>1</v>
      </c>
      <c r="E26" s="123" t="s">
        <v>1</v>
      </c>
      <c r="F26" s="123" t="s">
        <v>1</v>
      </c>
      <c r="G26" s="123" t="s">
        <v>1</v>
      </c>
      <c r="H26" s="123" t="s">
        <v>1</v>
      </c>
    </row>
    <row r="28" spans="1:8" ht="15.75" x14ac:dyDescent="0.25">
      <c r="A28" s="334" t="s">
        <v>673</v>
      </c>
      <c r="B28" s="334"/>
      <c r="C28" s="118"/>
      <c r="D28" s="118"/>
      <c r="E28" s="118"/>
      <c r="F28" s="118"/>
      <c r="G28" s="118"/>
      <c r="H28" s="117" t="s">
        <v>700</v>
      </c>
    </row>
    <row r="29" spans="1:8" ht="15.75" x14ac:dyDescent="0.25">
      <c r="A29" s="119" t="s">
        <v>627</v>
      </c>
      <c r="B29" s="120"/>
      <c r="C29" s="118"/>
      <c r="D29" s="118"/>
      <c r="E29" s="118"/>
      <c r="F29" s="118"/>
      <c r="G29" s="118"/>
      <c r="H29" s="117" t="s">
        <v>566</v>
      </c>
    </row>
    <row r="30" spans="1:8" x14ac:dyDescent="0.25">
      <c r="A30" s="118"/>
      <c r="B30" s="118"/>
      <c r="C30" s="118"/>
      <c r="D30" s="118"/>
      <c r="E30" s="118"/>
      <c r="F30" s="118"/>
      <c r="G30" s="118"/>
      <c r="H30" s="117" t="s">
        <v>567</v>
      </c>
    </row>
    <row r="31" spans="1:8" x14ac:dyDescent="0.25">
      <c r="A31" s="118"/>
      <c r="B31" s="118"/>
      <c r="C31" s="118"/>
      <c r="D31" s="118"/>
      <c r="E31" s="118"/>
      <c r="F31" s="118"/>
      <c r="G31" s="118"/>
      <c r="H31" s="124"/>
    </row>
    <row r="32" spans="1:8" x14ac:dyDescent="0.25">
      <c r="A32" s="339" t="s">
        <v>674</v>
      </c>
      <c r="B32" s="176" t="s">
        <v>675</v>
      </c>
      <c r="C32" s="177" t="s">
        <v>572</v>
      </c>
      <c r="D32" s="177" t="s">
        <v>573</v>
      </c>
      <c r="E32" s="177" t="s">
        <v>574</v>
      </c>
      <c r="F32" s="178" t="s">
        <v>161</v>
      </c>
      <c r="G32" s="179" t="s">
        <v>575</v>
      </c>
      <c r="H32" s="178" t="s">
        <v>576</v>
      </c>
    </row>
    <row r="33" spans="1:8" ht="15.75" thickBot="1" x14ac:dyDescent="0.3">
      <c r="A33" s="340"/>
      <c r="B33" s="341" t="s">
        <v>577</v>
      </c>
      <c r="C33" s="342"/>
      <c r="D33" s="342"/>
      <c r="E33" s="342"/>
      <c r="F33" s="342"/>
      <c r="G33" s="342"/>
      <c r="H33" s="343"/>
    </row>
    <row r="34" spans="1:8" ht="15.75" thickTop="1" x14ac:dyDescent="0.25">
      <c r="A34" s="180" t="s">
        <v>676</v>
      </c>
      <c r="B34" s="87">
        <v>413.56440255504026</v>
      </c>
      <c r="C34" s="87">
        <v>917.99888962806983</v>
      </c>
      <c r="D34" s="87">
        <v>4.0074054270192399</v>
      </c>
      <c r="E34" s="87" t="s">
        <v>701</v>
      </c>
      <c r="F34" s="87" t="s">
        <v>701</v>
      </c>
      <c r="G34" s="87" t="s">
        <v>701</v>
      </c>
      <c r="H34" s="87" t="s">
        <v>578</v>
      </c>
    </row>
    <row r="35" spans="1:8" x14ac:dyDescent="0.25">
      <c r="A35" s="181" t="s">
        <v>678</v>
      </c>
      <c r="B35" s="87" t="s">
        <v>702</v>
      </c>
      <c r="C35" s="87">
        <v>879.86136497432415</v>
      </c>
      <c r="D35" s="123" t="s">
        <v>1</v>
      </c>
      <c r="E35" s="87" t="s">
        <v>680</v>
      </c>
      <c r="F35" s="87" t="s">
        <v>680</v>
      </c>
      <c r="G35" s="87" t="s">
        <v>680</v>
      </c>
      <c r="H35" s="123" t="s">
        <v>1</v>
      </c>
    </row>
    <row r="36" spans="1:8" x14ac:dyDescent="0.25">
      <c r="A36" s="126" t="s">
        <v>681</v>
      </c>
      <c r="B36" s="87" t="s">
        <v>702</v>
      </c>
      <c r="C36" s="87">
        <v>731.9048477055901</v>
      </c>
      <c r="D36" s="123" t="s">
        <v>1</v>
      </c>
      <c r="E36" s="86" t="s">
        <v>569</v>
      </c>
      <c r="F36" s="86" t="s">
        <v>569</v>
      </c>
      <c r="G36" s="86" t="s">
        <v>569</v>
      </c>
      <c r="H36" s="123" t="s">
        <v>1</v>
      </c>
    </row>
    <row r="37" spans="1:8" x14ac:dyDescent="0.25">
      <c r="A37" s="126" t="s">
        <v>682</v>
      </c>
      <c r="B37" s="87" t="s">
        <v>579</v>
      </c>
      <c r="C37" s="87">
        <v>147.95651726873405</v>
      </c>
      <c r="D37" s="123" t="s">
        <v>1</v>
      </c>
      <c r="E37" s="86" t="s">
        <v>569</v>
      </c>
      <c r="F37" s="86" t="s">
        <v>569</v>
      </c>
      <c r="G37" s="86" t="s">
        <v>569</v>
      </c>
      <c r="H37" s="123" t="s">
        <v>1</v>
      </c>
    </row>
    <row r="38" spans="1:8" x14ac:dyDescent="0.25">
      <c r="A38" s="182" t="s">
        <v>683</v>
      </c>
      <c r="B38" s="87" t="s">
        <v>568</v>
      </c>
      <c r="C38" s="87" t="s">
        <v>568</v>
      </c>
      <c r="D38" s="123" t="s">
        <v>1</v>
      </c>
      <c r="E38" s="87" t="s">
        <v>568</v>
      </c>
      <c r="F38" s="87" t="s">
        <v>568</v>
      </c>
      <c r="G38" s="87" t="s">
        <v>568</v>
      </c>
      <c r="H38" s="123" t="s">
        <v>1</v>
      </c>
    </row>
    <row r="39" spans="1:8" x14ac:dyDescent="0.25">
      <c r="A39" s="181" t="s">
        <v>684</v>
      </c>
      <c r="B39" s="123" t="s">
        <v>1</v>
      </c>
      <c r="C39" s="87">
        <v>22.244055998885159</v>
      </c>
      <c r="D39" s="87">
        <v>1.33464335993311</v>
      </c>
      <c r="E39" s="87" t="s">
        <v>184</v>
      </c>
      <c r="F39" s="87" t="s">
        <v>184</v>
      </c>
      <c r="G39" s="87" t="s">
        <v>184</v>
      </c>
      <c r="H39" s="123" t="s">
        <v>1</v>
      </c>
    </row>
    <row r="40" spans="1:8" x14ac:dyDescent="0.25">
      <c r="A40" s="183" t="s">
        <v>685</v>
      </c>
      <c r="B40" s="123" t="s">
        <v>1</v>
      </c>
      <c r="C40" s="87">
        <v>22.244055998885159</v>
      </c>
      <c r="D40" s="87">
        <v>1.33464335993311</v>
      </c>
      <c r="E40" s="86" t="s">
        <v>184</v>
      </c>
      <c r="F40" s="86" t="s">
        <v>184</v>
      </c>
      <c r="G40" s="86" t="s">
        <v>184</v>
      </c>
      <c r="H40" s="123" t="s">
        <v>1</v>
      </c>
    </row>
    <row r="41" spans="1:8" x14ac:dyDescent="0.25">
      <c r="A41" s="183" t="s">
        <v>686</v>
      </c>
      <c r="B41" s="123" t="s">
        <v>1</v>
      </c>
      <c r="C41" s="87" t="s">
        <v>687</v>
      </c>
      <c r="D41" s="87" t="s">
        <v>687</v>
      </c>
      <c r="E41" s="86" t="s">
        <v>184</v>
      </c>
      <c r="F41" s="86" t="s">
        <v>184</v>
      </c>
      <c r="G41" s="86" t="s">
        <v>184</v>
      </c>
      <c r="H41" s="123" t="s">
        <v>1</v>
      </c>
    </row>
    <row r="42" spans="1:8" x14ac:dyDescent="0.25">
      <c r="A42" s="181" t="s">
        <v>688</v>
      </c>
      <c r="B42" s="87">
        <v>413.56440255504026</v>
      </c>
      <c r="C42" s="87">
        <v>0.25744774236052997</v>
      </c>
      <c r="D42" s="87">
        <v>0.44123997605635001</v>
      </c>
      <c r="E42" s="87" t="s">
        <v>580</v>
      </c>
      <c r="F42" s="87" t="s">
        <v>580</v>
      </c>
      <c r="G42" s="87" t="s">
        <v>580</v>
      </c>
      <c r="H42" s="87" t="s">
        <v>580</v>
      </c>
    </row>
    <row r="43" spans="1:8" x14ac:dyDescent="0.25">
      <c r="A43" s="126" t="s">
        <v>689</v>
      </c>
      <c r="B43" s="87">
        <v>413.56440255504026</v>
      </c>
      <c r="C43" s="87">
        <v>0.25744774236052997</v>
      </c>
      <c r="D43" s="87">
        <v>0.44123997605635001</v>
      </c>
      <c r="E43" s="86" t="s">
        <v>569</v>
      </c>
      <c r="F43" s="86" t="s">
        <v>569</v>
      </c>
      <c r="G43" s="86" t="s">
        <v>569</v>
      </c>
      <c r="H43" s="86" t="s">
        <v>569</v>
      </c>
    </row>
    <row r="44" spans="1:8" x14ac:dyDescent="0.25">
      <c r="A44" s="126" t="s">
        <v>690</v>
      </c>
      <c r="B44" s="87" t="s">
        <v>592</v>
      </c>
      <c r="C44" s="87" t="s">
        <v>592</v>
      </c>
      <c r="D44" s="87" t="s">
        <v>592</v>
      </c>
      <c r="E44" s="86" t="s">
        <v>184</v>
      </c>
      <c r="F44" s="86" t="s">
        <v>184</v>
      </c>
      <c r="G44" s="86" t="s">
        <v>184</v>
      </c>
      <c r="H44" s="86" t="s">
        <v>184</v>
      </c>
    </row>
    <row r="45" spans="1:8" x14ac:dyDescent="0.25">
      <c r="A45" s="181" t="s">
        <v>691</v>
      </c>
      <c r="B45" s="123" t="s">
        <v>1</v>
      </c>
      <c r="C45" s="87">
        <v>15.636020912499999</v>
      </c>
      <c r="D45" s="87">
        <v>2.2315220910297802</v>
      </c>
      <c r="E45" s="87" t="s">
        <v>680</v>
      </c>
      <c r="F45" s="87" t="s">
        <v>680</v>
      </c>
      <c r="G45" s="87" t="s">
        <v>680</v>
      </c>
      <c r="H45" s="123" t="s">
        <v>1</v>
      </c>
    </row>
    <row r="46" spans="1:8" x14ac:dyDescent="0.25">
      <c r="A46" s="126" t="s">
        <v>692</v>
      </c>
      <c r="B46" s="123" t="s">
        <v>1</v>
      </c>
      <c r="C46" s="87">
        <v>15.092020912500001</v>
      </c>
      <c r="D46" s="87">
        <v>2.2315220910297802</v>
      </c>
      <c r="E46" s="86" t="s">
        <v>569</v>
      </c>
      <c r="F46" s="86" t="s">
        <v>569</v>
      </c>
      <c r="G46" s="86" t="s">
        <v>569</v>
      </c>
      <c r="H46" s="123" t="s">
        <v>1</v>
      </c>
    </row>
    <row r="47" spans="1:8" x14ac:dyDescent="0.25">
      <c r="A47" s="126" t="s">
        <v>693</v>
      </c>
      <c r="B47" s="123" t="s">
        <v>1</v>
      </c>
      <c r="C47" s="87">
        <v>0.54400000000000004</v>
      </c>
      <c r="D47" s="87" t="s">
        <v>184</v>
      </c>
      <c r="E47" s="86" t="s">
        <v>569</v>
      </c>
      <c r="F47" s="86" t="s">
        <v>569</v>
      </c>
      <c r="G47" s="86" t="s">
        <v>569</v>
      </c>
      <c r="H47" s="123" t="s">
        <v>1</v>
      </c>
    </row>
    <row r="48" spans="1:8" x14ac:dyDescent="0.25">
      <c r="A48" s="126" t="s">
        <v>694</v>
      </c>
      <c r="B48" s="123" t="s">
        <v>1</v>
      </c>
      <c r="C48" s="87" t="s">
        <v>568</v>
      </c>
      <c r="D48" s="87" t="s">
        <v>568</v>
      </c>
      <c r="E48" s="87" t="s">
        <v>568</v>
      </c>
      <c r="F48" s="87" t="s">
        <v>568</v>
      </c>
      <c r="G48" s="87" t="s">
        <v>568</v>
      </c>
      <c r="H48" s="123" t="s">
        <v>1</v>
      </c>
    </row>
    <row r="49" spans="1:8" x14ac:dyDescent="0.25">
      <c r="A49" s="181" t="s">
        <v>695</v>
      </c>
      <c r="B49" s="87" t="s">
        <v>579</v>
      </c>
      <c r="C49" s="87" t="s">
        <v>579</v>
      </c>
      <c r="D49" s="87" t="s">
        <v>579</v>
      </c>
      <c r="E49" s="87" t="s">
        <v>579</v>
      </c>
      <c r="F49" s="87" t="s">
        <v>579</v>
      </c>
      <c r="G49" s="87" t="s">
        <v>579</v>
      </c>
      <c r="H49" s="87" t="s">
        <v>579</v>
      </c>
    </row>
    <row r="50" spans="1:8" x14ac:dyDescent="0.25">
      <c r="A50" s="181" t="s">
        <v>696</v>
      </c>
      <c r="B50" s="123" t="s">
        <v>1</v>
      </c>
      <c r="C50" s="123" t="s">
        <v>1</v>
      </c>
      <c r="D50" s="123" t="s">
        <v>1</v>
      </c>
      <c r="E50" s="123" t="s">
        <v>1</v>
      </c>
      <c r="F50" s="123" t="s">
        <v>1</v>
      </c>
      <c r="G50" s="123" t="s">
        <v>1</v>
      </c>
      <c r="H50" s="123" t="s">
        <v>1</v>
      </c>
    </row>
    <row r="51" spans="1:8" x14ac:dyDescent="0.25">
      <c r="A51" s="183" t="s">
        <v>697</v>
      </c>
      <c r="B51" s="86" t="s">
        <v>184</v>
      </c>
      <c r="C51" s="123" t="s">
        <v>1</v>
      </c>
      <c r="D51" s="123" t="s">
        <v>1</v>
      </c>
      <c r="E51" s="123" t="s">
        <v>1</v>
      </c>
      <c r="F51" s="123" t="s">
        <v>1</v>
      </c>
      <c r="G51" s="123" t="s">
        <v>1</v>
      </c>
      <c r="H51" s="123" t="s">
        <v>1</v>
      </c>
    </row>
    <row r="52" spans="1:8" x14ac:dyDescent="0.25">
      <c r="A52" s="183" t="s">
        <v>698</v>
      </c>
      <c r="B52" s="86" t="s">
        <v>184</v>
      </c>
      <c r="C52" s="123" t="s">
        <v>1</v>
      </c>
      <c r="D52" s="123" t="s">
        <v>1</v>
      </c>
      <c r="E52" s="123" t="s">
        <v>1</v>
      </c>
      <c r="F52" s="123" t="s">
        <v>1</v>
      </c>
      <c r="G52" s="123" t="s">
        <v>1</v>
      </c>
      <c r="H52" s="123" t="s">
        <v>1</v>
      </c>
    </row>
    <row r="53" spans="1:8" x14ac:dyDescent="0.25">
      <c r="A53" s="184" t="s">
        <v>699</v>
      </c>
      <c r="B53" s="86" t="s">
        <v>184</v>
      </c>
      <c r="C53" s="123" t="s">
        <v>1</v>
      </c>
      <c r="D53" s="123" t="s">
        <v>1</v>
      </c>
      <c r="E53" s="123" t="s">
        <v>1</v>
      </c>
      <c r="F53" s="123" t="s">
        <v>1</v>
      </c>
      <c r="G53" s="123" t="s">
        <v>1</v>
      </c>
      <c r="H53" s="123" t="s">
        <v>1</v>
      </c>
    </row>
    <row r="55" spans="1:8" ht="15.75" x14ac:dyDescent="0.25">
      <c r="A55" s="334" t="s">
        <v>673</v>
      </c>
      <c r="B55" s="334"/>
      <c r="C55" s="118"/>
      <c r="D55" s="118"/>
      <c r="E55" s="118"/>
      <c r="F55" s="118"/>
      <c r="G55" s="118"/>
      <c r="H55" s="117" t="s">
        <v>703</v>
      </c>
    </row>
    <row r="56" spans="1:8" ht="15.75" x14ac:dyDescent="0.25">
      <c r="A56" s="119" t="s">
        <v>627</v>
      </c>
      <c r="B56" s="120"/>
      <c r="C56" s="118"/>
      <c r="D56" s="118"/>
      <c r="E56" s="118"/>
      <c r="F56" s="118"/>
      <c r="G56" s="118"/>
      <c r="H56" s="117" t="s">
        <v>566</v>
      </c>
    </row>
    <row r="57" spans="1:8" x14ac:dyDescent="0.25">
      <c r="A57" s="118"/>
      <c r="B57" s="118"/>
      <c r="C57" s="118"/>
      <c r="D57" s="118"/>
      <c r="E57" s="118"/>
      <c r="F57" s="118"/>
      <c r="G57" s="118"/>
      <c r="H57" s="117" t="s">
        <v>567</v>
      </c>
    </row>
    <row r="58" spans="1:8" x14ac:dyDescent="0.25">
      <c r="A58" s="118"/>
      <c r="B58" s="118"/>
      <c r="C58" s="118"/>
      <c r="D58" s="118"/>
      <c r="E58" s="118"/>
      <c r="F58" s="118"/>
      <c r="G58" s="118"/>
      <c r="H58" s="124"/>
    </row>
    <row r="59" spans="1:8" x14ac:dyDescent="0.25">
      <c r="A59" s="339" t="s">
        <v>674</v>
      </c>
      <c r="B59" s="176" t="s">
        <v>675</v>
      </c>
      <c r="C59" s="177" t="s">
        <v>572</v>
      </c>
      <c r="D59" s="177" t="s">
        <v>573</v>
      </c>
      <c r="E59" s="177" t="s">
        <v>574</v>
      </c>
      <c r="F59" s="178" t="s">
        <v>161</v>
      </c>
      <c r="G59" s="179" t="s">
        <v>575</v>
      </c>
      <c r="H59" s="178" t="s">
        <v>576</v>
      </c>
    </row>
    <row r="60" spans="1:8" ht="15.75" thickBot="1" x14ac:dyDescent="0.3">
      <c r="A60" s="340"/>
      <c r="B60" s="341" t="s">
        <v>577</v>
      </c>
      <c r="C60" s="342"/>
      <c r="D60" s="342"/>
      <c r="E60" s="342"/>
      <c r="F60" s="342"/>
      <c r="G60" s="342"/>
      <c r="H60" s="343"/>
    </row>
    <row r="61" spans="1:8" ht="15.75" thickTop="1" x14ac:dyDescent="0.25">
      <c r="A61" s="180" t="s">
        <v>676</v>
      </c>
      <c r="B61" s="87">
        <v>411.45725422823597</v>
      </c>
      <c r="C61" s="87">
        <v>911.99476298450395</v>
      </c>
      <c r="D61" s="87">
        <v>3.9792746788602198</v>
      </c>
      <c r="E61" s="87" t="s">
        <v>701</v>
      </c>
      <c r="F61" s="87" t="s">
        <v>701</v>
      </c>
      <c r="G61" s="87" t="s">
        <v>701</v>
      </c>
      <c r="H61" s="87" t="s">
        <v>578</v>
      </c>
    </row>
    <row r="62" spans="1:8" x14ac:dyDescent="0.25">
      <c r="A62" s="181" t="s">
        <v>678</v>
      </c>
      <c r="B62" s="87" t="s">
        <v>702</v>
      </c>
      <c r="C62" s="87">
        <v>874.04375412747663</v>
      </c>
      <c r="D62" s="123" t="s">
        <v>1</v>
      </c>
      <c r="E62" s="87" t="s">
        <v>680</v>
      </c>
      <c r="F62" s="87" t="s">
        <v>680</v>
      </c>
      <c r="G62" s="87" t="s">
        <v>680</v>
      </c>
      <c r="H62" s="123" t="s">
        <v>1</v>
      </c>
    </row>
    <row r="63" spans="1:8" x14ac:dyDescent="0.25">
      <c r="A63" s="126" t="s">
        <v>681</v>
      </c>
      <c r="B63" s="87" t="s">
        <v>679</v>
      </c>
      <c r="C63" s="87">
        <v>723.14745215717312</v>
      </c>
      <c r="D63" s="123" t="s">
        <v>1</v>
      </c>
      <c r="E63" s="86" t="s">
        <v>569</v>
      </c>
      <c r="F63" s="86" t="s">
        <v>569</v>
      </c>
      <c r="G63" s="86" t="s">
        <v>569</v>
      </c>
      <c r="H63" s="123" t="s">
        <v>1</v>
      </c>
    </row>
    <row r="64" spans="1:8" x14ac:dyDescent="0.25">
      <c r="A64" s="126" t="s">
        <v>682</v>
      </c>
      <c r="B64" s="87" t="s">
        <v>579</v>
      </c>
      <c r="C64" s="87">
        <v>150.89630197030354</v>
      </c>
      <c r="D64" s="123" t="s">
        <v>1</v>
      </c>
      <c r="E64" s="86" t="s">
        <v>569</v>
      </c>
      <c r="F64" s="86" t="s">
        <v>569</v>
      </c>
      <c r="G64" s="86" t="s">
        <v>569</v>
      </c>
      <c r="H64" s="123" t="s">
        <v>1</v>
      </c>
    </row>
    <row r="65" spans="1:8" x14ac:dyDescent="0.25">
      <c r="A65" s="182" t="s">
        <v>683</v>
      </c>
      <c r="B65" s="87" t="s">
        <v>568</v>
      </c>
      <c r="C65" s="87" t="s">
        <v>568</v>
      </c>
      <c r="D65" s="123" t="s">
        <v>1</v>
      </c>
      <c r="E65" s="87" t="s">
        <v>568</v>
      </c>
      <c r="F65" s="87" t="s">
        <v>568</v>
      </c>
      <c r="G65" s="87" t="s">
        <v>568</v>
      </c>
      <c r="H65" s="123" t="s">
        <v>1</v>
      </c>
    </row>
    <row r="66" spans="1:8" x14ac:dyDescent="0.25">
      <c r="A66" s="181" t="s">
        <v>684</v>
      </c>
      <c r="B66" s="123" t="s">
        <v>1</v>
      </c>
      <c r="C66" s="87">
        <v>22.02692231996501</v>
      </c>
      <c r="D66" s="87">
        <v>1.3216153391979</v>
      </c>
      <c r="E66" s="87" t="s">
        <v>184</v>
      </c>
      <c r="F66" s="87" t="s">
        <v>184</v>
      </c>
      <c r="G66" s="87" t="s">
        <v>184</v>
      </c>
      <c r="H66" s="123" t="s">
        <v>1</v>
      </c>
    </row>
    <row r="67" spans="1:8" x14ac:dyDescent="0.25">
      <c r="A67" s="183" t="s">
        <v>685</v>
      </c>
      <c r="B67" s="123" t="s">
        <v>1</v>
      </c>
      <c r="C67" s="87">
        <v>22.02692231996501</v>
      </c>
      <c r="D67" s="87">
        <v>1.3216153391979</v>
      </c>
      <c r="E67" s="86" t="s">
        <v>184</v>
      </c>
      <c r="F67" s="86" t="s">
        <v>184</v>
      </c>
      <c r="G67" s="86" t="s">
        <v>184</v>
      </c>
      <c r="H67" s="123" t="s">
        <v>1</v>
      </c>
    </row>
    <row r="68" spans="1:8" x14ac:dyDescent="0.25">
      <c r="A68" s="183" t="s">
        <v>686</v>
      </c>
      <c r="B68" s="123" t="s">
        <v>1</v>
      </c>
      <c r="C68" s="87" t="s">
        <v>687</v>
      </c>
      <c r="D68" s="87" t="s">
        <v>687</v>
      </c>
      <c r="E68" s="86" t="s">
        <v>184</v>
      </c>
      <c r="F68" s="86" t="s">
        <v>184</v>
      </c>
      <c r="G68" s="86" t="s">
        <v>184</v>
      </c>
      <c r="H68" s="123" t="s">
        <v>1</v>
      </c>
    </row>
    <row r="69" spans="1:8" x14ac:dyDescent="0.25">
      <c r="A69" s="181" t="s">
        <v>688</v>
      </c>
      <c r="B69" s="87">
        <v>411.45725422823597</v>
      </c>
      <c r="C69" s="87">
        <v>0.25263385586227999</v>
      </c>
      <c r="D69" s="87">
        <v>0.43966888049093</v>
      </c>
      <c r="E69" s="87" t="s">
        <v>580</v>
      </c>
      <c r="F69" s="87" t="s">
        <v>580</v>
      </c>
      <c r="G69" s="87" t="s">
        <v>580</v>
      </c>
      <c r="H69" s="87" t="s">
        <v>580</v>
      </c>
    </row>
    <row r="70" spans="1:8" x14ac:dyDescent="0.25">
      <c r="A70" s="126" t="s">
        <v>689</v>
      </c>
      <c r="B70" s="87">
        <v>411.45725422823597</v>
      </c>
      <c r="C70" s="87">
        <v>0.25263385586227999</v>
      </c>
      <c r="D70" s="87">
        <v>0.43966888049093</v>
      </c>
      <c r="E70" s="86" t="s">
        <v>569</v>
      </c>
      <c r="F70" s="86" t="s">
        <v>569</v>
      </c>
      <c r="G70" s="86" t="s">
        <v>569</v>
      </c>
      <c r="H70" s="86" t="s">
        <v>569</v>
      </c>
    </row>
    <row r="71" spans="1:8" x14ac:dyDescent="0.25">
      <c r="A71" s="126" t="s">
        <v>690</v>
      </c>
      <c r="B71" s="87" t="s">
        <v>592</v>
      </c>
      <c r="C71" s="87" t="s">
        <v>592</v>
      </c>
      <c r="D71" s="87" t="s">
        <v>592</v>
      </c>
      <c r="E71" s="86" t="s">
        <v>184</v>
      </c>
      <c r="F71" s="86" t="s">
        <v>184</v>
      </c>
      <c r="G71" s="86" t="s">
        <v>184</v>
      </c>
      <c r="H71" s="86" t="s">
        <v>184</v>
      </c>
    </row>
    <row r="72" spans="1:8" x14ac:dyDescent="0.25">
      <c r="A72" s="181" t="s">
        <v>691</v>
      </c>
      <c r="B72" s="123" t="s">
        <v>1</v>
      </c>
      <c r="C72" s="87">
        <v>15.6714526812</v>
      </c>
      <c r="D72" s="87">
        <v>2.2179904591713901</v>
      </c>
      <c r="E72" s="87" t="s">
        <v>680</v>
      </c>
      <c r="F72" s="87" t="s">
        <v>680</v>
      </c>
      <c r="G72" s="87" t="s">
        <v>680</v>
      </c>
      <c r="H72" s="123" t="s">
        <v>1</v>
      </c>
    </row>
    <row r="73" spans="1:8" x14ac:dyDescent="0.25">
      <c r="A73" s="126" t="s">
        <v>692</v>
      </c>
      <c r="B73" s="123" t="s">
        <v>1</v>
      </c>
      <c r="C73" s="87">
        <v>14.948452681199999</v>
      </c>
      <c r="D73" s="87">
        <v>2.2179904591713901</v>
      </c>
      <c r="E73" s="86" t="s">
        <v>569</v>
      </c>
      <c r="F73" s="86" t="s">
        <v>569</v>
      </c>
      <c r="G73" s="86" t="s">
        <v>569</v>
      </c>
      <c r="H73" s="123" t="s">
        <v>1</v>
      </c>
    </row>
    <row r="74" spans="1:8" x14ac:dyDescent="0.25">
      <c r="A74" s="126" t="s">
        <v>693</v>
      </c>
      <c r="B74" s="123" t="s">
        <v>1</v>
      </c>
      <c r="C74" s="87">
        <v>0.72299999999999998</v>
      </c>
      <c r="D74" s="87" t="s">
        <v>184</v>
      </c>
      <c r="E74" s="86" t="s">
        <v>569</v>
      </c>
      <c r="F74" s="86" t="s">
        <v>569</v>
      </c>
      <c r="G74" s="86" t="s">
        <v>569</v>
      </c>
      <c r="H74" s="123" t="s">
        <v>1</v>
      </c>
    </row>
    <row r="75" spans="1:8" x14ac:dyDescent="0.25">
      <c r="A75" s="126" t="s">
        <v>694</v>
      </c>
      <c r="B75" s="123" t="s">
        <v>1</v>
      </c>
      <c r="C75" s="87" t="s">
        <v>568</v>
      </c>
      <c r="D75" s="87" t="s">
        <v>568</v>
      </c>
      <c r="E75" s="87" t="s">
        <v>568</v>
      </c>
      <c r="F75" s="87" t="s">
        <v>568</v>
      </c>
      <c r="G75" s="87" t="s">
        <v>568</v>
      </c>
      <c r="H75" s="123" t="s">
        <v>1</v>
      </c>
    </row>
    <row r="76" spans="1:8" x14ac:dyDescent="0.25">
      <c r="A76" s="181" t="s">
        <v>695</v>
      </c>
      <c r="B76" s="87" t="s">
        <v>579</v>
      </c>
      <c r="C76" s="87" t="s">
        <v>579</v>
      </c>
      <c r="D76" s="87" t="s">
        <v>579</v>
      </c>
      <c r="E76" s="87" t="s">
        <v>579</v>
      </c>
      <c r="F76" s="87" t="s">
        <v>579</v>
      </c>
      <c r="G76" s="87" t="s">
        <v>579</v>
      </c>
      <c r="H76" s="87" t="s">
        <v>579</v>
      </c>
    </row>
    <row r="77" spans="1:8" x14ac:dyDescent="0.25">
      <c r="A77" s="181" t="s">
        <v>696</v>
      </c>
      <c r="B77" s="123" t="s">
        <v>1</v>
      </c>
      <c r="C77" s="123" t="s">
        <v>1</v>
      </c>
      <c r="D77" s="123" t="s">
        <v>1</v>
      </c>
      <c r="E77" s="123" t="s">
        <v>1</v>
      </c>
      <c r="F77" s="123" t="s">
        <v>1</v>
      </c>
      <c r="G77" s="123" t="s">
        <v>1</v>
      </c>
      <c r="H77" s="123" t="s">
        <v>1</v>
      </c>
    </row>
    <row r="78" spans="1:8" x14ac:dyDescent="0.25">
      <c r="A78" s="183" t="s">
        <v>697</v>
      </c>
      <c r="B78" s="86" t="s">
        <v>184</v>
      </c>
      <c r="C78" s="123" t="s">
        <v>1</v>
      </c>
      <c r="D78" s="123" t="s">
        <v>1</v>
      </c>
      <c r="E78" s="123" t="s">
        <v>1</v>
      </c>
      <c r="F78" s="123" t="s">
        <v>1</v>
      </c>
      <c r="G78" s="123" t="s">
        <v>1</v>
      </c>
      <c r="H78" s="123" t="s">
        <v>1</v>
      </c>
    </row>
    <row r="79" spans="1:8" x14ac:dyDescent="0.25">
      <c r="A79" s="183" t="s">
        <v>698</v>
      </c>
      <c r="B79" s="86" t="s">
        <v>184</v>
      </c>
      <c r="C79" s="123" t="s">
        <v>1</v>
      </c>
      <c r="D79" s="123" t="s">
        <v>1</v>
      </c>
      <c r="E79" s="123" t="s">
        <v>1</v>
      </c>
      <c r="F79" s="123" t="s">
        <v>1</v>
      </c>
      <c r="G79" s="123" t="s">
        <v>1</v>
      </c>
      <c r="H79" s="123" t="s">
        <v>1</v>
      </c>
    </row>
    <row r="80" spans="1:8" x14ac:dyDescent="0.25">
      <c r="A80" s="184" t="s">
        <v>699</v>
      </c>
      <c r="B80" s="86" t="s">
        <v>184</v>
      </c>
      <c r="C80" s="123" t="s">
        <v>1</v>
      </c>
      <c r="D80" s="123" t="s">
        <v>1</v>
      </c>
      <c r="E80" s="123" t="s">
        <v>1</v>
      </c>
      <c r="F80" s="123" t="s">
        <v>1</v>
      </c>
      <c r="G80" s="123" t="s">
        <v>1</v>
      </c>
      <c r="H80" s="123" t="s">
        <v>1</v>
      </c>
    </row>
    <row r="82" spans="1:8" ht="15.75" x14ac:dyDescent="0.25">
      <c r="A82" s="334" t="s">
        <v>673</v>
      </c>
      <c r="B82" s="334"/>
      <c r="C82" s="118"/>
      <c r="D82" s="118"/>
      <c r="E82" s="118"/>
      <c r="F82" s="118"/>
      <c r="G82" s="118"/>
      <c r="H82" s="117" t="s">
        <v>704</v>
      </c>
    </row>
    <row r="83" spans="1:8" ht="15.75" x14ac:dyDescent="0.25">
      <c r="A83" s="119" t="s">
        <v>627</v>
      </c>
      <c r="B83" s="120"/>
      <c r="C83" s="118"/>
      <c r="D83" s="118"/>
      <c r="E83" s="118"/>
      <c r="F83" s="118"/>
      <c r="G83" s="118"/>
      <c r="H83" s="117" t="s">
        <v>566</v>
      </c>
    </row>
    <row r="84" spans="1:8" x14ac:dyDescent="0.25">
      <c r="A84" s="118"/>
      <c r="B84" s="118"/>
      <c r="C84" s="118"/>
      <c r="D84" s="118"/>
      <c r="E84" s="118"/>
      <c r="F84" s="118"/>
      <c r="G84" s="118"/>
      <c r="H84" s="117" t="s">
        <v>567</v>
      </c>
    </row>
    <row r="85" spans="1:8" x14ac:dyDescent="0.25">
      <c r="A85" s="118"/>
      <c r="B85" s="118"/>
      <c r="C85" s="118"/>
      <c r="D85" s="118"/>
      <c r="E85" s="118"/>
      <c r="F85" s="118"/>
      <c r="G85" s="118"/>
      <c r="H85" s="124"/>
    </row>
    <row r="86" spans="1:8" x14ac:dyDescent="0.25">
      <c r="A86" s="339" t="s">
        <v>674</v>
      </c>
      <c r="B86" s="176" t="s">
        <v>675</v>
      </c>
      <c r="C86" s="177" t="s">
        <v>572</v>
      </c>
      <c r="D86" s="177" t="s">
        <v>573</v>
      </c>
      <c r="E86" s="177" t="s">
        <v>574</v>
      </c>
      <c r="F86" s="178" t="s">
        <v>161</v>
      </c>
      <c r="G86" s="179" t="s">
        <v>575</v>
      </c>
      <c r="H86" s="178" t="s">
        <v>576</v>
      </c>
    </row>
    <row r="87" spans="1:8" ht="15.75" thickBot="1" x14ac:dyDescent="0.3">
      <c r="A87" s="340"/>
      <c r="B87" s="341" t="s">
        <v>577</v>
      </c>
      <c r="C87" s="342"/>
      <c r="D87" s="342"/>
      <c r="E87" s="342"/>
      <c r="F87" s="342"/>
      <c r="G87" s="342"/>
      <c r="H87" s="343"/>
    </row>
    <row r="88" spans="1:8" ht="15.75" thickTop="1" x14ac:dyDescent="0.25">
      <c r="A88" s="180" t="s">
        <v>676</v>
      </c>
      <c r="B88" s="87">
        <v>401.38812704347441</v>
      </c>
      <c r="C88" s="87">
        <v>908.45894053895518</v>
      </c>
      <c r="D88" s="87">
        <v>3.9419702277726199</v>
      </c>
      <c r="E88" s="87" t="s">
        <v>701</v>
      </c>
      <c r="F88" s="87" t="s">
        <v>701</v>
      </c>
      <c r="G88" s="87" t="s">
        <v>701</v>
      </c>
      <c r="H88" s="87" t="s">
        <v>578</v>
      </c>
    </row>
    <row r="89" spans="1:8" x14ac:dyDescent="0.25">
      <c r="A89" s="181" t="s">
        <v>678</v>
      </c>
      <c r="B89" s="87" t="s">
        <v>702</v>
      </c>
      <c r="C89" s="87">
        <v>870.80206386375573</v>
      </c>
      <c r="D89" s="123" t="s">
        <v>1</v>
      </c>
      <c r="E89" s="87" t="s">
        <v>680</v>
      </c>
      <c r="F89" s="87" t="s">
        <v>680</v>
      </c>
      <c r="G89" s="87" t="s">
        <v>680</v>
      </c>
      <c r="H89" s="123" t="s">
        <v>1</v>
      </c>
    </row>
    <row r="90" spans="1:8" x14ac:dyDescent="0.25">
      <c r="A90" s="126" t="s">
        <v>681</v>
      </c>
      <c r="B90" s="87" t="s">
        <v>679</v>
      </c>
      <c r="C90" s="87">
        <v>717.01422835616802</v>
      </c>
      <c r="D90" s="123" t="s">
        <v>1</v>
      </c>
      <c r="E90" s="86" t="s">
        <v>569</v>
      </c>
      <c r="F90" s="86" t="s">
        <v>569</v>
      </c>
      <c r="G90" s="86" t="s">
        <v>569</v>
      </c>
      <c r="H90" s="123" t="s">
        <v>1</v>
      </c>
    </row>
    <row r="91" spans="1:8" x14ac:dyDescent="0.25">
      <c r="A91" s="126" t="s">
        <v>682</v>
      </c>
      <c r="B91" s="87" t="s">
        <v>579</v>
      </c>
      <c r="C91" s="87">
        <v>153.78783550758777</v>
      </c>
      <c r="D91" s="123" t="s">
        <v>1</v>
      </c>
      <c r="E91" s="86" t="s">
        <v>569</v>
      </c>
      <c r="F91" s="86" t="s">
        <v>569</v>
      </c>
      <c r="G91" s="86" t="s">
        <v>569</v>
      </c>
      <c r="H91" s="123" t="s">
        <v>1</v>
      </c>
    </row>
    <row r="92" spans="1:8" x14ac:dyDescent="0.25">
      <c r="A92" s="182" t="s">
        <v>683</v>
      </c>
      <c r="B92" s="87" t="s">
        <v>568</v>
      </c>
      <c r="C92" s="87" t="s">
        <v>568</v>
      </c>
      <c r="D92" s="123" t="s">
        <v>1</v>
      </c>
      <c r="E92" s="87" t="s">
        <v>568</v>
      </c>
      <c r="F92" s="87" t="s">
        <v>568</v>
      </c>
      <c r="G92" s="87" t="s">
        <v>568</v>
      </c>
      <c r="H92" s="123" t="s">
        <v>1</v>
      </c>
    </row>
    <row r="93" spans="1:8" x14ac:dyDescent="0.25">
      <c r="A93" s="181" t="s">
        <v>684</v>
      </c>
      <c r="B93" s="123" t="s">
        <v>1</v>
      </c>
      <c r="C93" s="87">
        <v>21.9169712651221</v>
      </c>
      <c r="D93" s="87">
        <v>1.3150182759073299</v>
      </c>
      <c r="E93" s="87" t="s">
        <v>184</v>
      </c>
      <c r="F93" s="87" t="s">
        <v>184</v>
      </c>
      <c r="G93" s="87" t="s">
        <v>184</v>
      </c>
      <c r="H93" s="123" t="s">
        <v>1</v>
      </c>
    </row>
    <row r="94" spans="1:8" x14ac:dyDescent="0.25">
      <c r="A94" s="183" t="s">
        <v>685</v>
      </c>
      <c r="B94" s="123" t="s">
        <v>1</v>
      </c>
      <c r="C94" s="87">
        <v>21.9169712651221</v>
      </c>
      <c r="D94" s="87">
        <v>1.3150182759073299</v>
      </c>
      <c r="E94" s="86" t="s">
        <v>184</v>
      </c>
      <c r="F94" s="86" t="s">
        <v>184</v>
      </c>
      <c r="G94" s="86" t="s">
        <v>184</v>
      </c>
      <c r="H94" s="123" t="s">
        <v>1</v>
      </c>
    </row>
    <row r="95" spans="1:8" x14ac:dyDescent="0.25">
      <c r="A95" s="183" t="s">
        <v>686</v>
      </c>
      <c r="B95" s="123" t="s">
        <v>1</v>
      </c>
      <c r="C95" s="87" t="s">
        <v>687</v>
      </c>
      <c r="D95" s="87" t="s">
        <v>687</v>
      </c>
      <c r="E95" s="86" t="s">
        <v>184</v>
      </c>
      <c r="F95" s="86" t="s">
        <v>184</v>
      </c>
      <c r="G95" s="86" t="s">
        <v>184</v>
      </c>
      <c r="H95" s="123" t="s">
        <v>1</v>
      </c>
    </row>
    <row r="96" spans="1:8" x14ac:dyDescent="0.25">
      <c r="A96" s="181" t="s">
        <v>688</v>
      </c>
      <c r="B96" s="87">
        <v>401.38812704347441</v>
      </c>
      <c r="C96" s="87">
        <v>0.24706552445731</v>
      </c>
      <c r="D96" s="87">
        <v>0.42368246040871999</v>
      </c>
      <c r="E96" s="87" t="s">
        <v>580</v>
      </c>
      <c r="F96" s="87" t="s">
        <v>580</v>
      </c>
      <c r="G96" s="87" t="s">
        <v>580</v>
      </c>
      <c r="H96" s="87" t="s">
        <v>580</v>
      </c>
    </row>
    <row r="97" spans="1:8" x14ac:dyDescent="0.25">
      <c r="A97" s="126" t="s">
        <v>689</v>
      </c>
      <c r="B97" s="87">
        <v>401.38812704347441</v>
      </c>
      <c r="C97" s="87">
        <v>0.24706552445731</v>
      </c>
      <c r="D97" s="87">
        <v>0.42368246040871999</v>
      </c>
      <c r="E97" s="86" t="s">
        <v>569</v>
      </c>
      <c r="F97" s="86" t="s">
        <v>569</v>
      </c>
      <c r="G97" s="86" t="s">
        <v>569</v>
      </c>
      <c r="H97" s="86" t="s">
        <v>569</v>
      </c>
    </row>
    <row r="98" spans="1:8" x14ac:dyDescent="0.25">
      <c r="A98" s="126" t="s">
        <v>690</v>
      </c>
      <c r="B98" s="87" t="s">
        <v>592</v>
      </c>
      <c r="C98" s="87" t="s">
        <v>592</v>
      </c>
      <c r="D98" s="87" t="s">
        <v>592</v>
      </c>
      <c r="E98" s="86" t="s">
        <v>184</v>
      </c>
      <c r="F98" s="86" t="s">
        <v>184</v>
      </c>
      <c r="G98" s="86" t="s">
        <v>184</v>
      </c>
      <c r="H98" s="86" t="s">
        <v>184</v>
      </c>
    </row>
    <row r="99" spans="1:8" x14ac:dyDescent="0.25">
      <c r="A99" s="181" t="s">
        <v>691</v>
      </c>
      <c r="B99" s="123" t="s">
        <v>1</v>
      </c>
      <c r="C99" s="87">
        <v>15.49283988562</v>
      </c>
      <c r="D99" s="87">
        <v>2.2032694914565698</v>
      </c>
      <c r="E99" s="87" t="s">
        <v>680</v>
      </c>
      <c r="F99" s="87" t="s">
        <v>680</v>
      </c>
      <c r="G99" s="87" t="s">
        <v>680</v>
      </c>
      <c r="H99" s="123" t="s">
        <v>1</v>
      </c>
    </row>
    <row r="100" spans="1:8" x14ac:dyDescent="0.25">
      <c r="A100" s="126" t="s">
        <v>692</v>
      </c>
      <c r="B100" s="123" t="s">
        <v>1</v>
      </c>
      <c r="C100" s="87">
        <v>14.80183988562</v>
      </c>
      <c r="D100" s="87">
        <v>2.2032694914565698</v>
      </c>
      <c r="E100" s="86" t="s">
        <v>569</v>
      </c>
      <c r="F100" s="86" t="s">
        <v>569</v>
      </c>
      <c r="G100" s="86" t="s">
        <v>569</v>
      </c>
      <c r="H100" s="123" t="s">
        <v>1</v>
      </c>
    </row>
    <row r="101" spans="1:8" x14ac:dyDescent="0.25">
      <c r="A101" s="126" t="s">
        <v>693</v>
      </c>
      <c r="B101" s="123" t="s">
        <v>1</v>
      </c>
      <c r="C101" s="87">
        <v>0.69099999999999995</v>
      </c>
      <c r="D101" s="87" t="s">
        <v>184</v>
      </c>
      <c r="E101" s="86" t="s">
        <v>569</v>
      </c>
      <c r="F101" s="86" t="s">
        <v>569</v>
      </c>
      <c r="G101" s="86" t="s">
        <v>569</v>
      </c>
      <c r="H101" s="123" t="s">
        <v>1</v>
      </c>
    </row>
    <row r="102" spans="1:8" x14ac:dyDescent="0.25">
      <c r="A102" s="126" t="s">
        <v>694</v>
      </c>
      <c r="B102" s="123" t="s">
        <v>1</v>
      </c>
      <c r="C102" s="87" t="s">
        <v>568</v>
      </c>
      <c r="D102" s="87" t="s">
        <v>568</v>
      </c>
      <c r="E102" s="87" t="s">
        <v>568</v>
      </c>
      <c r="F102" s="87" t="s">
        <v>568</v>
      </c>
      <c r="G102" s="87" t="s">
        <v>568</v>
      </c>
      <c r="H102" s="123" t="s">
        <v>1</v>
      </c>
    </row>
    <row r="103" spans="1:8" x14ac:dyDescent="0.25">
      <c r="A103" s="181" t="s">
        <v>695</v>
      </c>
      <c r="B103" s="87" t="s">
        <v>579</v>
      </c>
      <c r="C103" s="87" t="s">
        <v>579</v>
      </c>
      <c r="D103" s="87" t="s">
        <v>579</v>
      </c>
      <c r="E103" s="87" t="s">
        <v>579</v>
      </c>
      <c r="F103" s="87" t="s">
        <v>579</v>
      </c>
      <c r="G103" s="87" t="s">
        <v>579</v>
      </c>
      <c r="H103" s="87" t="s">
        <v>579</v>
      </c>
    </row>
    <row r="104" spans="1:8" x14ac:dyDescent="0.25">
      <c r="A104" s="181" t="s">
        <v>696</v>
      </c>
      <c r="B104" s="123" t="s">
        <v>1</v>
      </c>
      <c r="C104" s="123" t="s">
        <v>1</v>
      </c>
      <c r="D104" s="123" t="s">
        <v>1</v>
      </c>
      <c r="E104" s="123" t="s">
        <v>1</v>
      </c>
      <c r="F104" s="123" t="s">
        <v>1</v>
      </c>
      <c r="G104" s="123" t="s">
        <v>1</v>
      </c>
      <c r="H104" s="123" t="s">
        <v>1</v>
      </c>
    </row>
    <row r="105" spans="1:8" x14ac:dyDescent="0.25">
      <c r="A105" s="183" t="s">
        <v>697</v>
      </c>
      <c r="B105" s="86" t="s">
        <v>184</v>
      </c>
      <c r="C105" s="123" t="s">
        <v>1</v>
      </c>
      <c r="D105" s="123" t="s">
        <v>1</v>
      </c>
      <c r="E105" s="123" t="s">
        <v>1</v>
      </c>
      <c r="F105" s="123" t="s">
        <v>1</v>
      </c>
      <c r="G105" s="123" t="s">
        <v>1</v>
      </c>
      <c r="H105" s="123" t="s">
        <v>1</v>
      </c>
    </row>
    <row r="106" spans="1:8" x14ac:dyDescent="0.25">
      <c r="A106" s="183" t="s">
        <v>698</v>
      </c>
      <c r="B106" s="86" t="s">
        <v>184</v>
      </c>
      <c r="C106" s="123" t="s">
        <v>1</v>
      </c>
      <c r="D106" s="123" t="s">
        <v>1</v>
      </c>
      <c r="E106" s="123" t="s">
        <v>1</v>
      </c>
      <c r="F106" s="123" t="s">
        <v>1</v>
      </c>
      <c r="G106" s="123" t="s">
        <v>1</v>
      </c>
      <c r="H106" s="123" t="s">
        <v>1</v>
      </c>
    </row>
    <row r="107" spans="1:8" x14ac:dyDescent="0.25">
      <c r="A107" s="184" t="s">
        <v>699</v>
      </c>
      <c r="B107" s="86" t="s">
        <v>184</v>
      </c>
      <c r="C107" s="123" t="s">
        <v>1</v>
      </c>
      <c r="D107" s="123" t="s">
        <v>1</v>
      </c>
      <c r="E107" s="123" t="s">
        <v>1</v>
      </c>
      <c r="F107" s="123" t="s">
        <v>1</v>
      </c>
      <c r="G107" s="123" t="s">
        <v>1</v>
      </c>
      <c r="H107" s="123" t="s">
        <v>1</v>
      </c>
    </row>
    <row r="109" spans="1:8" ht="15.75" x14ac:dyDescent="0.25">
      <c r="A109" s="334" t="s">
        <v>673</v>
      </c>
      <c r="B109" s="334"/>
      <c r="C109" s="118"/>
      <c r="D109" s="118"/>
      <c r="E109" s="118"/>
      <c r="F109" s="118"/>
      <c r="G109" s="118"/>
      <c r="H109" s="117" t="s">
        <v>705</v>
      </c>
    </row>
    <row r="110" spans="1:8" ht="15.75" x14ac:dyDescent="0.25">
      <c r="A110" s="119" t="s">
        <v>627</v>
      </c>
      <c r="B110" s="120"/>
      <c r="C110" s="118"/>
      <c r="D110" s="118"/>
      <c r="E110" s="118"/>
      <c r="F110" s="118"/>
      <c r="G110" s="118"/>
      <c r="H110" s="117" t="s">
        <v>566</v>
      </c>
    </row>
    <row r="111" spans="1:8" x14ac:dyDescent="0.25">
      <c r="A111" s="118"/>
      <c r="B111" s="118"/>
      <c r="C111" s="118"/>
      <c r="D111" s="118"/>
      <c r="E111" s="118"/>
      <c r="F111" s="118"/>
      <c r="G111" s="118"/>
      <c r="H111" s="117" t="s">
        <v>567</v>
      </c>
    </row>
    <row r="112" spans="1:8" x14ac:dyDescent="0.25">
      <c r="A112" s="118"/>
      <c r="B112" s="118"/>
      <c r="C112" s="118"/>
      <c r="D112" s="118"/>
      <c r="E112" s="118"/>
      <c r="F112" s="118"/>
      <c r="G112" s="118"/>
      <c r="H112" s="124"/>
    </row>
    <row r="113" spans="1:8" x14ac:dyDescent="0.25">
      <c r="A113" s="339" t="s">
        <v>674</v>
      </c>
      <c r="B113" s="176" t="s">
        <v>675</v>
      </c>
      <c r="C113" s="177" t="s">
        <v>572</v>
      </c>
      <c r="D113" s="177" t="s">
        <v>573</v>
      </c>
      <c r="E113" s="177" t="s">
        <v>574</v>
      </c>
      <c r="F113" s="178" t="s">
        <v>161</v>
      </c>
      <c r="G113" s="179" t="s">
        <v>575</v>
      </c>
      <c r="H113" s="178" t="s">
        <v>576</v>
      </c>
    </row>
    <row r="114" spans="1:8" ht="15.75" thickBot="1" x14ac:dyDescent="0.3">
      <c r="A114" s="340"/>
      <c r="B114" s="341" t="s">
        <v>577</v>
      </c>
      <c r="C114" s="342"/>
      <c r="D114" s="342"/>
      <c r="E114" s="342"/>
      <c r="F114" s="342"/>
      <c r="G114" s="342"/>
      <c r="H114" s="343"/>
    </row>
    <row r="115" spans="1:8" ht="15.75" thickTop="1" x14ac:dyDescent="0.25">
      <c r="A115" s="180" t="s">
        <v>676</v>
      </c>
      <c r="B115" s="87">
        <v>472.59033099745545</v>
      </c>
      <c r="C115" s="87">
        <v>922.89551110708794</v>
      </c>
      <c r="D115" s="87">
        <v>4.0522607647484303</v>
      </c>
      <c r="E115" s="87" t="s">
        <v>701</v>
      </c>
      <c r="F115" s="87" t="s">
        <v>701</v>
      </c>
      <c r="G115" s="87" t="s">
        <v>701</v>
      </c>
      <c r="H115" s="87" t="s">
        <v>578</v>
      </c>
    </row>
    <row r="116" spans="1:8" x14ac:dyDescent="0.25">
      <c r="A116" s="181" t="s">
        <v>678</v>
      </c>
      <c r="B116" s="87" t="s">
        <v>702</v>
      </c>
      <c r="C116" s="87">
        <v>885.65976527634245</v>
      </c>
      <c r="D116" s="123" t="s">
        <v>1</v>
      </c>
      <c r="E116" s="87" t="s">
        <v>680</v>
      </c>
      <c r="F116" s="87" t="s">
        <v>680</v>
      </c>
      <c r="G116" s="87" t="s">
        <v>680</v>
      </c>
      <c r="H116" s="123" t="s">
        <v>1</v>
      </c>
    </row>
    <row r="117" spans="1:8" x14ac:dyDescent="0.25">
      <c r="A117" s="126" t="s">
        <v>681</v>
      </c>
      <c r="B117" s="87" t="s">
        <v>679</v>
      </c>
      <c r="C117" s="87">
        <v>729.04223794940492</v>
      </c>
      <c r="D117" s="123" t="s">
        <v>1</v>
      </c>
      <c r="E117" s="86" t="s">
        <v>569</v>
      </c>
      <c r="F117" s="86" t="s">
        <v>569</v>
      </c>
      <c r="G117" s="86" t="s">
        <v>569</v>
      </c>
      <c r="H117" s="123" t="s">
        <v>1</v>
      </c>
    </row>
    <row r="118" spans="1:8" x14ac:dyDescent="0.25">
      <c r="A118" s="126" t="s">
        <v>682</v>
      </c>
      <c r="B118" s="87" t="s">
        <v>579</v>
      </c>
      <c r="C118" s="87">
        <v>156.61752732693748</v>
      </c>
      <c r="D118" s="123" t="s">
        <v>1</v>
      </c>
      <c r="E118" s="86" t="s">
        <v>569</v>
      </c>
      <c r="F118" s="86" t="s">
        <v>569</v>
      </c>
      <c r="G118" s="86" t="s">
        <v>569</v>
      </c>
      <c r="H118" s="123" t="s">
        <v>1</v>
      </c>
    </row>
    <row r="119" spans="1:8" x14ac:dyDescent="0.25">
      <c r="A119" s="182" t="s">
        <v>683</v>
      </c>
      <c r="B119" s="87" t="s">
        <v>568</v>
      </c>
      <c r="C119" s="87" t="s">
        <v>568</v>
      </c>
      <c r="D119" s="123" t="s">
        <v>1</v>
      </c>
      <c r="E119" s="87" t="s">
        <v>568</v>
      </c>
      <c r="F119" s="87" t="s">
        <v>568</v>
      </c>
      <c r="G119" s="87" t="s">
        <v>568</v>
      </c>
      <c r="H119" s="123" t="s">
        <v>1</v>
      </c>
    </row>
    <row r="120" spans="1:8" x14ac:dyDescent="0.25">
      <c r="A120" s="181" t="s">
        <v>684</v>
      </c>
      <c r="B120" s="123" t="s">
        <v>1</v>
      </c>
      <c r="C120" s="87">
        <v>21.654830950849231</v>
      </c>
      <c r="D120" s="87">
        <v>1.2992898570509499</v>
      </c>
      <c r="E120" s="87" t="s">
        <v>184</v>
      </c>
      <c r="F120" s="87" t="s">
        <v>184</v>
      </c>
      <c r="G120" s="87" t="s">
        <v>184</v>
      </c>
      <c r="H120" s="123" t="s">
        <v>1</v>
      </c>
    </row>
    <row r="121" spans="1:8" x14ac:dyDescent="0.25">
      <c r="A121" s="183" t="s">
        <v>685</v>
      </c>
      <c r="B121" s="123" t="s">
        <v>1</v>
      </c>
      <c r="C121" s="87">
        <v>21.654830950849231</v>
      </c>
      <c r="D121" s="87">
        <v>1.2992898570509499</v>
      </c>
      <c r="E121" s="86" t="s">
        <v>184</v>
      </c>
      <c r="F121" s="86" t="s">
        <v>184</v>
      </c>
      <c r="G121" s="86" t="s">
        <v>184</v>
      </c>
      <c r="H121" s="123" t="s">
        <v>1</v>
      </c>
    </row>
    <row r="122" spans="1:8" x14ac:dyDescent="0.25">
      <c r="A122" s="183" t="s">
        <v>686</v>
      </c>
      <c r="B122" s="123" t="s">
        <v>1</v>
      </c>
      <c r="C122" s="87" t="s">
        <v>687</v>
      </c>
      <c r="D122" s="87" t="s">
        <v>687</v>
      </c>
      <c r="E122" s="86" t="s">
        <v>184</v>
      </c>
      <c r="F122" s="86" t="s">
        <v>184</v>
      </c>
      <c r="G122" s="86" t="s">
        <v>184</v>
      </c>
      <c r="H122" s="123" t="s">
        <v>1</v>
      </c>
    </row>
    <row r="123" spans="1:8" x14ac:dyDescent="0.25">
      <c r="A123" s="181" t="s">
        <v>688</v>
      </c>
      <c r="B123" s="87">
        <v>472.59033099745545</v>
      </c>
      <c r="C123" s="87">
        <v>0.24993802795628001</v>
      </c>
      <c r="D123" s="87">
        <v>0.56480398212187999</v>
      </c>
      <c r="E123" s="87" t="s">
        <v>580</v>
      </c>
      <c r="F123" s="87" t="s">
        <v>580</v>
      </c>
      <c r="G123" s="87" t="s">
        <v>580</v>
      </c>
      <c r="H123" s="87" t="s">
        <v>580</v>
      </c>
    </row>
    <row r="124" spans="1:8" x14ac:dyDescent="0.25">
      <c r="A124" s="126" t="s">
        <v>689</v>
      </c>
      <c r="B124" s="87">
        <v>472.59033099745545</v>
      </c>
      <c r="C124" s="87">
        <v>0.24993802795628001</v>
      </c>
      <c r="D124" s="87">
        <v>0.56480398212187999</v>
      </c>
      <c r="E124" s="86" t="s">
        <v>569</v>
      </c>
      <c r="F124" s="86" t="s">
        <v>569</v>
      </c>
      <c r="G124" s="86" t="s">
        <v>569</v>
      </c>
      <c r="H124" s="86" t="s">
        <v>569</v>
      </c>
    </row>
    <row r="125" spans="1:8" x14ac:dyDescent="0.25">
      <c r="A125" s="126" t="s">
        <v>690</v>
      </c>
      <c r="B125" s="87" t="s">
        <v>592</v>
      </c>
      <c r="C125" s="87" t="s">
        <v>592</v>
      </c>
      <c r="D125" s="87" t="s">
        <v>592</v>
      </c>
      <c r="E125" s="86" t="s">
        <v>184</v>
      </c>
      <c r="F125" s="86" t="s">
        <v>184</v>
      </c>
      <c r="G125" s="86" t="s">
        <v>184</v>
      </c>
      <c r="H125" s="86" t="s">
        <v>184</v>
      </c>
    </row>
    <row r="126" spans="1:8" x14ac:dyDescent="0.25">
      <c r="A126" s="181" t="s">
        <v>691</v>
      </c>
      <c r="B126" s="123" t="s">
        <v>1</v>
      </c>
      <c r="C126" s="87">
        <v>15.330976851939999</v>
      </c>
      <c r="D126" s="87">
        <v>2.1881669255756</v>
      </c>
      <c r="E126" s="87" t="s">
        <v>680</v>
      </c>
      <c r="F126" s="87" t="s">
        <v>680</v>
      </c>
      <c r="G126" s="87" t="s">
        <v>680</v>
      </c>
      <c r="H126" s="123" t="s">
        <v>1</v>
      </c>
    </row>
    <row r="127" spans="1:8" x14ac:dyDescent="0.25">
      <c r="A127" s="126" t="s">
        <v>692</v>
      </c>
      <c r="B127" s="123" t="s">
        <v>1</v>
      </c>
      <c r="C127" s="87">
        <v>14.648976851940001</v>
      </c>
      <c r="D127" s="87">
        <v>2.1881669255756</v>
      </c>
      <c r="E127" s="86" t="s">
        <v>569</v>
      </c>
      <c r="F127" s="86" t="s">
        <v>569</v>
      </c>
      <c r="G127" s="86" t="s">
        <v>569</v>
      </c>
      <c r="H127" s="123" t="s">
        <v>1</v>
      </c>
    </row>
    <row r="128" spans="1:8" x14ac:dyDescent="0.25">
      <c r="A128" s="126" t="s">
        <v>693</v>
      </c>
      <c r="B128" s="123" t="s">
        <v>1</v>
      </c>
      <c r="C128" s="87">
        <v>0.68200000000000005</v>
      </c>
      <c r="D128" s="87" t="s">
        <v>184</v>
      </c>
      <c r="E128" s="86" t="s">
        <v>569</v>
      </c>
      <c r="F128" s="86" t="s">
        <v>569</v>
      </c>
      <c r="G128" s="86" t="s">
        <v>569</v>
      </c>
      <c r="H128" s="123" t="s">
        <v>1</v>
      </c>
    </row>
    <row r="129" spans="1:8" x14ac:dyDescent="0.25">
      <c r="A129" s="126" t="s">
        <v>694</v>
      </c>
      <c r="B129" s="123" t="s">
        <v>1</v>
      </c>
      <c r="C129" s="87" t="s">
        <v>568</v>
      </c>
      <c r="D129" s="87" t="s">
        <v>568</v>
      </c>
      <c r="E129" s="87" t="s">
        <v>568</v>
      </c>
      <c r="F129" s="87" t="s">
        <v>568</v>
      </c>
      <c r="G129" s="87" t="s">
        <v>568</v>
      </c>
      <c r="H129" s="123" t="s">
        <v>1</v>
      </c>
    </row>
    <row r="130" spans="1:8" x14ac:dyDescent="0.25">
      <c r="A130" s="181" t="s">
        <v>695</v>
      </c>
      <c r="B130" s="87" t="s">
        <v>579</v>
      </c>
      <c r="C130" s="87" t="s">
        <v>579</v>
      </c>
      <c r="D130" s="87" t="s">
        <v>579</v>
      </c>
      <c r="E130" s="87" t="s">
        <v>579</v>
      </c>
      <c r="F130" s="87" t="s">
        <v>579</v>
      </c>
      <c r="G130" s="87" t="s">
        <v>579</v>
      </c>
      <c r="H130" s="87" t="s">
        <v>579</v>
      </c>
    </row>
    <row r="131" spans="1:8" x14ac:dyDescent="0.25">
      <c r="A131" s="181" t="s">
        <v>696</v>
      </c>
      <c r="B131" s="123" t="s">
        <v>1</v>
      </c>
      <c r="C131" s="123" t="s">
        <v>1</v>
      </c>
      <c r="D131" s="123" t="s">
        <v>1</v>
      </c>
      <c r="E131" s="123" t="s">
        <v>1</v>
      </c>
      <c r="F131" s="123" t="s">
        <v>1</v>
      </c>
      <c r="G131" s="123" t="s">
        <v>1</v>
      </c>
      <c r="H131" s="123" t="s">
        <v>1</v>
      </c>
    </row>
    <row r="132" spans="1:8" x14ac:dyDescent="0.25">
      <c r="A132" s="183" t="s">
        <v>697</v>
      </c>
      <c r="B132" s="86" t="s">
        <v>184</v>
      </c>
      <c r="C132" s="123" t="s">
        <v>1</v>
      </c>
      <c r="D132" s="123" t="s">
        <v>1</v>
      </c>
      <c r="E132" s="123" t="s">
        <v>1</v>
      </c>
      <c r="F132" s="123" t="s">
        <v>1</v>
      </c>
      <c r="G132" s="123" t="s">
        <v>1</v>
      </c>
      <c r="H132" s="123" t="s">
        <v>1</v>
      </c>
    </row>
    <row r="133" spans="1:8" x14ac:dyDescent="0.25">
      <c r="A133" s="183" t="s">
        <v>698</v>
      </c>
      <c r="B133" s="86" t="s">
        <v>184</v>
      </c>
      <c r="C133" s="123" t="s">
        <v>1</v>
      </c>
      <c r="D133" s="123" t="s">
        <v>1</v>
      </c>
      <c r="E133" s="123" t="s">
        <v>1</v>
      </c>
      <c r="F133" s="123" t="s">
        <v>1</v>
      </c>
      <c r="G133" s="123" t="s">
        <v>1</v>
      </c>
      <c r="H133" s="123" t="s">
        <v>1</v>
      </c>
    </row>
    <row r="134" spans="1:8" x14ac:dyDescent="0.25">
      <c r="A134" s="184" t="s">
        <v>699</v>
      </c>
      <c r="B134" s="86" t="s">
        <v>184</v>
      </c>
      <c r="C134" s="123" t="s">
        <v>1</v>
      </c>
      <c r="D134" s="123" t="s">
        <v>1</v>
      </c>
      <c r="E134" s="123" t="s">
        <v>1</v>
      </c>
      <c r="F134" s="123" t="s">
        <v>1</v>
      </c>
      <c r="G134" s="123" t="s">
        <v>1</v>
      </c>
      <c r="H134" s="123" t="s">
        <v>1</v>
      </c>
    </row>
  </sheetData>
  <mergeCells count="15">
    <mergeCell ref="A1:B1"/>
    <mergeCell ref="A5:A6"/>
    <mergeCell ref="B6:H6"/>
    <mergeCell ref="A28:B28"/>
    <mergeCell ref="A32:A33"/>
    <mergeCell ref="B33:H33"/>
    <mergeCell ref="A109:B109"/>
    <mergeCell ref="A113:A114"/>
    <mergeCell ref="B114:H114"/>
    <mergeCell ref="A55:B55"/>
    <mergeCell ref="A59:A60"/>
    <mergeCell ref="B60:H60"/>
    <mergeCell ref="A82:B82"/>
    <mergeCell ref="A86:A87"/>
    <mergeCell ref="B87:H87"/>
  </mergeCells>
  <pageMargins left="0.7" right="0.7" top="0.75" bottom="0.75" header="0.3" footer="0.3"/>
  <legacyDrawing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K13"/>
  <sheetViews>
    <sheetView workbookViewId="0">
      <selection activeCell="A9" sqref="A9"/>
    </sheetView>
  </sheetViews>
  <sheetFormatPr defaultColWidth="8.85546875" defaultRowHeight="15" x14ac:dyDescent="0.25"/>
  <cols>
    <col min="1" max="1" width="35.140625" style="79" customWidth="1"/>
    <col min="2" max="16384" width="8.85546875" style="79"/>
  </cols>
  <sheetData>
    <row r="1" spans="1:37" ht="21" x14ac:dyDescent="0.35">
      <c r="A1" s="81" t="s">
        <v>320</v>
      </c>
    </row>
    <row r="2" spans="1:37" ht="21" x14ac:dyDescent="0.35">
      <c r="A2" s="81" t="s">
        <v>411</v>
      </c>
    </row>
    <row r="3" spans="1:37" ht="21" x14ac:dyDescent="0.35">
      <c r="A3" s="81" t="s">
        <v>318</v>
      </c>
    </row>
    <row r="4" spans="1:37" ht="21" x14ac:dyDescent="0.35">
      <c r="A4" s="81" t="s">
        <v>412</v>
      </c>
    </row>
    <row r="7" spans="1:37" ht="18.75" x14ac:dyDescent="0.3">
      <c r="A7" s="80" t="s">
        <v>325</v>
      </c>
    </row>
    <row r="8" spans="1:37" x14ac:dyDescent="0.25">
      <c r="A8" s="79" t="s">
        <v>314</v>
      </c>
      <c r="B8" s="79" t="s">
        <v>313</v>
      </c>
      <c r="C8" s="79" t="s">
        <v>312</v>
      </c>
      <c r="D8" s="79" t="s">
        <v>311</v>
      </c>
      <c r="E8" s="79" t="s">
        <v>310</v>
      </c>
      <c r="F8" s="79" t="s">
        <v>309</v>
      </c>
      <c r="G8" s="79" t="s">
        <v>308</v>
      </c>
      <c r="H8" s="79" t="s">
        <v>307</v>
      </c>
      <c r="I8" s="79" t="s">
        <v>306</v>
      </c>
      <c r="J8" s="79" t="s">
        <v>305</v>
      </c>
      <c r="K8" s="79" t="s">
        <v>304</v>
      </c>
      <c r="L8" s="79" t="s">
        <v>303</v>
      </c>
      <c r="M8" s="79" t="s">
        <v>302</v>
      </c>
      <c r="N8" s="79" t="s">
        <v>301</v>
      </c>
      <c r="O8" s="79" t="s">
        <v>300</v>
      </c>
      <c r="P8" s="79" t="s">
        <v>299</v>
      </c>
      <c r="Q8" s="79" t="s">
        <v>298</v>
      </c>
      <c r="R8" s="79" t="s">
        <v>297</v>
      </c>
      <c r="S8" s="79" t="s">
        <v>296</v>
      </c>
      <c r="T8" s="79" t="s">
        <v>295</v>
      </c>
      <c r="U8" s="79" t="s">
        <v>294</v>
      </c>
      <c r="V8" s="79" t="s">
        <v>293</v>
      </c>
      <c r="W8" s="79" t="s">
        <v>292</v>
      </c>
      <c r="X8" s="79" t="s">
        <v>291</v>
      </c>
      <c r="Y8" s="79" t="s">
        <v>290</v>
      </c>
      <c r="Z8" s="79" t="s">
        <v>289</v>
      </c>
      <c r="AA8" s="79" t="s">
        <v>288</v>
      </c>
      <c r="AB8" s="79" t="s">
        <v>287</v>
      </c>
      <c r="AC8" s="79" t="s">
        <v>286</v>
      </c>
      <c r="AD8" s="79" t="s">
        <v>285</v>
      </c>
      <c r="AE8" s="79" t="s">
        <v>284</v>
      </c>
      <c r="AF8" s="79" t="s">
        <v>283</v>
      </c>
      <c r="AG8" s="79" t="s">
        <v>282</v>
      </c>
      <c r="AH8" s="79" t="s">
        <v>281</v>
      </c>
      <c r="AI8" s="79" t="s">
        <v>280</v>
      </c>
      <c r="AJ8" s="79" t="s">
        <v>279</v>
      </c>
      <c r="AK8" s="79" t="s">
        <v>278</v>
      </c>
    </row>
    <row r="9" spans="1:37" x14ac:dyDescent="0.25">
      <c r="A9" s="79" t="s">
        <v>413</v>
      </c>
      <c r="B9" s="79">
        <v>1495853</v>
      </c>
      <c r="C9" s="79">
        <v>1535071</v>
      </c>
      <c r="D9" s="79">
        <v>1565900</v>
      </c>
      <c r="E9" s="79">
        <v>1584306</v>
      </c>
      <c r="F9" s="79">
        <v>1541348</v>
      </c>
      <c r="G9" s="79">
        <v>1593357</v>
      </c>
      <c r="H9" s="79">
        <v>1633640</v>
      </c>
      <c r="I9" s="79">
        <v>1661559</v>
      </c>
      <c r="J9" s="79">
        <v>1694941</v>
      </c>
      <c r="K9" s="79">
        <v>1748748</v>
      </c>
      <c r="L9" s="79">
        <v>1770984</v>
      </c>
      <c r="M9" s="79">
        <v>1808537</v>
      </c>
      <c r="N9" s="79">
        <v>1846289</v>
      </c>
      <c r="O9" s="79">
        <v>1880704</v>
      </c>
      <c r="P9" s="79">
        <v>1914451</v>
      </c>
      <c r="Q9" s="79">
        <v>1947533</v>
      </c>
      <c r="R9" s="79">
        <v>1979565</v>
      </c>
      <c r="S9" s="79">
        <v>2008494</v>
      </c>
      <c r="T9" s="79">
        <v>2036808</v>
      </c>
      <c r="U9" s="79">
        <v>2068862</v>
      </c>
      <c r="V9" s="79">
        <v>2104426</v>
      </c>
      <c r="W9" s="79">
        <v>2138948</v>
      </c>
      <c r="X9" s="79">
        <v>2176812</v>
      </c>
      <c r="Y9" s="79">
        <v>2216479</v>
      </c>
      <c r="Z9" s="79">
        <v>2258069</v>
      </c>
      <c r="AA9" s="79">
        <v>2302254</v>
      </c>
      <c r="AB9" s="79">
        <v>2346189</v>
      </c>
      <c r="AC9" s="79">
        <v>2388042</v>
      </c>
      <c r="AD9" s="79">
        <v>2428776</v>
      </c>
      <c r="AE9" s="79">
        <v>2467683</v>
      </c>
      <c r="AF9" s="79">
        <v>2504613</v>
      </c>
      <c r="AG9" s="79">
        <v>2539726</v>
      </c>
      <c r="AH9" s="79">
        <v>2574298</v>
      </c>
      <c r="AI9" s="79">
        <v>2608747</v>
      </c>
      <c r="AJ9" s="79">
        <v>2643619</v>
      </c>
      <c r="AK9" s="79">
        <v>2679948</v>
      </c>
    </row>
    <row r="10" spans="1:37" x14ac:dyDescent="0.25">
      <c r="A10" s="79" t="s">
        <v>414</v>
      </c>
      <c r="B10" s="79">
        <v>32242.400000000001</v>
      </c>
      <c r="C10" s="79">
        <v>32570.5</v>
      </c>
      <c r="D10" s="79">
        <v>32887.9</v>
      </c>
      <c r="E10" s="79">
        <v>33245.800000000003</v>
      </c>
      <c r="F10" s="79">
        <v>33628.6</v>
      </c>
      <c r="G10" s="79">
        <v>34005.300000000003</v>
      </c>
      <c r="H10" s="79">
        <v>34342.800000000003</v>
      </c>
      <c r="I10" s="79">
        <v>34752.1</v>
      </c>
      <c r="J10" s="79">
        <v>35154.300000000003</v>
      </c>
      <c r="K10" s="79">
        <v>35540.400000000001</v>
      </c>
      <c r="L10" s="79">
        <v>35876.800000000003</v>
      </c>
      <c r="M10" s="79">
        <v>36220.699999999997</v>
      </c>
      <c r="N10" s="79">
        <v>36569.9</v>
      </c>
      <c r="O10" s="79">
        <v>36916.199999999997</v>
      </c>
      <c r="P10" s="79">
        <v>37261.1</v>
      </c>
      <c r="Q10" s="79">
        <v>37606.6</v>
      </c>
      <c r="R10" s="79">
        <v>37951.300000000003</v>
      </c>
      <c r="S10" s="79">
        <v>38294.5</v>
      </c>
      <c r="T10" s="79">
        <v>38634.800000000003</v>
      </c>
      <c r="U10" s="79">
        <v>38971.199999999997</v>
      </c>
      <c r="V10" s="79">
        <v>39303.599999999999</v>
      </c>
      <c r="W10" s="79">
        <v>39632.9</v>
      </c>
      <c r="X10" s="79">
        <v>39960.699999999997</v>
      </c>
      <c r="Y10" s="79">
        <v>40285.699999999997</v>
      </c>
      <c r="Z10" s="79">
        <v>40604</v>
      </c>
      <c r="AA10" s="79">
        <v>40915.199999999997</v>
      </c>
      <c r="AB10" s="79">
        <v>41219</v>
      </c>
      <c r="AC10" s="79">
        <v>41514.800000000003</v>
      </c>
      <c r="AD10" s="79">
        <v>41801.699999999997</v>
      </c>
      <c r="AE10" s="79">
        <v>42078.5</v>
      </c>
      <c r="AF10" s="79">
        <v>42344.9</v>
      </c>
      <c r="AG10" s="79">
        <v>42599.4</v>
      </c>
      <c r="AH10" s="79">
        <v>42842.400000000001</v>
      </c>
      <c r="AI10" s="79">
        <v>43073.9</v>
      </c>
      <c r="AJ10" s="79">
        <v>43295</v>
      </c>
      <c r="AK10" s="79">
        <v>43506.9</v>
      </c>
    </row>
    <row r="11" spans="1:37" x14ac:dyDescent="0.25">
      <c r="A11" s="79" t="s">
        <v>415</v>
      </c>
      <c r="B11" s="79">
        <v>0.94</v>
      </c>
      <c r="C11" s="79">
        <v>0.97</v>
      </c>
      <c r="D11" s="79">
        <v>1</v>
      </c>
      <c r="E11" s="79">
        <v>1.04</v>
      </c>
      <c r="F11" s="79">
        <v>1.02</v>
      </c>
      <c r="G11" s="79">
        <v>1.04</v>
      </c>
      <c r="H11" s="79">
        <v>1.08</v>
      </c>
      <c r="I11" s="79">
        <v>1.1000000000000001</v>
      </c>
      <c r="J11" s="79">
        <v>1.1100000000000001</v>
      </c>
      <c r="K11" s="79">
        <v>1.1299999999999999</v>
      </c>
      <c r="L11" s="79">
        <v>1.1299999999999999</v>
      </c>
      <c r="M11" s="79">
        <v>1.1499999999999999</v>
      </c>
      <c r="N11" s="79">
        <v>1.18</v>
      </c>
      <c r="O11" s="79">
        <v>1.21</v>
      </c>
      <c r="P11" s="79">
        <v>1.24</v>
      </c>
      <c r="Q11" s="79">
        <v>1.26</v>
      </c>
      <c r="R11" s="79">
        <v>1.29</v>
      </c>
      <c r="S11" s="79">
        <v>1.31</v>
      </c>
      <c r="T11" s="79">
        <v>1.33</v>
      </c>
      <c r="U11" s="79">
        <v>1.36</v>
      </c>
      <c r="V11" s="79">
        <v>1.38</v>
      </c>
      <c r="W11" s="79">
        <v>1.4</v>
      </c>
      <c r="X11" s="79">
        <v>1.42</v>
      </c>
      <c r="Y11" s="79">
        <v>1.45</v>
      </c>
      <c r="Z11" s="79">
        <v>1.47</v>
      </c>
      <c r="AA11" s="79">
        <v>1.5</v>
      </c>
      <c r="AB11" s="79">
        <v>1.52</v>
      </c>
      <c r="AC11" s="79">
        <v>1.55</v>
      </c>
      <c r="AD11" s="79">
        <v>1.58</v>
      </c>
      <c r="AE11" s="79">
        <v>1.6</v>
      </c>
      <c r="AF11" s="79">
        <v>1.63</v>
      </c>
      <c r="AG11" s="79">
        <v>1.66</v>
      </c>
      <c r="AH11" s="79">
        <v>1.69</v>
      </c>
      <c r="AI11" s="79">
        <v>1.72</v>
      </c>
      <c r="AJ11" s="79">
        <v>1.74</v>
      </c>
      <c r="AK11" s="79">
        <v>1.77</v>
      </c>
    </row>
    <row r="12" spans="1:37" x14ac:dyDescent="0.25">
      <c r="A12" s="79" t="s">
        <v>416</v>
      </c>
      <c r="B12" s="79">
        <v>1.07</v>
      </c>
      <c r="C12" s="79">
        <v>1.0900000000000001</v>
      </c>
      <c r="D12" s="79">
        <v>1.1200000000000001</v>
      </c>
      <c r="E12" s="79">
        <v>1.1399999999999999</v>
      </c>
      <c r="F12" s="79">
        <v>1.1399999999999999</v>
      </c>
      <c r="G12" s="79">
        <v>1.17</v>
      </c>
      <c r="H12" s="79">
        <v>1.2</v>
      </c>
      <c r="I12" s="79">
        <v>1.22</v>
      </c>
      <c r="J12" s="79">
        <v>1.23</v>
      </c>
      <c r="K12" s="79">
        <v>1.25</v>
      </c>
      <c r="L12" s="79">
        <v>1.27</v>
      </c>
      <c r="M12" s="79">
        <v>1.3</v>
      </c>
      <c r="N12" s="79">
        <v>1.32</v>
      </c>
      <c r="O12" s="79">
        <v>1.35</v>
      </c>
      <c r="P12" s="79">
        <v>1.38</v>
      </c>
      <c r="Q12" s="79">
        <v>1.4</v>
      </c>
      <c r="R12" s="79">
        <v>1.43</v>
      </c>
      <c r="S12" s="79">
        <v>1.45</v>
      </c>
      <c r="T12" s="79">
        <v>1.48</v>
      </c>
      <c r="U12" s="79">
        <v>1.5</v>
      </c>
      <c r="V12" s="79">
        <v>1.53</v>
      </c>
      <c r="W12" s="79">
        <v>1.55</v>
      </c>
      <c r="X12" s="79">
        <v>1.58</v>
      </c>
      <c r="Y12" s="79">
        <v>1.61</v>
      </c>
      <c r="Z12" s="79">
        <v>1.63</v>
      </c>
      <c r="AA12" s="79">
        <v>1.66</v>
      </c>
      <c r="AB12" s="79">
        <v>1.69</v>
      </c>
      <c r="AC12" s="79">
        <v>1.72</v>
      </c>
      <c r="AD12" s="79">
        <v>1.75</v>
      </c>
      <c r="AE12" s="79">
        <v>1.78</v>
      </c>
      <c r="AF12" s="79">
        <v>1.81</v>
      </c>
      <c r="AG12" s="79">
        <v>1.84</v>
      </c>
      <c r="AH12" s="79">
        <v>1.87</v>
      </c>
      <c r="AI12" s="79">
        <v>1.91</v>
      </c>
      <c r="AJ12" s="79">
        <v>1.94</v>
      </c>
      <c r="AK12" s="79">
        <v>1.97</v>
      </c>
    </row>
    <row r="13" spans="1:37" x14ac:dyDescent="0.25">
      <c r="A13" s="79" t="s">
        <v>417</v>
      </c>
      <c r="B13" s="79">
        <v>1.21</v>
      </c>
      <c r="C13" s="79">
        <v>1.1299999999999999</v>
      </c>
      <c r="D13" s="79">
        <v>1.07</v>
      </c>
      <c r="E13" s="79">
        <v>1.07</v>
      </c>
      <c r="F13" s="79">
        <v>1.1399999999999999</v>
      </c>
      <c r="G13" s="79">
        <v>1.03</v>
      </c>
      <c r="H13" s="79">
        <v>0.99</v>
      </c>
      <c r="I13" s="79">
        <v>1</v>
      </c>
      <c r="J13" s="79">
        <v>1.03</v>
      </c>
      <c r="K13" s="79">
        <v>1.1100000000000001</v>
      </c>
      <c r="L13" s="79">
        <v>1.27</v>
      </c>
      <c r="M13" s="79">
        <v>1.26</v>
      </c>
      <c r="N13" s="79">
        <v>1.25</v>
      </c>
      <c r="O13" s="79">
        <v>1.24</v>
      </c>
      <c r="P13" s="79">
        <v>1.24</v>
      </c>
      <c r="Q13" s="79">
        <v>1.24</v>
      </c>
      <c r="R13" s="79">
        <v>1.24</v>
      </c>
      <c r="S13" s="79">
        <v>1.25</v>
      </c>
      <c r="T13" s="79">
        <v>1.25</v>
      </c>
      <c r="U13" s="79">
        <v>1.25</v>
      </c>
      <c r="V13" s="79">
        <v>1.25</v>
      </c>
      <c r="W13" s="79">
        <v>1.25</v>
      </c>
      <c r="X13" s="79">
        <v>1.25</v>
      </c>
      <c r="Y13" s="79">
        <v>1.25</v>
      </c>
      <c r="Z13" s="79">
        <v>1.25</v>
      </c>
      <c r="AA13" s="79">
        <v>1.24</v>
      </c>
      <c r="AB13" s="79">
        <v>1.24</v>
      </c>
      <c r="AC13" s="79">
        <v>1.23</v>
      </c>
      <c r="AD13" s="79">
        <v>1.23</v>
      </c>
      <c r="AE13" s="79">
        <v>1.23</v>
      </c>
      <c r="AF13" s="79">
        <v>1.23</v>
      </c>
      <c r="AG13" s="79">
        <v>1.22</v>
      </c>
      <c r="AH13" s="79">
        <v>1.22</v>
      </c>
      <c r="AI13" s="79">
        <v>1.22</v>
      </c>
      <c r="AJ13" s="79">
        <v>1.22</v>
      </c>
      <c r="AK13" s="79">
        <v>1.21</v>
      </c>
    </row>
  </sheetData>
  <pageMargins left="0.75" right="0.75" top="0.75" bottom="0.5" header="0.5" footer="0.75"/>
  <pageSetup orientation="portrait"/>
  <tableParts count="1">
    <tablePart r:id="rId1"/>
  </tableParts>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100"/>
  <sheetViews>
    <sheetView zoomScale="80" zoomScaleNormal="80" zoomScalePageLayoutView="80" workbookViewId="0">
      <pane xSplit="5" ySplit="7" topLeftCell="F4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710</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568094.26265118597</v>
      </c>
      <c r="G7" s="218">
        <v>4095.9987094698399</v>
      </c>
      <c r="H7" s="218">
        <v>102399.967736746</v>
      </c>
      <c r="I7" s="218">
        <v>130.50764732201799</v>
      </c>
      <c r="J7" s="218">
        <v>38891.278901961399</v>
      </c>
      <c r="K7" s="218">
        <v>11010.9823328047</v>
      </c>
      <c r="L7" s="218">
        <v>967.91717160192002</v>
      </c>
      <c r="M7" s="218">
        <v>423.89660247134702</v>
      </c>
      <c r="N7" s="218">
        <v>0.15104489600000001</v>
      </c>
      <c r="O7" s="218">
        <v>721788.45644166705</v>
      </c>
    </row>
    <row r="8" spans="1:16" ht="15.75" thickTop="1" x14ac:dyDescent="0.2">
      <c r="A8" s="220" t="s">
        <v>723</v>
      </c>
      <c r="B8" s="221"/>
      <c r="C8" s="221"/>
      <c r="F8" s="223">
        <v>527791.10863898101</v>
      </c>
      <c r="G8" s="223">
        <v>2017.23960413296</v>
      </c>
      <c r="H8" s="223">
        <v>50430.9901033239</v>
      </c>
      <c r="I8" s="223">
        <v>29.696509018423399</v>
      </c>
      <c r="J8" s="223">
        <v>8849.5596874901803</v>
      </c>
      <c r="K8" s="223">
        <v>0</v>
      </c>
      <c r="L8" s="223">
        <v>0</v>
      </c>
      <c r="M8" s="223">
        <v>0</v>
      </c>
      <c r="N8" s="223">
        <v>0</v>
      </c>
      <c r="O8" s="223">
        <v>587071.65842979599</v>
      </c>
    </row>
    <row r="9" spans="1:16" x14ac:dyDescent="0.2">
      <c r="A9" s="224" t="s">
        <v>724</v>
      </c>
      <c r="B9" s="225" t="s">
        <v>725</v>
      </c>
      <c r="C9" s="225"/>
      <c r="F9" s="226">
        <v>319718.72573212301</v>
      </c>
      <c r="G9" s="226">
        <v>224.09186732656701</v>
      </c>
      <c r="H9" s="226">
        <v>5602.2966831641897</v>
      </c>
      <c r="I9" s="226">
        <v>8.8239042197447795</v>
      </c>
      <c r="J9" s="226">
        <v>2629.5234574839501</v>
      </c>
      <c r="K9" s="226">
        <v>0</v>
      </c>
      <c r="L9" s="226">
        <v>0</v>
      </c>
      <c r="M9" s="226">
        <v>0</v>
      </c>
      <c r="N9" s="226">
        <v>0</v>
      </c>
      <c r="O9" s="226">
        <v>327950.54587277101</v>
      </c>
      <c r="P9" s="227"/>
    </row>
    <row r="10" spans="1:16" x14ac:dyDescent="0.2">
      <c r="A10" s="228"/>
      <c r="B10" s="229" t="s">
        <v>726</v>
      </c>
      <c r="C10" s="230"/>
      <c r="F10" s="231">
        <v>83042.471256076198</v>
      </c>
      <c r="G10" s="231">
        <v>5.4882879660090698</v>
      </c>
      <c r="H10" s="231">
        <v>137.20719915022701</v>
      </c>
      <c r="I10" s="231">
        <v>1.7558152936746001</v>
      </c>
      <c r="J10" s="231">
        <v>523.23295751503099</v>
      </c>
      <c r="K10" s="231">
        <v>0</v>
      </c>
      <c r="L10" s="231">
        <v>0</v>
      </c>
      <c r="M10" s="231">
        <v>0</v>
      </c>
      <c r="N10" s="231">
        <v>0</v>
      </c>
      <c r="O10" s="231">
        <v>83702.911412741494</v>
      </c>
    </row>
    <row r="11" spans="1:16" x14ac:dyDescent="0.2">
      <c r="A11" s="228"/>
      <c r="B11" s="232" t="s">
        <v>727</v>
      </c>
      <c r="C11" s="230"/>
      <c r="F11" s="231">
        <v>17300.411042673</v>
      </c>
      <c r="G11" s="231">
        <v>0.33704478724238701</v>
      </c>
      <c r="H11" s="231">
        <v>8.4261196810596903</v>
      </c>
      <c r="I11" s="231">
        <v>0.111773187432415</v>
      </c>
      <c r="J11" s="231">
        <v>33.308409854859804</v>
      </c>
      <c r="K11" s="231">
        <v>0</v>
      </c>
      <c r="L11" s="231">
        <v>0</v>
      </c>
      <c r="M11" s="231">
        <v>0</v>
      </c>
      <c r="N11" s="231">
        <v>0</v>
      </c>
      <c r="O11" s="231">
        <v>17342.145572208901</v>
      </c>
    </row>
    <row r="12" spans="1:16" s="234" customFormat="1" ht="12.75" x14ac:dyDescent="0.2">
      <c r="A12" s="228"/>
      <c r="B12" s="232" t="s">
        <v>728</v>
      </c>
      <c r="C12" s="233"/>
      <c r="F12" s="231">
        <v>102444.322816859</v>
      </c>
      <c r="G12" s="231">
        <v>86.961758117371403</v>
      </c>
      <c r="H12" s="231">
        <v>2174.0439529342898</v>
      </c>
      <c r="I12" s="231">
        <v>2.1302359514664699</v>
      </c>
      <c r="J12" s="231">
        <v>634.810313537007</v>
      </c>
      <c r="K12" s="231">
        <v>0</v>
      </c>
      <c r="L12" s="231">
        <v>0</v>
      </c>
      <c r="M12" s="231">
        <v>0</v>
      </c>
      <c r="N12" s="231">
        <v>0</v>
      </c>
      <c r="O12" s="231">
        <v>105253.17708333</v>
      </c>
    </row>
    <row r="13" spans="1:16" s="234" customFormat="1" ht="12.75" x14ac:dyDescent="0.2">
      <c r="A13" s="228"/>
      <c r="B13" s="229" t="s">
        <v>729</v>
      </c>
      <c r="C13" s="229"/>
      <c r="F13" s="231">
        <v>42496.084650553297</v>
      </c>
      <c r="G13" s="231">
        <v>2.3595772783461602</v>
      </c>
      <c r="H13" s="231">
        <v>58.989431958653903</v>
      </c>
      <c r="I13" s="231">
        <v>1.80401477409814</v>
      </c>
      <c r="J13" s="231">
        <v>537.59640268124599</v>
      </c>
      <c r="K13" s="231">
        <v>0</v>
      </c>
      <c r="L13" s="231">
        <v>0</v>
      </c>
      <c r="M13" s="231">
        <v>0</v>
      </c>
      <c r="N13" s="231">
        <v>0</v>
      </c>
      <c r="O13" s="231">
        <v>43092.670485193201</v>
      </c>
    </row>
    <row r="14" spans="1:16" s="237" customFormat="1" ht="12" x14ac:dyDescent="0.2">
      <c r="A14" s="235"/>
      <c r="B14" s="230"/>
      <c r="C14" s="236" t="s">
        <v>2</v>
      </c>
      <c r="F14" s="238">
        <v>5209.05580186927</v>
      </c>
      <c r="G14" s="238">
        <v>0.117933757161845</v>
      </c>
      <c r="H14" s="238">
        <v>2.94834392904612</v>
      </c>
      <c r="I14" s="238">
        <v>0.105747827247082</v>
      </c>
      <c r="J14" s="238">
        <v>31.512852519630499</v>
      </c>
      <c r="K14" s="238">
        <v>0</v>
      </c>
      <c r="L14" s="238">
        <v>0</v>
      </c>
      <c r="M14" s="238">
        <v>0</v>
      </c>
      <c r="N14" s="238">
        <v>0</v>
      </c>
      <c r="O14" s="238">
        <v>5243.5169983179503</v>
      </c>
    </row>
    <row r="15" spans="1:16" s="237" customFormat="1" ht="12" x14ac:dyDescent="0.2">
      <c r="A15" s="235"/>
      <c r="B15" s="230"/>
      <c r="C15" s="236" t="s">
        <v>730</v>
      </c>
      <c r="F15" s="238">
        <v>2820.08951401064</v>
      </c>
      <c r="G15" s="238">
        <v>6.1708163148106801E-2</v>
      </c>
      <c r="H15" s="238">
        <v>1.54270407870267</v>
      </c>
      <c r="I15" s="238">
        <v>5.2916614169248602E-2</v>
      </c>
      <c r="J15" s="238">
        <v>15.7691510224361</v>
      </c>
      <c r="K15" s="238">
        <v>0</v>
      </c>
      <c r="L15" s="238">
        <v>0</v>
      </c>
      <c r="M15" s="238">
        <v>0</v>
      </c>
      <c r="N15" s="238">
        <v>0</v>
      </c>
      <c r="O15" s="238">
        <v>2837.4013691117798</v>
      </c>
    </row>
    <row r="16" spans="1:16" s="237" customFormat="1" ht="12" x14ac:dyDescent="0.2">
      <c r="A16" s="235"/>
      <c r="B16" s="230"/>
      <c r="C16" s="236" t="s">
        <v>731</v>
      </c>
      <c r="F16" s="238">
        <v>12605.384642371</v>
      </c>
      <c r="G16" s="238">
        <v>0.24649449866911199</v>
      </c>
      <c r="H16" s="238">
        <v>6.1623624667277896</v>
      </c>
      <c r="I16" s="238">
        <v>0.21858501155554699</v>
      </c>
      <c r="J16" s="238">
        <v>65.138333443552995</v>
      </c>
      <c r="K16" s="238">
        <v>0</v>
      </c>
      <c r="L16" s="238">
        <v>0</v>
      </c>
      <c r="M16" s="238">
        <v>0</v>
      </c>
      <c r="N16" s="238">
        <v>0</v>
      </c>
      <c r="O16" s="238">
        <v>12676.685338281301</v>
      </c>
    </row>
    <row r="17" spans="1:16" s="237" customFormat="1" ht="12" x14ac:dyDescent="0.2">
      <c r="A17" s="235"/>
      <c r="B17" s="230"/>
      <c r="C17" s="236" t="s">
        <v>732</v>
      </c>
      <c r="F17" s="238">
        <v>5310.7710608698499</v>
      </c>
      <c r="G17" s="238">
        <v>1.10028452067065</v>
      </c>
      <c r="H17" s="238">
        <v>27.507113016766301</v>
      </c>
      <c r="I17" s="238">
        <v>0.88621212065549204</v>
      </c>
      <c r="J17" s="238">
        <v>264.09121195533697</v>
      </c>
      <c r="K17" s="238">
        <v>0</v>
      </c>
      <c r="L17" s="238">
        <v>0</v>
      </c>
      <c r="M17" s="238">
        <v>0</v>
      </c>
      <c r="N17" s="238">
        <v>0</v>
      </c>
      <c r="O17" s="238">
        <v>5602.3693858419601</v>
      </c>
    </row>
    <row r="18" spans="1:16" s="237" customFormat="1" ht="12" x14ac:dyDescent="0.2">
      <c r="A18" s="235"/>
      <c r="B18" s="230"/>
      <c r="C18" s="236" t="s">
        <v>35</v>
      </c>
      <c r="F18" s="238">
        <v>4092.7970089999999</v>
      </c>
      <c r="G18" s="238">
        <v>0.193972383835086</v>
      </c>
      <c r="H18" s="238">
        <v>4.8493095958771599</v>
      </c>
      <c r="I18" s="238">
        <v>5.38293280648377E-2</v>
      </c>
      <c r="J18" s="238">
        <v>16.041139763321599</v>
      </c>
      <c r="K18" s="238">
        <v>0</v>
      </c>
      <c r="L18" s="238">
        <v>0</v>
      </c>
      <c r="M18" s="238">
        <v>0</v>
      </c>
      <c r="N18" s="238">
        <v>0</v>
      </c>
      <c r="O18" s="238">
        <v>4113.6874583591998</v>
      </c>
    </row>
    <row r="19" spans="1:16" s="237" customFormat="1" ht="12" x14ac:dyDescent="0.2">
      <c r="A19" s="235"/>
      <c r="B19" s="230"/>
      <c r="C19" s="236" t="s">
        <v>733</v>
      </c>
      <c r="F19" s="238">
        <v>12457.9866224325</v>
      </c>
      <c r="G19" s="238">
        <v>0.63918395486135504</v>
      </c>
      <c r="H19" s="238">
        <v>15.9795988715339</v>
      </c>
      <c r="I19" s="238">
        <v>0.48672387240593401</v>
      </c>
      <c r="J19" s="238">
        <v>145.04371397696801</v>
      </c>
      <c r="K19" s="238">
        <v>0</v>
      </c>
      <c r="L19" s="238">
        <v>0</v>
      </c>
      <c r="M19" s="238">
        <v>0</v>
      </c>
      <c r="N19" s="238">
        <v>0</v>
      </c>
      <c r="O19" s="238">
        <v>12619.009935280999</v>
      </c>
    </row>
    <row r="20" spans="1:16" s="234" customFormat="1" ht="12.75" x14ac:dyDescent="0.2">
      <c r="A20" s="228"/>
      <c r="B20" s="229" t="s">
        <v>734</v>
      </c>
      <c r="C20" s="239"/>
      <c r="F20" s="231">
        <v>1283.7206699999999</v>
      </c>
      <c r="G20" s="231">
        <v>2.2543299999999999E-2</v>
      </c>
      <c r="H20" s="231">
        <v>0.56358249999999999</v>
      </c>
      <c r="I20" s="231">
        <v>3.3145500000000001E-2</v>
      </c>
      <c r="J20" s="231">
        <v>9.8773590000000002</v>
      </c>
      <c r="K20" s="231">
        <v>0</v>
      </c>
      <c r="L20" s="231">
        <v>0</v>
      </c>
      <c r="M20" s="231">
        <v>0</v>
      </c>
      <c r="N20" s="231">
        <v>0</v>
      </c>
      <c r="O20" s="231">
        <v>1294.1616114999999</v>
      </c>
    </row>
    <row r="21" spans="1:16" s="234" customFormat="1" ht="12.75" x14ac:dyDescent="0.2">
      <c r="A21" s="228"/>
      <c r="B21" s="229" t="s">
        <v>735</v>
      </c>
      <c r="C21" s="229"/>
      <c r="F21" s="231">
        <v>30306.291216043101</v>
      </c>
      <c r="G21" s="231">
        <v>0.57231128641719997</v>
      </c>
      <c r="H21" s="231">
        <v>14.30778216043</v>
      </c>
      <c r="I21" s="231">
        <v>0.652297426886293</v>
      </c>
      <c r="J21" s="231">
        <v>194.38463321211501</v>
      </c>
      <c r="K21" s="231">
        <v>0</v>
      </c>
      <c r="L21" s="231">
        <v>0</v>
      </c>
      <c r="M21" s="231">
        <v>0</v>
      </c>
      <c r="N21" s="231">
        <v>0</v>
      </c>
      <c r="O21" s="231">
        <v>30514.9836314157</v>
      </c>
    </row>
    <row r="22" spans="1:16" s="234" customFormat="1" ht="12.75" x14ac:dyDescent="0.2">
      <c r="A22" s="228"/>
      <c r="B22" s="229" t="s">
        <v>181</v>
      </c>
      <c r="C22" s="229"/>
      <c r="F22" s="231">
        <v>39162.754439999997</v>
      </c>
      <c r="G22" s="231">
        <v>128.28401783651699</v>
      </c>
      <c r="H22" s="231">
        <v>3207.1004459129099</v>
      </c>
      <c r="I22" s="231">
        <v>2.2400689995940102</v>
      </c>
      <c r="J22" s="231">
        <v>667.54056187901597</v>
      </c>
      <c r="K22" s="231">
        <v>0</v>
      </c>
      <c r="L22" s="231">
        <v>0</v>
      </c>
      <c r="M22" s="231">
        <v>0</v>
      </c>
      <c r="N22" s="231">
        <v>0</v>
      </c>
      <c r="O22" s="231">
        <v>43037.395447791903</v>
      </c>
    </row>
    <row r="23" spans="1:16" s="234" customFormat="1" ht="12.75" x14ac:dyDescent="0.2">
      <c r="A23" s="228"/>
      <c r="B23" s="229" t="s">
        <v>736</v>
      </c>
      <c r="C23" s="229"/>
      <c r="F23" s="231">
        <v>3682.6696399183402</v>
      </c>
      <c r="G23" s="231">
        <v>6.6326754664713106E-2</v>
      </c>
      <c r="H23" s="231">
        <v>1.65816886661783</v>
      </c>
      <c r="I23" s="231">
        <v>9.6553086592852305E-2</v>
      </c>
      <c r="J23" s="231">
        <v>28.77281980467</v>
      </c>
      <c r="K23" s="231">
        <v>0</v>
      </c>
      <c r="L23" s="231">
        <v>0</v>
      </c>
      <c r="M23" s="231">
        <v>0</v>
      </c>
      <c r="N23" s="231">
        <v>0</v>
      </c>
      <c r="O23" s="231">
        <v>3713.1006285896201</v>
      </c>
    </row>
    <row r="24" spans="1:16" s="240" customFormat="1" ht="14.25" x14ac:dyDescent="0.2">
      <c r="A24" s="224" t="s">
        <v>737</v>
      </c>
      <c r="B24" s="225" t="s">
        <v>738</v>
      </c>
      <c r="C24" s="225"/>
      <c r="F24" s="226">
        <v>195420.53844496101</v>
      </c>
      <c r="G24" s="226">
        <v>25.4042651788873</v>
      </c>
      <c r="H24" s="226">
        <v>635.10662947218304</v>
      </c>
      <c r="I24" s="226">
        <v>20.736302977891899</v>
      </c>
      <c r="J24" s="226">
        <v>6179.4182874117996</v>
      </c>
      <c r="K24" s="226">
        <v>0</v>
      </c>
      <c r="L24" s="226">
        <v>0</v>
      </c>
      <c r="M24" s="226">
        <v>0</v>
      </c>
      <c r="N24" s="226">
        <v>0</v>
      </c>
      <c r="O24" s="226">
        <v>202235.06336184501</v>
      </c>
      <c r="P24" s="241"/>
    </row>
    <row r="25" spans="1:16" s="234" customFormat="1" ht="12.75" x14ac:dyDescent="0.2">
      <c r="A25" s="228"/>
      <c r="B25" s="232" t="s">
        <v>739</v>
      </c>
      <c r="C25" s="229"/>
      <c r="F25" s="231">
        <v>7224.5163928701904</v>
      </c>
      <c r="G25" s="231">
        <v>0.31078282519815398</v>
      </c>
      <c r="H25" s="231">
        <v>7.7695706299538596</v>
      </c>
      <c r="I25" s="231">
        <v>0.210692629954366</v>
      </c>
      <c r="J25" s="231">
        <v>62.786403726401197</v>
      </c>
      <c r="K25" s="231">
        <v>0</v>
      </c>
      <c r="L25" s="231">
        <v>0</v>
      </c>
      <c r="M25" s="231">
        <v>0</v>
      </c>
      <c r="N25" s="231">
        <v>0</v>
      </c>
      <c r="O25" s="231">
        <v>7295.0723672265503</v>
      </c>
    </row>
    <row r="26" spans="1:16" s="234" customFormat="1" ht="12.75" x14ac:dyDescent="0.2">
      <c r="A26" s="228"/>
      <c r="B26" s="229" t="s">
        <v>740</v>
      </c>
      <c r="C26" s="229"/>
      <c r="F26" s="231">
        <v>141381.269844475</v>
      </c>
      <c r="G26" s="231">
        <v>9.1409358548770303</v>
      </c>
      <c r="H26" s="231">
        <v>228.523396371926</v>
      </c>
      <c r="I26" s="231">
        <v>8.3166346430387801</v>
      </c>
      <c r="J26" s="231">
        <v>2478.3571236255598</v>
      </c>
      <c r="K26" s="231">
        <v>0</v>
      </c>
      <c r="L26" s="231">
        <v>0</v>
      </c>
      <c r="M26" s="231">
        <v>0</v>
      </c>
      <c r="N26" s="231">
        <v>0</v>
      </c>
      <c r="O26" s="231">
        <v>144088.150364473</v>
      </c>
    </row>
    <row r="27" spans="1:16" s="237" customFormat="1" ht="12" x14ac:dyDescent="0.2">
      <c r="A27" s="235"/>
      <c r="B27" s="230"/>
      <c r="C27" s="236" t="s">
        <v>741</v>
      </c>
      <c r="F27" s="238">
        <v>34327.677927704797</v>
      </c>
      <c r="G27" s="238">
        <v>2.85473188206171</v>
      </c>
      <c r="H27" s="238">
        <v>71.368297051542697</v>
      </c>
      <c r="I27" s="238">
        <v>1.9033406984142001</v>
      </c>
      <c r="J27" s="238">
        <v>567.195528127432</v>
      </c>
      <c r="K27" s="238">
        <v>0</v>
      </c>
      <c r="L27" s="238">
        <v>0</v>
      </c>
      <c r="M27" s="238">
        <v>0</v>
      </c>
      <c r="N27" s="238">
        <v>0</v>
      </c>
      <c r="O27" s="238">
        <v>34966.241752883798</v>
      </c>
    </row>
    <row r="28" spans="1:16" s="237" customFormat="1" ht="12" x14ac:dyDescent="0.2">
      <c r="A28" s="235"/>
      <c r="B28" s="230"/>
      <c r="C28" s="236" t="s">
        <v>742</v>
      </c>
      <c r="F28" s="238">
        <v>44088.576833586201</v>
      </c>
      <c r="G28" s="238">
        <v>3.6478932280632201</v>
      </c>
      <c r="H28" s="238">
        <v>91.197330701580398</v>
      </c>
      <c r="I28" s="238">
        <v>2.4232910628746098</v>
      </c>
      <c r="J28" s="238">
        <v>722.14073673663302</v>
      </c>
      <c r="K28" s="238">
        <v>0</v>
      </c>
      <c r="L28" s="238">
        <v>0</v>
      </c>
      <c r="M28" s="238">
        <v>0</v>
      </c>
      <c r="N28" s="238">
        <v>0</v>
      </c>
      <c r="O28" s="238">
        <v>44901.9149010244</v>
      </c>
    </row>
    <row r="29" spans="1:16" s="237" customFormat="1" ht="12" x14ac:dyDescent="0.2">
      <c r="A29" s="235"/>
      <c r="B29" s="230"/>
      <c r="C29" s="236" t="s">
        <v>743</v>
      </c>
      <c r="F29" s="238">
        <v>13578.743202723799</v>
      </c>
      <c r="G29" s="238">
        <v>0.488748813469571</v>
      </c>
      <c r="H29" s="238">
        <v>12.218720336739301</v>
      </c>
      <c r="I29" s="238">
        <v>1.1807041135330001</v>
      </c>
      <c r="J29" s="238">
        <v>351.84982583283397</v>
      </c>
      <c r="K29" s="238">
        <v>0</v>
      </c>
      <c r="L29" s="238">
        <v>0</v>
      </c>
      <c r="M29" s="238">
        <v>0</v>
      </c>
      <c r="N29" s="238">
        <v>0</v>
      </c>
      <c r="O29" s="238">
        <v>13942.8117488934</v>
      </c>
    </row>
    <row r="30" spans="1:16" s="237" customFormat="1" ht="12" x14ac:dyDescent="0.2">
      <c r="A30" s="235"/>
      <c r="B30" s="230"/>
      <c r="C30" s="236" t="s">
        <v>744</v>
      </c>
      <c r="F30" s="238">
        <v>273.90504108523402</v>
      </c>
      <c r="G30" s="238">
        <v>0.1051301226286</v>
      </c>
      <c r="H30" s="238">
        <v>2.6282530657150001</v>
      </c>
      <c r="I30" s="238">
        <v>5.1542145501961203E-3</v>
      </c>
      <c r="J30" s="238">
        <v>1.53595593595844</v>
      </c>
      <c r="K30" s="238">
        <v>0</v>
      </c>
      <c r="L30" s="238">
        <v>0</v>
      </c>
      <c r="M30" s="238">
        <v>0</v>
      </c>
      <c r="N30" s="238">
        <v>0</v>
      </c>
      <c r="O30" s="238">
        <v>278.069250086907</v>
      </c>
      <c r="P30" s="242"/>
    </row>
    <row r="31" spans="1:16" s="237" customFormat="1" ht="12" x14ac:dyDescent="0.2">
      <c r="A31" s="235"/>
      <c r="B31" s="230"/>
      <c r="C31" s="236" t="s">
        <v>745</v>
      </c>
      <c r="F31" s="238">
        <v>813.70426813538404</v>
      </c>
      <c r="G31" s="238">
        <v>1.5815643183499799E-2</v>
      </c>
      <c r="H31" s="238">
        <v>0.39539107958749398</v>
      </c>
      <c r="I31" s="238">
        <v>6.7093455832670804E-2</v>
      </c>
      <c r="J31" s="238">
        <v>19.993849838135901</v>
      </c>
      <c r="K31" s="238">
        <v>0</v>
      </c>
      <c r="L31" s="238">
        <v>0</v>
      </c>
      <c r="M31" s="238">
        <v>0</v>
      </c>
      <c r="N31" s="238">
        <v>0</v>
      </c>
      <c r="O31" s="238">
        <v>834.09350905310805</v>
      </c>
    </row>
    <row r="32" spans="1:16" s="237" customFormat="1" ht="12" x14ac:dyDescent="0.2">
      <c r="A32" s="235"/>
      <c r="B32" s="230"/>
      <c r="C32" s="236" t="s">
        <v>746</v>
      </c>
      <c r="D32" s="243"/>
      <c r="E32" s="243"/>
      <c r="F32" s="244">
        <v>546.96060357787997</v>
      </c>
      <c r="G32" s="244">
        <v>1.4123422561320299E-2</v>
      </c>
      <c r="H32" s="244">
        <v>0.35308556403300601</v>
      </c>
      <c r="I32" s="244">
        <v>4.5023855396422202E-2</v>
      </c>
      <c r="J32" s="244">
        <v>13.4171089081338</v>
      </c>
      <c r="K32" s="244">
        <v>0</v>
      </c>
      <c r="L32" s="244">
        <v>0</v>
      </c>
      <c r="M32" s="244">
        <v>0</v>
      </c>
      <c r="N32" s="244">
        <v>0</v>
      </c>
      <c r="O32" s="244">
        <v>560.73079805004602</v>
      </c>
    </row>
    <row r="33" spans="1:15" s="237" customFormat="1" ht="12" x14ac:dyDescent="0.2">
      <c r="A33" s="235"/>
      <c r="B33" s="230"/>
      <c r="C33" s="236" t="s">
        <v>747</v>
      </c>
      <c r="D33" s="243"/>
      <c r="E33" s="243"/>
      <c r="F33" s="244">
        <v>47734.337853010002</v>
      </c>
      <c r="G33" s="244">
        <v>2.0068961419059201</v>
      </c>
      <c r="H33" s="244">
        <v>50.172403547647903</v>
      </c>
      <c r="I33" s="244">
        <v>2.6917055974309099</v>
      </c>
      <c r="J33" s="244">
        <v>802.12826803441203</v>
      </c>
      <c r="K33" s="244">
        <v>0</v>
      </c>
      <c r="L33" s="244">
        <v>0</v>
      </c>
      <c r="M33" s="244">
        <v>0</v>
      </c>
      <c r="N33" s="244">
        <v>0</v>
      </c>
      <c r="O33" s="244">
        <v>48586.638524592003</v>
      </c>
    </row>
    <row r="34" spans="1:15" s="237" customFormat="1" ht="12" x14ac:dyDescent="0.2">
      <c r="A34" s="235"/>
      <c r="B34" s="230"/>
      <c r="C34" s="245" t="s">
        <v>748</v>
      </c>
      <c r="D34" s="243"/>
      <c r="E34" s="243"/>
      <c r="F34" s="244">
        <v>17.3641146520105</v>
      </c>
      <c r="G34" s="244">
        <v>7.5966010032024302E-3</v>
      </c>
      <c r="H34" s="244">
        <v>0.189915025080061</v>
      </c>
      <c r="I34" s="244">
        <v>3.2164500676982999E-4</v>
      </c>
      <c r="J34" s="244">
        <v>9.5850212017409495E-2</v>
      </c>
      <c r="K34" s="244">
        <v>0</v>
      </c>
      <c r="L34" s="244">
        <v>0</v>
      </c>
      <c r="M34" s="244">
        <v>0</v>
      </c>
      <c r="N34" s="244">
        <v>0</v>
      </c>
      <c r="O34" s="244">
        <v>17.649879889108</v>
      </c>
    </row>
    <row r="35" spans="1:15" s="249" customFormat="1" ht="12.75" x14ac:dyDescent="0.2">
      <c r="A35" s="228"/>
      <c r="B35" s="229" t="s">
        <v>749</v>
      </c>
      <c r="C35" s="246"/>
      <c r="D35" s="247"/>
      <c r="E35" s="247"/>
      <c r="F35" s="248">
        <v>6642.3431515408602</v>
      </c>
      <c r="G35" s="248">
        <v>0.379666027911646</v>
      </c>
      <c r="H35" s="248">
        <v>9.4916506977911492</v>
      </c>
      <c r="I35" s="248">
        <v>2.6174326824902199</v>
      </c>
      <c r="J35" s="248">
        <v>779.99493938208605</v>
      </c>
      <c r="K35" s="248">
        <v>0</v>
      </c>
      <c r="L35" s="248">
        <v>0</v>
      </c>
      <c r="M35" s="248">
        <v>0</v>
      </c>
      <c r="N35" s="248">
        <v>0</v>
      </c>
      <c r="O35" s="248">
        <v>7431.8297416207397</v>
      </c>
    </row>
    <row r="36" spans="1:15" s="249" customFormat="1" ht="12.75" x14ac:dyDescent="0.2">
      <c r="A36" s="228"/>
      <c r="B36" s="232" t="s">
        <v>750</v>
      </c>
      <c r="C36" s="246"/>
      <c r="D36" s="247"/>
      <c r="E36" s="247"/>
      <c r="F36" s="248">
        <v>4298.5784624581302</v>
      </c>
      <c r="G36" s="248">
        <v>0.38771903290233101</v>
      </c>
      <c r="H36" s="248">
        <v>9.6929758225582692</v>
      </c>
      <c r="I36" s="248">
        <v>0.11235450573446901</v>
      </c>
      <c r="J36" s="248">
        <v>33.481642708871902</v>
      </c>
      <c r="K36" s="248">
        <v>0</v>
      </c>
      <c r="L36" s="248">
        <v>0</v>
      </c>
      <c r="M36" s="248">
        <v>0</v>
      </c>
      <c r="N36" s="248">
        <v>0</v>
      </c>
      <c r="O36" s="248">
        <v>4341.7530809895597</v>
      </c>
    </row>
    <row r="37" spans="1:15" s="234" customFormat="1" ht="12.75" x14ac:dyDescent="0.2">
      <c r="A37" s="228"/>
      <c r="B37" s="229" t="s">
        <v>751</v>
      </c>
      <c r="C37" s="250"/>
      <c r="D37" s="251"/>
      <c r="E37" s="251"/>
      <c r="F37" s="252">
        <v>35873.830593616804</v>
      </c>
      <c r="G37" s="252">
        <v>15.185161437998101</v>
      </c>
      <c r="H37" s="252">
        <v>379.62903594995299</v>
      </c>
      <c r="I37" s="252">
        <v>9.4791885166740908</v>
      </c>
      <c r="J37" s="252">
        <v>2824.7981779688798</v>
      </c>
      <c r="K37" s="252">
        <v>0</v>
      </c>
      <c r="L37" s="252">
        <v>0</v>
      </c>
      <c r="M37" s="252">
        <v>0</v>
      </c>
      <c r="N37" s="252">
        <v>0</v>
      </c>
      <c r="O37" s="252">
        <v>39078.2578075356</v>
      </c>
    </row>
    <row r="38" spans="1:15" s="237" customFormat="1" ht="12" x14ac:dyDescent="0.2">
      <c r="A38" s="235"/>
      <c r="B38" s="230"/>
      <c r="C38" s="236" t="s">
        <v>752</v>
      </c>
      <c r="F38" s="238">
        <v>10203.567964956501</v>
      </c>
      <c r="G38" s="238">
        <v>0.64389841094332401</v>
      </c>
      <c r="H38" s="238">
        <v>16.097460273583099</v>
      </c>
      <c r="I38" s="238">
        <v>4.0059291969577098</v>
      </c>
      <c r="J38" s="238">
        <v>1193.7669006934</v>
      </c>
      <c r="K38" s="238">
        <v>0</v>
      </c>
      <c r="L38" s="238">
        <v>0</v>
      </c>
      <c r="M38" s="238">
        <v>0</v>
      </c>
      <c r="N38" s="238">
        <v>0</v>
      </c>
      <c r="O38" s="238">
        <v>11413.432325923501</v>
      </c>
    </row>
    <row r="39" spans="1:15" s="237" customFormat="1" ht="12" x14ac:dyDescent="0.2">
      <c r="A39" s="235"/>
      <c r="B39" s="230"/>
      <c r="C39" s="236" t="s">
        <v>753</v>
      </c>
      <c r="F39" s="238">
        <v>1897.08525517048</v>
      </c>
      <c r="G39" s="238">
        <v>1.5551857720728199</v>
      </c>
      <c r="H39" s="238">
        <v>38.879644301820399</v>
      </c>
      <c r="I39" s="238">
        <v>0.46590657990946099</v>
      </c>
      <c r="J39" s="238">
        <v>138.840160813019</v>
      </c>
      <c r="K39" s="238">
        <v>0</v>
      </c>
      <c r="L39" s="238">
        <v>0</v>
      </c>
      <c r="M39" s="238">
        <v>0</v>
      </c>
      <c r="N39" s="238">
        <v>0</v>
      </c>
      <c r="O39" s="238">
        <v>2074.80506028532</v>
      </c>
    </row>
    <row r="40" spans="1:15" s="237" customFormat="1" ht="12" x14ac:dyDescent="0.2">
      <c r="A40" s="235"/>
      <c r="B40" s="230"/>
      <c r="C40" s="236" t="s">
        <v>754</v>
      </c>
      <c r="F40" s="238">
        <v>11680.379128210399</v>
      </c>
      <c r="G40" s="238">
        <v>1.0844941641230501</v>
      </c>
      <c r="H40" s="238">
        <v>27.112354103076299</v>
      </c>
      <c r="I40" s="238">
        <v>4.3504639034926402</v>
      </c>
      <c r="J40" s="238">
        <v>1296.4382432408099</v>
      </c>
      <c r="K40" s="238">
        <v>0</v>
      </c>
      <c r="L40" s="238">
        <v>0</v>
      </c>
      <c r="M40" s="238">
        <v>0</v>
      </c>
      <c r="N40" s="238">
        <v>0</v>
      </c>
      <c r="O40" s="238">
        <v>13003.929725554301</v>
      </c>
    </row>
    <row r="41" spans="1:15" s="237" customFormat="1" ht="12" x14ac:dyDescent="0.2">
      <c r="A41" s="235"/>
      <c r="B41" s="230"/>
      <c r="C41" s="236" t="s">
        <v>755</v>
      </c>
      <c r="F41" s="238">
        <v>624.78663848801</v>
      </c>
      <c r="G41" s="238">
        <v>0.53157908329549997</v>
      </c>
      <c r="H41" s="238">
        <v>13.289477082387499</v>
      </c>
      <c r="I41" s="238">
        <v>8.7296607434443896E-2</v>
      </c>
      <c r="J41" s="238">
        <v>26.0143890154643</v>
      </c>
      <c r="K41" s="238">
        <v>0</v>
      </c>
      <c r="L41" s="238">
        <v>0</v>
      </c>
      <c r="M41" s="238">
        <v>0</v>
      </c>
      <c r="N41" s="238">
        <v>0</v>
      </c>
      <c r="O41" s="238">
        <v>664.09050458586205</v>
      </c>
    </row>
    <row r="42" spans="1:15" s="237" customFormat="1" ht="12" x14ac:dyDescent="0.2">
      <c r="A42" s="235"/>
      <c r="B42" s="230"/>
      <c r="C42" s="236" t="s">
        <v>756</v>
      </c>
      <c r="F42" s="238">
        <v>3576.1654067913501</v>
      </c>
      <c r="G42" s="238">
        <v>3.4647200825634399</v>
      </c>
      <c r="H42" s="238">
        <v>86.618002064085999</v>
      </c>
      <c r="I42" s="238">
        <v>0.35871722887984597</v>
      </c>
      <c r="J42" s="238">
        <v>106.897734206194</v>
      </c>
      <c r="K42" s="238">
        <v>0</v>
      </c>
      <c r="L42" s="238">
        <v>0</v>
      </c>
      <c r="M42" s="238">
        <v>0</v>
      </c>
      <c r="N42" s="238">
        <v>0</v>
      </c>
      <c r="O42" s="238">
        <v>3769.6811430616299</v>
      </c>
    </row>
    <row r="43" spans="1:15" s="237" customFormat="1" ht="12" x14ac:dyDescent="0.2">
      <c r="A43" s="235"/>
      <c r="B43" s="230"/>
      <c r="C43" s="253" t="s">
        <v>757</v>
      </c>
      <c r="F43" s="238">
        <v>7891.8462</v>
      </c>
      <c r="G43" s="238">
        <v>7.905283925</v>
      </c>
      <c r="H43" s="238">
        <v>197.632098125</v>
      </c>
      <c r="I43" s="238">
        <v>0.21087500000000001</v>
      </c>
      <c r="J43" s="238">
        <v>62.84075</v>
      </c>
      <c r="K43" s="238">
        <v>0</v>
      </c>
      <c r="L43" s="238">
        <v>0</v>
      </c>
      <c r="M43" s="238">
        <v>0</v>
      </c>
      <c r="N43" s="238">
        <v>0</v>
      </c>
      <c r="O43" s="238">
        <v>8152.3190481250003</v>
      </c>
    </row>
    <row r="44" spans="1:15" s="240" customFormat="1" ht="12.75" x14ac:dyDescent="0.2">
      <c r="A44" s="224" t="s">
        <v>758</v>
      </c>
      <c r="B44" s="225" t="s">
        <v>759</v>
      </c>
      <c r="C44" s="225"/>
      <c r="F44" s="226">
        <v>12651.666661897199</v>
      </c>
      <c r="G44" s="226">
        <v>1767.7434716275</v>
      </c>
      <c r="H44" s="226">
        <v>44193.586790687499</v>
      </c>
      <c r="I44" s="226">
        <v>0.136301820786699</v>
      </c>
      <c r="J44" s="226">
        <v>40.617942594436201</v>
      </c>
      <c r="K44" s="226">
        <v>0</v>
      </c>
      <c r="L44" s="226">
        <v>0</v>
      </c>
      <c r="M44" s="226">
        <v>0</v>
      </c>
      <c r="N44" s="226">
        <v>0</v>
      </c>
      <c r="O44" s="226">
        <v>56885.871395179201</v>
      </c>
    </row>
    <row r="45" spans="1:15" s="234" customFormat="1" ht="12.75" x14ac:dyDescent="0.2">
      <c r="A45" s="228"/>
      <c r="B45" s="229" t="s">
        <v>760</v>
      </c>
      <c r="C45" s="229"/>
      <c r="F45" s="231">
        <v>0</v>
      </c>
      <c r="G45" s="231">
        <v>45.5784041274418</v>
      </c>
      <c r="H45" s="231">
        <v>1139.46010318604</v>
      </c>
      <c r="I45" s="231">
        <v>0</v>
      </c>
      <c r="J45" s="231">
        <v>0</v>
      </c>
      <c r="K45" s="231">
        <v>0</v>
      </c>
      <c r="L45" s="231">
        <v>0</v>
      </c>
      <c r="M45" s="231">
        <v>0</v>
      </c>
      <c r="N45" s="231">
        <v>0</v>
      </c>
      <c r="O45" s="231">
        <v>1139.46010318604</v>
      </c>
    </row>
    <row r="46" spans="1:15" s="234" customFormat="1" ht="12.75" x14ac:dyDescent="0.2">
      <c r="A46" s="228"/>
      <c r="B46" s="229" t="s">
        <v>761</v>
      </c>
      <c r="C46" s="229"/>
      <c r="F46" s="231">
        <v>12651.666661897199</v>
      </c>
      <c r="G46" s="231">
        <v>1722.1650675000601</v>
      </c>
      <c r="H46" s="231">
        <v>43054.126687501499</v>
      </c>
      <c r="I46" s="231">
        <v>0.136301820786699</v>
      </c>
      <c r="J46" s="231">
        <v>40.617942594436201</v>
      </c>
      <c r="K46" s="231">
        <v>0</v>
      </c>
      <c r="L46" s="231">
        <v>0</v>
      </c>
      <c r="M46" s="231">
        <v>0</v>
      </c>
      <c r="N46" s="231">
        <v>0</v>
      </c>
      <c r="O46" s="231">
        <v>55746.411291993201</v>
      </c>
    </row>
    <row r="47" spans="1:15" s="237" customFormat="1" ht="12" x14ac:dyDescent="0.2">
      <c r="A47" s="254"/>
      <c r="B47" s="255"/>
      <c r="C47" s="230" t="s">
        <v>762</v>
      </c>
      <c r="F47" s="238">
        <v>210.03836665114801</v>
      </c>
      <c r="G47" s="238">
        <v>295.11851494805097</v>
      </c>
      <c r="H47" s="238">
        <v>7377.9628737012799</v>
      </c>
      <c r="I47" s="238">
        <v>0.113135547877</v>
      </c>
      <c r="J47" s="238">
        <v>33.714393267345997</v>
      </c>
      <c r="K47" s="238">
        <v>0</v>
      </c>
      <c r="L47" s="238">
        <v>0</v>
      </c>
      <c r="M47" s="238">
        <v>0</v>
      </c>
      <c r="N47" s="238">
        <v>0</v>
      </c>
      <c r="O47" s="238">
        <v>7621.7156336197704</v>
      </c>
    </row>
    <row r="48" spans="1:15" s="237" customFormat="1" ht="12" x14ac:dyDescent="0.2">
      <c r="A48" s="254"/>
      <c r="B48" s="255"/>
      <c r="C48" s="230" t="s">
        <v>763</v>
      </c>
      <c r="F48" s="238">
        <v>108.00091597738199</v>
      </c>
      <c r="G48" s="238">
        <v>483.54658651406697</v>
      </c>
      <c r="H48" s="238">
        <v>12088.664662851699</v>
      </c>
      <c r="I48" s="238">
        <v>1.4421327237099899E-4</v>
      </c>
      <c r="J48" s="238">
        <v>4.2975555166557801E-2</v>
      </c>
      <c r="K48" s="238">
        <v>0</v>
      </c>
      <c r="L48" s="238">
        <v>0</v>
      </c>
      <c r="M48" s="238">
        <v>0</v>
      </c>
      <c r="N48" s="238">
        <v>0</v>
      </c>
      <c r="O48" s="238">
        <v>12196.7085543842</v>
      </c>
    </row>
    <row r="49" spans="1:16" s="237" customFormat="1" ht="12" x14ac:dyDescent="0.2">
      <c r="A49" s="256"/>
      <c r="B49" s="257"/>
      <c r="C49" s="258" t="s">
        <v>380</v>
      </c>
      <c r="D49" s="243"/>
      <c r="E49" s="243"/>
      <c r="F49" s="244">
        <v>7703.8926369876499</v>
      </c>
      <c r="G49" s="244">
        <v>925.436784501082</v>
      </c>
      <c r="H49" s="244">
        <v>23135.919612526999</v>
      </c>
      <c r="I49" s="244">
        <v>0</v>
      </c>
      <c r="J49" s="244">
        <v>0</v>
      </c>
      <c r="K49" s="244">
        <v>0</v>
      </c>
      <c r="L49" s="244">
        <v>0</v>
      </c>
      <c r="M49" s="244">
        <v>0</v>
      </c>
      <c r="N49" s="244">
        <v>0</v>
      </c>
      <c r="O49" s="244">
        <v>30839.8122495147</v>
      </c>
    </row>
    <row r="50" spans="1:16" s="237" customFormat="1" ht="12" x14ac:dyDescent="0.2">
      <c r="A50" s="256"/>
      <c r="B50" s="257"/>
      <c r="C50" s="258" t="s">
        <v>381</v>
      </c>
      <c r="D50" s="243"/>
      <c r="E50" s="243"/>
      <c r="F50" s="244">
        <v>4629.7347422810599</v>
      </c>
      <c r="G50" s="244">
        <v>18.0631815368593</v>
      </c>
      <c r="H50" s="244">
        <v>451.57953842148203</v>
      </c>
      <c r="I50" s="244">
        <v>2.3022059637327601E-2</v>
      </c>
      <c r="J50" s="244">
        <v>6.8605737719236197</v>
      </c>
      <c r="K50" s="244">
        <v>0</v>
      </c>
      <c r="L50" s="244">
        <v>0</v>
      </c>
      <c r="M50" s="244">
        <v>0</v>
      </c>
      <c r="N50" s="244">
        <v>0</v>
      </c>
      <c r="O50" s="244">
        <v>5088.1748544744696</v>
      </c>
    </row>
    <row r="51" spans="1:16" s="237" customFormat="1" ht="14.25" x14ac:dyDescent="0.25">
      <c r="A51" s="259" t="s">
        <v>764</v>
      </c>
      <c r="B51" s="260" t="s">
        <v>765</v>
      </c>
      <c r="C51" s="260"/>
      <c r="D51" s="261"/>
      <c r="E51" s="261"/>
      <c r="F51" s="262">
        <v>0.17780000000000001</v>
      </c>
      <c r="G51" s="262">
        <v>0</v>
      </c>
      <c r="H51" s="262">
        <v>0</v>
      </c>
      <c r="I51" s="262">
        <v>0</v>
      </c>
      <c r="J51" s="262">
        <v>0</v>
      </c>
      <c r="K51" s="262">
        <v>0</v>
      </c>
      <c r="L51" s="262">
        <v>0</v>
      </c>
      <c r="M51" s="262">
        <v>0</v>
      </c>
      <c r="N51" s="262">
        <v>0</v>
      </c>
      <c r="O51" s="262">
        <v>0.17780000000000001</v>
      </c>
    </row>
    <row r="52" spans="1:16" s="267" customFormat="1" ht="12.75" x14ac:dyDescent="0.2">
      <c r="A52" s="263" t="s">
        <v>766</v>
      </c>
      <c r="B52" s="263"/>
      <c r="C52" s="264"/>
      <c r="D52" s="265"/>
      <c r="E52" s="265"/>
      <c r="F52" s="266">
        <v>37213.228190940201</v>
      </c>
      <c r="G52" s="266">
        <v>2.9845180708186798</v>
      </c>
      <c r="H52" s="266">
        <v>74.612951770467106</v>
      </c>
      <c r="I52" s="266">
        <v>4.6168122803499401</v>
      </c>
      <c r="J52" s="266">
        <v>1375.81005954428</v>
      </c>
      <c r="K52" s="266">
        <v>11010.9823328047</v>
      </c>
      <c r="L52" s="266">
        <v>967.91717160192002</v>
      </c>
      <c r="M52" s="266">
        <v>423.89660247134702</v>
      </c>
      <c r="N52" s="266">
        <v>0.15104489600000001</v>
      </c>
      <c r="O52" s="266">
        <v>51066.598354029004</v>
      </c>
    </row>
    <row r="53" spans="1:16" s="240" customFormat="1" ht="12.75" x14ac:dyDescent="0.2">
      <c r="A53" s="224" t="s">
        <v>724</v>
      </c>
      <c r="B53" s="225" t="s">
        <v>767</v>
      </c>
      <c r="C53" s="225"/>
      <c r="D53" s="268"/>
      <c r="E53" s="268"/>
      <c r="F53" s="269">
        <v>8036.36137904101</v>
      </c>
      <c r="G53" s="269">
        <v>0</v>
      </c>
      <c r="H53" s="269">
        <v>0</v>
      </c>
      <c r="I53" s="269">
        <v>0</v>
      </c>
      <c r="J53" s="269">
        <v>0</v>
      </c>
      <c r="K53" s="269">
        <v>0</v>
      </c>
      <c r="L53" s="269">
        <v>0</v>
      </c>
      <c r="M53" s="269">
        <v>0</v>
      </c>
      <c r="N53" s="269">
        <v>0</v>
      </c>
      <c r="O53" s="269">
        <v>8036.36137904101</v>
      </c>
    </row>
    <row r="54" spans="1:16" s="273" customFormat="1" ht="12" x14ac:dyDescent="0.2">
      <c r="A54" s="235"/>
      <c r="B54" s="270"/>
      <c r="C54" s="236" t="s">
        <v>560</v>
      </c>
      <c r="D54" s="271"/>
      <c r="E54" s="271"/>
      <c r="F54" s="272">
        <v>6263.2154312254297</v>
      </c>
      <c r="G54" s="272">
        <v>0</v>
      </c>
      <c r="H54" s="272">
        <v>0</v>
      </c>
      <c r="I54" s="272">
        <v>0</v>
      </c>
      <c r="J54" s="272">
        <v>0</v>
      </c>
      <c r="K54" s="272">
        <v>0</v>
      </c>
      <c r="L54" s="272">
        <v>0</v>
      </c>
      <c r="M54" s="272">
        <v>0</v>
      </c>
      <c r="N54" s="272">
        <v>0</v>
      </c>
      <c r="O54" s="272">
        <v>6263.2154312254297</v>
      </c>
      <c r="P54" s="271"/>
    </row>
    <row r="55" spans="1:16" s="273" customFormat="1" ht="12" x14ac:dyDescent="0.2">
      <c r="A55" s="235"/>
      <c r="B55" s="270"/>
      <c r="C55" s="236" t="s">
        <v>191</v>
      </c>
      <c r="D55" s="271"/>
      <c r="E55" s="271"/>
      <c r="F55" s="272">
        <v>1339.0608066391901</v>
      </c>
      <c r="G55" s="272">
        <v>0</v>
      </c>
      <c r="H55" s="272">
        <v>0</v>
      </c>
      <c r="I55" s="272">
        <v>0</v>
      </c>
      <c r="J55" s="272">
        <v>0</v>
      </c>
      <c r="K55" s="272">
        <v>0</v>
      </c>
      <c r="L55" s="272">
        <v>0</v>
      </c>
      <c r="M55" s="272">
        <v>0</v>
      </c>
      <c r="N55" s="272">
        <v>0</v>
      </c>
      <c r="O55" s="272">
        <v>1339.0608066391901</v>
      </c>
      <c r="P55" s="271"/>
    </row>
    <row r="56" spans="1:16" s="273" customFormat="1" ht="12" x14ac:dyDescent="0.2">
      <c r="A56" s="235"/>
      <c r="B56" s="270"/>
      <c r="C56" s="236" t="s">
        <v>768</v>
      </c>
      <c r="D56" s="271"/>
      <c r="E56" s="271"/>
      <c r="F56" s="272">
        <v>434.085141176381</v>
      </c>
      <c r="G56" s="272">
        <v>0</v>
      </c>
      <c r="H56" s="272">
        <v>0</v>
      </c>
      <c r="I56" s="272">
        <v>0</v>
      </c>
      <c r="J56" s="272">
        <v>0</v>
      </c>
      <c r="K56" s="272">
        <v>0</v>
      </c>
      <c r="L56" s="272">
        <v>0</v>
      </c>
      <c r="M56" s="272">
        <v>0</v>
      </c>
      <c r="N56" s="272">
        <v>0</v>
      </c>
      <c r="O56" s="272">
        <v>434.085141176381</v>
      </c>
      <c r="P56" s="271"/>
    </row>
    <row r="57" spans="1:16" s="275" customFormat="1" ht="12.75" x14ac:dyDescent="0.2">
      <c r="A57" s="224" t="s">
        <v>737</v>
      </c>
      <c r="B57" s="225" t="s">
        <v>769</v>
      </c>
      <c r="C57" s="225"/>
      <c r="D57" s="274"/>
      <c r="E57" s="274"/>
      <c r="F57" s="269">
        <v>5309.99206442174</v>
      </c>
      <c r="G57" s="269">
        <v>2.9143630708186801</v>
      </c>
      <c r="H57" s="269">
        <v>72.859076770467098</v>
      </c>
      <c r="I57" s="269">
        <v>3.7678019507259002</v>
      </c>
      <c r="J57" s="269">
        <v>1122.80498131632</v>
      </c>
      <c r="K57" s="269">
        <v>0</v>
      </c>
      <c r="L57" s="269">
        <v>0</v>
      </c>
      <c r="M57" s="269">
        <v>0</v>
      </c>
      <c r="N57" s="269">
        <v>0</v>
      </c>
      <c r="O57" s="269">
        <v>6505.6561225085297</v>
      </c>
      <c r="P57" s="274"/>
    </row>
    <row r="58" spans="1:16" s="277" customFormat="1" ht="12" x14ac:dyDescent="0.2">
      <c r="A58" s="235"/>
      <c r="B58" s="270"/>
      <c r="C58" s="236" t="s">
        <v>192</v>
      </c>
      <c r="D58" s="276"/>
      <c r="E58" s="276"/>
      <c r="F58" s="272">
        <v>2850.8286025819598</v>
      </c>
      <c r="G58" s="272">
        <v>0</v>
      </c>
      <c r="H58" s="272">
        <v>0</v>
      </c>
      <c r="I58" s="272">
        <v>0</v>
      </c>
      <c r="J58" s="272">
        <v>0</v>
      </c>
      <c r="K58" s="272">
        <v>0</v>
      </c>
      <c r="L58" s="272">
        <v>0</v>
      </c>
      <c r="M58" s="272">
        <v>0</v>
      </c>
      <c r="N58" s="272">
        <v>0</v>
      </c>
      <c r="O58" s="272">
        <v>2850.8286025819598</v>
      </c>
      <c r="P58" s="276"/>
    </row>
    <row r="59" spans="1:16" s="277" customFormat="1" ht="12" x14ac:dyDescent="0.2">
      <c r="A59" s="235"/>
      <c r="B59" s="270"/>
      <c r="C59" s="236" t="s">
        <v>190</v>
      </c>
      <c r="D59" s="276"/>
      <c r="E59" s="276"/>
      <c r="F59" s="272">
        <v>0</v>
      </c>
      <c r="G59" s="272">
        <v>0</v>
      </c>
      <c r="H59" s="272">
        <v>0</v>
      </c>
      <c r="I59" s="272">
        <v>3.72756888816276</v>
      </c>
      <c r="J59" s="272">
        <v>1110.8155286725</v>
      </c>
      <c r="K59" s="272">
        <v>0</v>
      </c>
      <c r="L59" s="272">
        <v>0</v>
      </c>
      <c r="M59" s="272">
        <v>0</v>
      </c>
      <c r="N59" s="272">
        <v>0</v>
      </c>
      <c r="O59" s="272">
        <v>1110.8155286725</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2459.1634618397802</v>
      </c>
      <c r="G61" s="272">
        <v>2.9143630708186801</v>
      </c>
      <c r="H61" s="272">
        <v>72.859076770467098</v>
      </c>
      <c r="I61" s="272">
        <v>4.0233062563133103E-2</v>
      </c>
      <c r="J61" s="272">
        <v>11.989452643813699</v>
      </c>
      <c r="K61" s="272">
        <v>0</v>
      </c>
      <c r="L61" s="272">
        <v>0</v>
      </c>
      <c r="M61" s="272">
        <v>0</v>
      </c>
      <c r="N61" s="272">
        <v>0</v>
      </c>
      <c r="O61" s="272">
        <v>2544.0119912540599</v>
      </c>
      <c r="P61" s="276"/>
    </row>
    <row r="62" spans="1:16" s="240" customFormat="1" ht="12.75" x14ac:dyDescent="0.2">
      <c r="A62" s="224" t="s">
        <v>758</v>
      </c>
      <c r="B62" s="225" t="s">
        <v>772</v>
      </c>
      <c r="C62" s="225"/>
      <c r="D62" s="268"/>
      <c r="E62" s="268"/>
      <c r="F62" s="269">
        <v>13044.3675362003</v>
      </c>
      <c r="G62" s="269">
        <v>7.0154999999999995E-2</v>
      </c>
      <c r="H62" s="269">
        <v>1.7538750000000001</v>
      </c>
      <c r="I62" s="269">
        <v>0</v>
      </c>
      <c r="J62" s="269">
        <v>0</v>
      </c>
      <c r="K62" s="269">
        <v>0</v>
      </c>
      <c r="L62" s="269">
        <v>953.61961299999996</v>
      </c>
      <c r="M62" s="269">
        <v>230.46966327897101</v>
      </c>
      <c r="N62" s="269">
        <v>0</v>
      </c>
      <c r="O62" s="269">
        <v>14230.210687479301</v>
      </c>
      <c r="P62" s="268"/>
    </row>
    <row r="63" spans="1:16" s="273" customFormat="1" ht="12" x14ac:dyDescent="0.2">
      <c r="A63" s="235"/>
      <c r="B63" s="230"/>
      <c r="C63" s="230" t="s">
        <v>773</v>
      </c>
      <c r="D63" s="271"/>
      <c r="E63" s="271"/>
      <c r="F63" s="272">
        <v>7992.4775362003102</v>
      </c>
      <c r="G63" s="272">
        <v>7.0154999999999995E-2</v>
      </c>
      <c r="H63" s="272">
        <v>1.7538750000000001</v>
      </c>
      <c r="I63" s="272">
        <v>0</v>
      </c>
      <c r="J63" s="272">
        <v>0</v>
      </c>
      <c r="K63" s="272">
        <v>0</v>
      </c>
      <c r="L63" s="272">
        <v>0</v>
      </c>
      <c r="M63" s="272">
        <v>0</v>
      </c>
      <c r="N63" s="272">
        <v>0</v>
      </c>
      <c r="O63" s="272">
        <v>7994.2314112003096</v>
      </c>
      <c r="P63" s="271"/>
    </row>
    <row r="64" spans="1:16" s="273" customFormat="1" ht="12" x14ac:dyDescent="0.2">
      <c r="A64" s="235"/>
      <c r="B64" s="230"/>
      <c r="C64" s="230" t="s">
        <v>252</v>
      </c>
      <c r="D64" s="271"/>
      <c r="E64" s="271"/>
      <c r="F64" s="272">
        <v>5051.8900000000003</v>
      </c>
      <c r="G64" s="272">
        <v>0</v>
      </c>
      <c r="H64" s="272">
        <v>0</v>
      </c>
      <c r="I64" s="272">
        <v>0</v>
      </c>
      <c r="J64" s="272">
        <v>0</v>
      </c>
      <c r="K64" s="272">
        <v>0</v>
      </c>
      <c r="L64" s="272">
        <v>953.61961299999996</v>
      </c>
      <c r="M64" s="272">
        <v>9.8096999999999994</v>
      </c>
      <c r="N64" s="272">
        <v>0</v>
      </c>
      <c r="O64" s="272">
        <v>6015.319313</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220.65996327897099</v>
      </c>
      <c r="N65" s="272">
        <v>0</v>
      </c>
      <c r="O65" s="272">
        <v>220.65996327897099</v>
      </c>
      <c r="P65" s="271"/>
    </row>
    <row r="66" spans="1:16" s="234" customFormat="1" x14ac:dyDescent="0.25">
      <c r="A66" s="278" t="s">
        <v>764</v>
      </c>
      <c r="B66" s="279" t="s">
        <v>775</v>
      </c>
      <c r="C66" s="279"/>
      <c r="D66" s="251"/>
      <c r="E66" s="251"/>
      <c r="F66" s="252">
        <v>0</v>
      </c>
      <c r="G66" s="252">
        <v>0</v>
      </c>
      <c r="H66" s="252">
        <v>0</v>
      </c>
      <c r="I66" s="252">
        <v>0</v>
      </c>
      <c r="J66" s="252">
        <v>0</v>
      </c>
      <c r="K66" s="252">
        <v>11010.9823328047</v>
      </c>
      <c r="L66" s="252">
        <v>3.59494344945037</v>
      </c>
      <c r="M66" s="252">
        <v>1.2619271923762201</v>
      </c>
      <c r="N66" s="252">
        <v>0.15104489600000001</v>
      </c>
      <c r="O66" s="252">
        <v>11015.990248342499</v>
      </c>
      <c r="P66" s="251"/>
    </row>
    <row r="67" spans="1:16" s="234" customFormat="1" ht="12.75" x14ac:dyDescent="0.2">
      <c r="A67" s="278" t="s">
        <v>776</v>
      </c>
      <c r="B67" s="279" t="s">
        <v>777</v>
      </c>
      <c r="C67" s="279"/>
      <c r="D67" s="251"/>
      <c r="E67" s="251"/>
      <c r="F67" s="252">
        <v>10797.8200666047</v>
      </c>
      <c r="G67" s="252">
        <v>0</v>
      </c>
      <c r="H67" s="252">
        <v>0</v>
      </c>
      <c r="I67" s="252">
        <v>0</v>
      </c>
      <c r="J67" s="252">
        <v>0</v>
      </c>
      <c r="K67" s="252">
        <v>0</v>
      </c>
      <c r="L67" s="252">
        <v>0</v>
      </c>
      <c r="M67" s="252">
        <v>0</v>
      </c>
      <c r="N67" s="252">
        <v>0</v>
      </c>
      <c r="O67" s="252">
        <v>10797.8200666047</v>
      </c>
      <c r="P67" s="251"/>
    </row>
    <row r="68" spans="1:16" s="234" customFormat="1" ht="12.75" x14ac:dyDescent="0.2">
      <c r="A68" s="259" t="s">
        <v>778</v>
      </c>
      <c r="B68" s="260" t="s">
        <v>779</v>
      </c>
      <c r="C68" s="260"/>
      <c r="D68" s="280"/>
      <c r="E68" s="280"/>
      <c r="F68" s="281">
        <v>24.687144672460501</v>
      </c>
      <c r="G68" s="281">
        <v>0</v>
      </c>
      <c r="H68" s="281">
        <v>0</v>
      </c>
      <c r="I68" s="281">
        <v>0.84901032962404499</v>
      </c>
      <c r="J68" s="281">
        <v>253.00507822796499</v>
      </c>
      <c r="K68" s="281">
        <v>0</v>
      </c>
      <c r="L68" s="281">
        <v>10.7026151524695</v>
      </c>
      <c r="M68" s="281">
        <v>192.16501199999999</v>
      </c>
      <c r="N68" s="281">
        <v>0</v>
      </c>
      <c r="O68" s="281">
        <v>480.559850052895</v>
      </c>
      <c r="P68" s="251"/>
    </row>
    <row r="69" spans="1:16" s="267" customFormat="1" ht="12.75" x14ac:dyDescent="0.2">
      <c r="A69" s="282" t="s">
        <v>780</v>
      </c>
      <c r="B69" s="283"/>
      <c r="C69" s="283"/>
      <c r="D69" s="284"/>
      <c r="E69" s="284"/>
      <c r="F69" s="285">
        <v>2676.35142133407</v>
      </c>
      <c r="G69" s="285">
        <v>1152.00114888607</v>
      </c>
      <c r="H69" s="285">
        <v>28800.028722151699</v>
      </c>
      <c r="I69" s="285">
        <v>92.1989223032447</v>
      </c>
      <c r="J69" s="285">
        <v>27475.278846366899</v>
      </c>
      <c r="K69" s="285">
        <v>0</v>
      </c>
      <c r="L69" s="285">
        <v>0</v>
      </c>
      <c r="M69" s="285">
        <v>0</v>
      </c>
      <c r="N69" s="285">
        <v>0</v>
      </c>
      <c r="O69" s="285">
        <v>58951.658989852702</v>
      </c>
      <c r="P69" s="265"/>
    </row>
    <row r="70" spans="1:16" s="234" customFormat="1" ht="12.75" x14ac:dyDescent="0.2">
      <c r="A70" s="278" t="s">
        <v>724</v>
      </c>
      <c r="B70" s="279" t="s">
        <v>27</v>
      </c>
      <c r="C70" s="279"/>
      <c r="D70" s="251"/>
      <c r="E70" s="251"/>
      <c r="F70" s="252">
        <v>0</v>
      </c>
      <c r="G70" s="252">
        <v>1000.1831604918</v>
      </c>
      <c r="H70" s="252">
        <v>25004.5790122949</v>
      </c>
      <c r="I70" s="252">
        <v>0</v>
      </c>
      <c r="J70" s="252">
        <v>0</v>
      </c>
      <c r="K70" s="252">
        <v>0</v>
      </c>
      <c r="L70" s="252">
        <v>0</v>
      </c>
      <c r="M70" s="252">
        <v>0</v>
      </c>
      <c r="N70" s="252">
        <v>0</v>
      </c>
      <c r="O70" s="252">
        <v>25004.5790122949</v>
      </c>
      <c r="P70" s="251"/>
    </row>
    <row r="71" spans="1:16" s="234" customFormat="1" ht="12.75" x14ac:dyDescent="0.2">
      <c r="A71" s="278" t="s">
        <v>737</v>
      </c>
      <c r="B71" s="279" t="s">
        <v>28</v>
      </c>
      <c r="C71" s="279"/>
      <c r="D71" s="251"/>
      <c r="E71" s="251"/>
      <c r="F71" s="252">
        <v>0</v>
      </c>
      <c r="G71" s="252">
        <v>150.139788354742</v>
      </c>
      <c r="H71" s="252">
        <v>3753.4947088685499</v>
      </c>
      <c r="I71" s="252">
        <v>15.9700557317537</v>
      </c>
      <c r="J71" s="252">
        <v>4759.0766080625899</v>
      </c>
      <c r="K71" s="252">
        <v>0</v>
      </c>
      <c r="L71" s="252">
        <v>0</v>
      </c>
      <c r="M71" s="252">
        <v>0</v>
      </c>
      <c r="N71" s="252">
        <v>0</v>
      </c>
      <c r="O71" s="252">
        <v>8512.5713169311402</v>
      </c>
      <c r="P71" s="251"/>
    </row>
    <row r="72" spans="1:16" s="234" customFormat="1" ht="12.75" x14ac:dyDescent="0.2">
      <c r="A72" s="224" t="s">
        <v>758</v>
      </c>
      <c r="B72" s="225" t="s">
        <v>781</v>
      </c>
      <c r="C72" s="225"/>
      <c r="F72" s="231">
        <v>0</v>
      </c>
      <c r="G72" s="231">
        <v>0</v>
      </c>
      <c r="H72" s="231">
        <v>0</v>
      </c>
      <c r="I72" s="231">
        <v>76.185357681577202</v>
      </c>
      <c r="J72" s="231">
        <v>22703.236589110002</v>
      </c>
      <c r="K72" s="231">
        <v>0</v>
      </c>
      <c r="L72" s="231">
        <v>0</v>
      </c>
      <c r="M72" s="231">
        <v>0</v>
      </c>
      <c r="N72" s="231">
        <v>0</v>
      </c>
      <c r="O72" s="231">
        <v>22703.236589110002</v>
      </c>
    </row>
    <row r="73" spans="1:16" s="237" customFormat="1" ht="12" x14ac:dyDescent="0.2">
      <c r="A73" s="286"/>
      <c r="B73" s="258"/>
      <c r="C73" s="258" t="s">
        <v>782</v>
      </c>
      <c r="D73" s="243"/>
      <c r="E73" s="243"/>
      <c r="F73" s="244">
        <v>0</v>
      </c>
      <c r="G73" s="244">
        <v>0</v>
      </c>
      <c r="H73" s="244">
        <v>0</v>
      </c>
      <c r="I73" s="244">
        <v>62.828265567649503</v>
      </c>
      <c r="J73" s="244">
        <v>18722.8231391595</v>
      </c>
      <c r="K73" s="244">
        <v>0</v>
      </c>
      <c r="L73" s="244">
        <v>0</v>
      </c>
      <c r="M73" s="244">
        <v>0</v>
      </c>
      <c r="N73" s="244">
        <v>0</v>
      </c>
      <c r="O73" s="244">
        <v>18722.8231391595</v>
      </c>
    </row>
    <row r="74" spans="1:16" s="237" customFormat="1" ht="12" x14ac:dyDescent="0.2">
      <c r="A74" s="286"/>
      <c r="B74" s="258"/>
      <c r="C74" s="258" t="s">
        <v>783</v>
      </c>
      <c r="D74" s="243"/>
      <c r="E74" s="243"/>
      <c r="F74" s="244">
        <v>0</v>
      </c>
      <c r="G74" s="244">
        <v>0</v>
      </c>
      <c r="H74" s="244">
        <v>0</v>
      </c>
      <c r="I74" s="244">
        <v>13.357092113927701</v>
      </c>
      <c r="J74" s="244">
        <v>3980.4134499504598</v>
      </c>
      <c r="K74" s="244">
        <v>0</v>
      </c>
      <c r="L74" s="244">
        <v>0</v>
      </c>
      <c r="M74" s="244">
        <v>0</v>
      </c>
      <c r="N74" s="244">
        <v>0</v>
      </c>
      <c r="O74" s="244">
        <v>3980.4134499504598</v>
      </c>
    </row>
    <row r="75" spans="1:16" s="234" customFormat="1" ht="12.75" x14ac:dyDescent="0.2">
      <c r="A75" s="278" t="s">
        <v>764</v>
      </c>
      <c r="B75" s="279" t="s">
        <v>193</v>
      </c>
      <c r="C75" s="287"/>
      <c r="D75" s="251"/>
      <c r="E75" s="251"/>
      <c r="F75" s="252">
        <v>0</v>
      </c>
      <c r="G75" s="252">
        <v>1.6782000395322001</v>
      </c>
      <c r="H75" s="252">
        <v>41.955000988305102</v>
      </c>
      <c r="I75" s="252">
        <v>4.35088899137979E-2</v>
      </c>
      <c r="J75" s="252">
        <v>12.9656491943118</v>
      </c>
      <c r="K75" s="252">
        <v>0</v>
      </c>
      <c r="L75" s="252">
        <v>0</v>
      </c>
      <c r="M75" s="252">
        <v>0</v>
      </c>
      <c r="N75" s="252">
        <v>0</v>
      </c>
      <c r="O75" s="252">
        <v>54.920650182616903</v>
      </c>
    </row>
    <row r="76" spans="1:16" s="234" customFormat="1" ht="12.75" x14ac:dyDescent="0.2">
      <c r="A76" s="259" t="s">
        <v>776</v>
      </c>
      <c r="B76" s="260" t="s">
        <v>784</v>
      </c>
      <c r="C76" s="288"/>
      <c r="D76" s="280"/>
      <c r="E76" s="280"/>
      <c r="F76" s="281">
        <v>2676.35142133407</v>
      </c>
      <c r="G76" s="281">
        <v>0</v>
      </c>
      <c r="H76" s="281">
        <v>0</v>
      </c>
      <c r="I76" s="281">
        <v>0</v>
      </c>
      <c r="J76" s="281">
        <v>0</v>
      </c>
      <c r="K76" s="281">
        <v>0</v>
      </c>
      <c r="L76" s="281">
        <v>0</v>
      </c>
      <c r="M76" s="281">
        <v>0</v>
      </c>
      <c r="N76" s="281">
        <v>0</v>
      </c>
      <c r="O76" s="281">
        <v>2676.35142133407</v>
      </c>
    </row>
    <row r="77" spans="1:16" s="234" customFormat="1" ht="12.75" x14ac:dyDescent="0.2">
      <c r="A77" s="220" t="s">
        <v>785</v>
      </c>
      <c r="B77" s="289"/>
      <c r="C77" s="289"/>
      <c r="F77" s="223">
        <v>413.57439993000003</v>
      </c>
      <c r="G77" s="223">
        <v>923.77343838000002</v>
      </c>
      <c r="H77" s="223">
        <v>23094.3359595</v>
      </c>
      <c r="I77" s="223">
        <v>3.9954037200000001</v>
      </c>
      <c r="J77" s="223">
        <v>1190.63030856</v>
      </c>
      <c r="K77" s="223">
        <v>0</v>
      </c>
      <c r="L77" s="223">
        <v>0</v>
      </c>
      <c r="M77" s="223">
        <v>0</v>
      </c>
      <c r="N77" s="223">
        <v>0</v>
      </c>
      <c r="O77" s="223">
        <v>24698.540667990001</v>
      </c>
    </row>
    <row r="78" spans="1:16" s="234" customFormat="1" ht="12.75" x14ac:dyDescent="0.2">
      <c r="A78" s="224" t="s">
        <v>724</v>
      </c>
      <c r="B78" s="225" t="s">
        <v>786</v>
      </c>
      <c r="C78" s="225"/>
      <c r="F78" s="231">
        <v>0</v>
      </c>
      <c r="G78" s="231">
        <v>885.86221493999994</v>
      </c>
      <c r="H78" s="231">
        <v>22146.555373499999</v>
      </c>
      <c r="I78" s="231">
        <v>0</v>
      </c>
      <c r="J78" s="231">
        <v>0</v>
      </c>
      <c r="K78" s="231">
        <v>0</v>
      </c>
      <c r="L78" s="231">
        <v>0</v>
      </c>
      <c r="M78" s="231">
        <v>0</v>
      </c>
      <c r="N78" s="231">
        <v>0</v>
      </c>
      <c r="O78" s="231">
        <v>22146.555373499999</v>
      </c>
    </row>
    <row r="79" spans="1:16" s="234" customFormat="1" ht="12.75" x14ac:dyDescent="0.2">
      <c r="A79" s="224" t="s">
        <v>737</v>
      </c>
      <c r="B79" s="225" t="s">
        <v>787</v>
      </c>
      <c r="C79" s="225"/>
      <c r="F79" s="231">
        <v>0</v>
      </c>
      <c r="G79" s="231">
        <v>21.88903187</v>
      </c>
      <c r="H79" s="231">
        <v>547.22579674999997</v>
      </c>
      <c r="I79" s="231">
        <v>1.3133419099999999</v>
      </c>
      <c r="J79" s="231">
        <v>391.37588918</v>
      </c>
      <c r="K79" s="231">
        <v>0</v>
      </c>
      <c r="L79" s="231">
        <v>0</v>
      </c>
      <c r="M79" s="231">
        <v>0</v>
      </c>
      <c r="N79" s="231">
        <v>0</v>
      </c>
      <c r="O79" s="231">
        <v>938.60168593000003</v>
      </c>
    </row>
    <row r="80" spans="1:16" s="234" customFormat="1" ht="12.75" x14ac:dyDescent="0.2">
      <c r="A80" s="278" t="s">
        <v>788</v>
      </c>
      <c r="B80" s="279" t="s">
        <v>789</v>
      </c>
      <c r="C80" s="279"/>
      <c r="D80" s="251"/>
      <c r="E80" s="251"/>
      <c r="F80" s="252">
        <v>0</v>
      </c>
      <c r="G80" s="252">
        <v>15.75993062</v>
      </c>
      <c r="H80" s="252">
        <v>393.9982655</v>
      </c>
      <c r="I80" s="252">
        <v>2.2395528699999998</v>
      </c>
      <c r="J80" s="252">
        <v>667.38675525999997</v>
      </c>
      <c r="K80" s="252">
        <v>0</v>
      </c>
      <c r="L80" s="252">
        <v>0</v>
      </c>
      <c r="M80" s="252">
        <v>0</v>
      </c>
      <c r="N80" s="252">
        <v>0</v>
      </c>
      <c r="O80" s="252">
        <v>1061.3850207600001</v>
      </c>
    </row>
    <row r="81" spans="1:30" s="234" customFormat="1" ht="12.75" x14ac:dyDescent="0.2">
      <c r="A81" s="259" t="s">
        <v>764</v>
      </c>
      <c r="B81" s="260" t="s">
        <v>790</v>
      </c>
      <c r="C81" s="260"/>
      <c r="D81" s="280"/>
      <c r="E81" s="280"/>
      <c r="F81" s="281">
        <v>413.57439993000003</v>
      </c>
      <c r="G81" s="281">
        <v>0.26226094999999999</v>
      </c>
      <c r="H81" s="281">
        <v>6.5565237500000002</v>
      </c>
      <c r="I81" s="281">
        <v>0.44250894000000002</v>
      </c>
      <c r="J81" s="281">
        <v>131.86766412</v>
      </c>
      <c r="K81" s="281">
        <v>0</v>
      </c>
      <c r="L81" s="281">
        <v>0</v>
      </c>
      <c r="M81" s="281">
        <v>0</v>
      </c>
      <c r="N81" s="281">
        <v>0</v>
      </c>
      <c r="O81" s="281">
        <v>551.9985878</v>
      </c>
    </row>
    <row r="82" spans="1:30" s="267" customFormat="1" ht="12.75" x14ac:dyDescent="0.2">
      <c r="A82" s="263" t="s">
        <v>791</v>
      </c>
      <c r="B82" s="264"/>
      <c r="C82" s="264"/>
      <c r="F82" s="223">
        <v>-34946.409113000002</v>
      </c>
      <c r="G82" s="223">
        <v>39.983035000000001</v>
      </c>
      <c r="H82" s="223">
        <v>999.575875</v>
      </c>
      <c r="I82" s="223">
        <v>1.3533520000000001</v>
      </c>
      <c r="J82" s="223">
        <v>403.29889600000001</v>
      </c>
      <c r="K82" s="223">
        <v>0</v>
      </c>
      <c r="L82" s="223">
        <v>0</v>
      </c>
      <c r="M82" s="223">
        <v>0</v>
      </c>
      <c r="N82" s="223">
        <v>0</v>
      </c>
      <c r="O82" s="223">
        <v>-33543.534341999999</v>
      </c>
    </row>
    <row r="83" spans="1:30" s="234" customFormat="1" ht="12.75" x14ac:dyDescent="0.2">
      <c r="A83" s="224" t="s">
        <v>724</v>
      </c>
      <c r="B83" s="225" t="s">
        <v>792</v>
      </c>
      <c r="C83" s="225"/>
      <c r="F83" s="231">
        <v>-164884.807436</v>
      </c>
      <c r="G83" s="231">
        <v>10.378149000000001</v>
      </c>
      <c r="H83" s="231">
        <v>259.45372500000002</v>
      </c>
      <c r="I83" s="231">
        <v>0.42451499999999998</v>
      </c>
      <c r="J83" s="231">
        <v>126.50547</v>
      </c>
      <c r="K83" s="231">
        <v>0</v>
      </c>
      <c r="L83" s="231">
        <v>0</v>
      </c>
      <c r="M83" s="231">
        <v>0</v>
      </c>
      <c r="N83" s="231">
        <v>0</v>
      </c>
      <c r="O83" s="231">
        <v>-164498.848241</v>
      </c>
    </row>
    <row r="84" spans="1:30" s="234" customFormat="1" ht="12.75" x14ac:dyDescent="0.2">
      <c r="A84" s="224" t="s">
        <v>737</v>
      </c>
      <c r="B84" s="225" t="s">
        <v>793</v>
      </c>
      <c r="C84" s="225"/>
      <c r="F84" s="231">
        <v>-11042.631624</v>
      </c>
      <c r="G84" s="231">
        <v>3.3798430000000002</v>
      </c>
      <c r="H84" s="231">
        <v>84.496075000000005</v>
      </c>
      <c r="I84" s="231">
        <v>0.17183699999999999</v>
      </c>
      <c r="J84" s="231">
        <v>51.207425999999998</v>
      </c>
      <c r="K84" s="231">
        <v>0</v>
      </c>
      <c r="L84" s="231">
        <v>0</v>
      </c>
      <c r="M84" s="231">
        <v>0</v>
      </c>
      <c r="N84" s="231">
        <v>0</v>
      </c>
      <c r="O84" s="231">
        <v>-10906.928123</v>
      </c>
    </row>
    <row r="85" spans="1:30" s="234" customFormat="1" ht="12.75" x14ac:dyDescent="0.2">
      <c r="A85" s="278" t="s">
        <v>758</v>
      </c>
      <c r="B85" s="279" t="s">
        <v>794</v>
      </c>
      <c r="C85" s="279"/>
      <c r="F85" s="231">
        <v>0</v>
      </c>
      <c r="G85" s="231">
        <v>20.81766</v>
      </c>
      <c r="H85" s="231">
        <v>520.44150000000002</v>
      </c>
      <c r="I85" s="231">
        <v>0.53968000000000005</v>
      </c>
      <c r="J85" s="231">
        <v>160.82463999999999</v>
      </c>
      <c r="K85" s="231">
        <v>0</v>
      </c>
      <c r="L85" s="231">
        <v>0</v>
      </c>
      <c r="M85" s="231">
        <v>0</v>
      </c>
      <c r="N85" s="231">
        <v>0</v>
      </c>
      <c r="O85" s="231">
        <v>681.26613999999995</v>
      </c>
    </row>
    <row r="86" spans="1:30" s="234" customFormat="1" ht="12.75" x14ac:dyDescent="0.2">
      <c r="A86" s="278" t="s">
        <v>764</v>
      </c>
      <c r="B86" s="279" t="s">
        <v>795</v>
      </c>
      <c r="C86" s="279"/>
      <c r="F86" s="231">
        <v>2674.9904919999999</v>
      </c>
      <c r="G86" s="231">
        <v>1.1569830000000001</v>
      </c>
      <c r="H86" s="231">
        <v>28.924575000000001</v>
      </c>
      <c r="I86" s="231">
        <v>5.5190999999999997E-2</v>
      </c>
      <c r="J86" s="231">
        <v>16.446918</v>
      </c>
      <c r="K86" s="231">
        <v>0</v>
      </c>
      <c r="L86" s="231">
        <v>0</v>
      </c>
      <c r="M86" s="231">
        <v>0</v>
      </c>
      <c r="N86" s="231">
        <v>0</v>
      </c>
      <c r="O86" s="231">
        <v>2720.361985</v>
      </c>
    </row>
    <row r="87" spans="1:30" s="234" customFormat="1" ht="12.75" x14ac:dyDescent="0.2">
      <c r="A87" s="278" t="s">
        <v>776</v>
      </c>
      <c r="B87" s="279" t="s">
        <v>796</v>
      </c>
      <c r="C87" s="279"/>
      <c r="D87" s="251"/>
      <c r="E87" s="251"/>
      <c r="F87" s="252">
        <v>3429.419394</v>
      </c>
      <c r="G87" s="252">
        <v>4.2504</v>
      </c>
      <c r="H87" s="252">
        <v>106.26</v>
      </c>
      <c r="I87" s="252">
        <v>0.162129</v>
      </c>
      <c r="J87" s="252">
        <v>48.314442</v>
      </c>
      <c r="K87" s="252">
        <v>0</v>
      </c>
      <c r="L87" s="252">
        <v>0</v>
      </c>
      <c r="M87" s="252">
        <v>0</v>
      </c>
      <c r="N87" s="252">
        <v>0</v>
      </c>
      <c r="O87" s="252">
        <v>3583.9938360000001</v>
      </c>
    </row>
    <row r="88" spans="1:30" s="234" customFormat="1" ht="12.75" x14ac:dyDescent="0.2">
      <c r="A88" s="259" t="s">
        <v>778</v>
      </c>
      <c r="B88" s="260" t="s">
        <v>797</v>
      </c>
      <c r="C88" s="260"/>
      <c r="D88" s="280"/>
      <c r="E88" s="280"/>
      <c r="F88" s="281">
        <v>134876.62006099999</v>
      </c>
      <c r="G88" s="281">
        <v>0</v>
      </c>
      <c r="H88" s="281">
        <v>0</v>
      </c>
      <c r="I88" s="281">
        <v>0</v>
      </c>
      <c r="J88" s="281">
        <v>0</v>
      </c>
      <c r="K88" s="281">
        <v>0</v>
      </c>
      <c r="L88" s="281">
        <v>0</v>
      </c>
      <c r="M88" s="281">
        <v>0</v>
      </c>
      <c r="N88" s="281">
        <v>0</v>
      </c>
      <c r="O88" s="281">
        <v>134876.62006099999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805</v>
      </c>
      <c r="J97" s="293"/>
      <c r="O97" s="293"/>
    </row>
    <row r="98" spans="1:15" s="234" customFormat="1" ht="12.75" x14ac:dyDescent="0.2">
      <c r="A98" s="234" t="s">
        <v>806</v>
      </c>
      <c r="J98" s="293"/>
      <c r="O98" s="293"/>
    </row>
    <row r="99" spans="1:15" s="234" customFormat="1" ht="12.75" x14ac:dyDescent="0.2">
      <c r="A99" s="295" t="s">
        <v>807</v>
      </c>
      <c r="J99" s="293"/>
      <c r="O99" s="293"/>
    </row>
    <row r="100" spans="1:15" x14ac:dyDescent="0.2">
      <c r="A100" s="296" t="s">
        <v>808</v>
      </c>
      <c r="B100" s="249"/>
      <c r="C100" s="249"/>
      <c r="D100" s="234"/>
    </row>
  </sheetData>
  <hyperlinks>
    <hyperlink ref="A100"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23"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809</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572728.37877867697</v>
      </c>
      <c r="G7" s="218">
        <v>4191.0030267178499</v>
      </c>
      <c r="H7" s="218">
        <v>104775.075667946</v>
      </c>
      <c r="I7" s="218">
        <v>127.946358564386</v>
      </c>
      <c r="J7" s="218">
        <v>38128.014852187101</v>
      </c>
      <c r="K7" s="218">
        <v>10064.0036943913</v>
      </c>
      <c r="L7" s="218">
        <v>1088.03684332993</v>
      </c>
      <c r="M7" s="218">
        <v>362.631619252093</v>
      </c>
      <c r="N7" s="218">
        <v>0.15104489600000001</v>
      </c>
      <c r="O7" s="218">
        <v>727146.29250067903</v>
      </c>
    </row>
    <row r="8" spans="1:16" ht="15.75" thickTop="1" x14ac:dyDescent="0.2">
      <c r="A8" s="220" t="s">
        <v>723</v>
      </c>
      <c r="B8" s="221"/>
      <c r="C8" s="221"/>
      <c r="F8" s="223">
        <v>531790.90692907094</v>
      </c>
      <c r="G8" s="223">
        <v>2115.3569770846502</v>
      </c>
      <c r="H8" s="223">
        <v>52883.924427116202</v>
      </c>
      <c r="I8" s="223">
        <v>29.632088215143401</v>
      </c>
      <c r="J8" s="223">
        <v>8830.3622881127303</v>
      </c>
      <c r="K8" s="223">
        <v>0</v>
      </c>
      <c r="L8" s="223">
        <v>0</v>
      </c>
      <c r="M8" s="223">
        <v>0</v>
      </c>
      <c r="N8" s="223">
        <v>0</v>
      </c>
      <c r="O8" s="223">
        <v>593505.19364429999</v>
      </c>
    </row>
    <row r="9" spans="1:16" x14ac:dyDescent="0.2">
      <c r="A9" s="224" t="s">
        <v>724</v>
      </c>
      <c r="B9" s="225" t="s">
        <v>725</v>
      </c>
      <c r="C9" s="225"/>
      <c r="F9" s="226">
        <v>323797.62979921501</v>
      </c>
      <c r="G9" s="226">
        <v>230.28789779106501</v>
      </c>
      <c r="H9" s="226">
        <v>5757.1974447766297</v>
      </c>
      <c r="I9" s="226">
        <v>9.0032474966945308</v>
      </c>
      <c r="J9" s="226">
        <v>2682.9677540149701</v>
      </c>
      <c r="K9" s="226">
        <v>0</v>
      </c>
      <c r="L9" s="226">
        <v>0</v>
      </c>
      <c r="M9" s="226">
        <v>0</v>
      </c>
      <c r="N9" s="226">
        <v>0</v>
      </c>
      <c r="O9" s="226">
        <v>332237.79499800701</v>
      </c>
      <c r="P9" s="227"/>
    </row>
    <row r="10" spans="1:16" x14ac:dyDescent="0.2">
      <c r="A10" s="228"/>
      <c r="B10" s="229" t="s">
        <v>726</v>
      </c>
      <c r="C10" s="230"/>
      <c r="F10" s="231">
        <v>84080.928328114896</v>
      </c>
      <c r="G10" s="231">
        <v>5.6749365117956803</v>
      </c>
      <c r="H10" s="231">
        <v>141.873412794892</v>
      </c>
      <c r="I10" s="231">
        <v>1.7450267544957201</v>
      </c>
      <c r="J10" s="231">
        <v>520.01797283972599</v>
      </c>
      <c r="K10" s="231">
        <v>0</v>
      </c>
      <c r="L10" s="231">
        <v>0</v>
      </c>
      <c r="M10" s="231">
        <v>0</v>
      </c>
      <c r="N10" s="231">
        <v>0</v>
      </c>
      <c r="O10" s="231">
        <v>84742.819713749501</v>
      </c>
    </row>
    <row r="11" spans="1:16" x14ac:dyDescent="0.2">
      <c r="A11" s="228"/>
      <c r="B11" s="232" t="s">
        <v>727</v>
      </c>
      <c r="C11" s="230"/>
      <c r="F11" s="231">
        <v>17775.197301456701</v>
      </c>
      <c r="G11" s="231">
        <v>0.35613341253554798</v>
      </c>
      <c r="H11" s="231">
        <v>8.9033353133886894</v>
      </c>
      <c r="I11" s="231">
        <v>0.12050134480809301</v>
      </c>
      <c r="J11" s="231">
        <v>35.909400752811599</v>
      </c>
      <c r="K11" s="231">
        <v>0</v>
      </c>
      <c r="L11" s="231">
        <v>0</v>
      </c>
      <c r="M11" s="231">
        <v>0</v>
      </c>
      <c r="N11" s="231">
        <v>0</v>
      </c>
      <c r="O11" s="231">
        <v>17820.010037522901</v>
      </c>
    </row>
    <row r="12" spans="1:16" s="234" customFormat="1" ht="12.75" x14ac:dyDescent="0.2">
      <c r="A12" s="228"/>
      <c r="B12" s="232" t="s">
        <v>728</v>
      </c>
      <c r="C12" s="233"/>
      <c r="F12" s="231">
        <v>99522.042133720504</v>
      </c>
      <c r="G12" s="231">
        <v>91.723781561652899</v>
      </c>
      <c r="H12" s="231">
        <v>2293.0945390413199</v>
      </c>
      <c r="I12" s="231">
        <v>2.11195882898476</v>
      </c>
      <c r="J12" s="231">
        <v>629.36373103745802</v>
      </c>
      <c r="K12" s="231">
        <v>0</v>
      </c>
      <c r="L12" s="231">
        <v>0</v>
      </c>
      <c r="M12" s="231">
        <v>0</v>
      </c>
      <c r="N12" s="231">
        <v>0</v>
      </c>
      <c r="O12" s="231">
        <v>102444.500403799</v>
      </c>
    </row>
    <row r="13" spans="1:16" s="234" customFormat="1" ht="12.75" x14ac:dyDescent="0.2">
      <c r="A13" s="228"/>
      <c r="B13" s="229" t="s">
        <v>729</v>
      </c>
      <c r="C13" s="229"/>
      <c r="F13" s="231">
        <v>44374.404392049997</v>
      </c>
      <c r="G13" s="231">
        <v>2.3989187123472999</v>
      </c>
      <c r="H13" s="231">
        <v>59.972967808682498</v>
      </c>
      <c r="I13" s="231">
        <v>1.8340067934277899</v>
      </c>
      <c r="J13" s="231">
        <v>546.53402444148105</v>
      </c>
      <c r="K13" s="231">
        <v>0</v>
      </c>
      <c r="L13" s="231">
        <v>0</v>
      </c>
      <c r="M13" s="231">
        <v>0</v>
      </c>
      <c r="N13" s="231">
        <v>0</v>
      </c>
      <c r="O13" s="231">
        <v>44980.911384300103</v>
      </c>
    </row>
    <row r="14" spans="1:16" s="237" customFormat="1" ht="12" x14ac:dyDescent="0.2">
      <c r="A14" s="235"/>
      <c r="B14" s="230"/>
      <c r="C14" s="236" t="s">
        <v>2</v>
      </c>
      <c r="F14" s="238">
        <v>5997.2038426211002</v>
      </c>
      <c r="G14" s="238">
        <v>0.138702721855363</v>
      </c>
      <c r="H14" s="238">
        <v>3.4675680463840801</v>
      </c>
      <c r="I14" s="238">
        <v>0.124643858764461</v>
      </c>
      <c r="J14" s="238">
        <v>37.143869911809297</v>
      </c>
      <c r="K14" s="238">
        <v>0</v>
      </c>
      <c r="L14" s="238">
        <v>0</v>
      </c>
      <c r="M14" s="238">
        <v>0</v>
      </c>
      <c r="N14" s="238">
        <v>0</v>
      </c>
      <c r="O14" s="238">
        <v>6037.8152805792997</v>
      </c>
    </row>
    <row r="15" spans="1:16" s="237" customFormat="1" ht="12" x14ac:dyDescent="0.2">
      <c r="A15" s="235"/>
      <c r="B15" s="230"/>
      <c r="C15" s="236" t="s">
        <v>730</v>
      </c>
      <c r="F15" s="238">
        <v>2901.3752855962498</v>
      </c>
      <c r="G15" s="238">
        <v>6.4159657729250405E-2</v>
      </c>
      <c r="H15" s="238">
        <v>1.6039914432312601</v>
      </c>
      <c r="I15" s="238">
        <v>5.3516874486143298E-2</v>
      </c>
      <c r="J15" s="238">
        <v>15.948028596870699</v>
      </c>
      <c r="K15" s="238">
        <v>0</v>
      </c>
      <c r="L15" s="238">
        <v>0</v>
      </c>
      <c r="M15" s="238">
        <v>0</v>
      </c>
      <c r="N15" s="238">
        <v>0</v>
      </c>
      <c r="O15" s="238">
        <v>2918.92730563635</v>
      </c>
    </row>
    <row r="16" spans="1:16" s="237" customFormat="1" ht="12" x14ac:dyDescent="0.2">
      <c r="A16" s="235"/>
      <c r="B16" s="230"/>
      <c r="C16" s="236" t="s">
        <v>731</v>
      </c>
      <c r="F16" s="238">
        <v>12345.289495168099</v>
      </c>
      <c r="G16" s="238">
        <v>0.243205193196145</v>
      </c>
      <c r="H16" s="238">
        <v>6.0801298299036199</v>
      </c>
      <c r="I16" s="238">
        <v>0.213477848358582</v>
      </c>
      <c r="J16" s="238">
        <v>63.616398810857298</v>
      </c>
      <c r="K16" s="238">
        <v>0</v>
      </c>
      <c r="L16" s="238">
        <v>0</v>
      </c>
      <c r="M16" s="238">
        <v>0</v>
      </c>
      <c r="N16" s="238">
        <v>0</v>
      </c>
      <c r="O16" s="238">
        <v>12414.9860238088</v>
      </c>
    </row>
    <row r="17" spans="1:16" s="237" customFormat="1" ht="12" x14ac:dyDescent="0.2">
      <c r="A17" s="235"/>
      <c r="B17" s="230"/>
      <c r="C17" s="236" t="s">
        <v>732</v>
      </c>
      <c r="F17" s="238">
        <v>5762.5447247694401</v>
      </c>
      <c r="G17" s="238">
        <v>1.10447961592096</v>
      </c>
      <c r="H17" s="238">
        <v>27.611990398023998</v>
      </c>
      <c r="I17" s="238">
        <v>0.885773889072351</v>
      </c>
      <c r="J17" s="238">
        <v>263.96061894356097</v>
      </c>
      <c r="K17" s="238">
        <v>0</v>
      </c>
      <c r="L17" s="238">
        <v>0</v>
      </c>
      <c r="M17" s="238">
        <v>0</v>
      </c>
      <c r="N17" s="238">
        <v>0</v>
      </c>
      <c r="O17" s="238">
        <v>6054.1173341110298</v>
      </c>
    </row>
    <row r="18" spans="1:16" s="237" customFormat="1" ht="12" x14ac:dyDescent="0.2">
      <c r="A18" s="235"/>
      <c r="B18" s="230"/>
      <c r="C18" s="236" t="s">
        <v>35</v>
      </c>
      <c r="F18" s="238">
        <v>4024.9849263999999</v>
      </c>
      <c r="G18" s="238">
        <v>0.192510799107694</v>
      </c>
      <c r="H18" s="238">
        <v>4.8127699776923496</v>
      </c>
      <c r="I18" s="238">
        <v>5.30955493911947E-2</v>
      </c>
      <c r="J18" s="238">
        <v>15.822473718575999</v>
      </c>
      <c r="K18" s="238">
        <v>0</v>
      </c>
      <c r="L18" s="238">
        <v>0</v>
      </c>
      <c r="M18" s="238">
        <v>0</v>
      </c>
      <c r="N18" s="238">
        <v>0</v>
      </c>
      <c r="O18" s="238">
        <v>4045.6201700962702</v>
      </c>
    </row>
    <row r="19" spans="1:16" s="237" customFormat="1" ht="12" x14ac:dyDescent="0.2">
      <c r="A19" s="235"/>
      <c r="B19" s="230"/>
      <c r="C19" s="236" t="s">
        <v>733</v>
      </c>
      <c r="F19" s="238">
        <v>13343.006117495101</v>
      </c>
      <c r="G19" s="238">
        <v>0.65586072453788702</v>
      </c>
      <c r="H19" s="238">
        <v>16.3965181134472</v>
      </c>
      <c r="I19" s="238">
        <v>0.50349877335505699</v>
      </c>
      <c r="J19" s="238">
        <v>150.042634459807</v>
      </c>
      <c r="K19" s="238">
        <v>0</v>
      </c>
      <c r="L19" s="238">
        <v>0</v>
      </c>
      <c r="M19" s="238">
        <v>0</v>
      </c>
      <c r="N19" s="238">
        <v>0</v>
      </c>
      <c r="O19" s="238">
        <v>13509.4452700683</v>
      </c>
    </row>
    <row r="20" spans="1:16" s="234" customFormat="1" ht="12.75" x14ac:dyDescent="0.2">
      <c r="A20" s="228"/>
      <c r="B20" s="229" t="s">
        <v>734</v>
      </c>
      <c r="C20" s="239"/>
      <c r="F20" s="231">
        <v>1285.9412400000001</v>
      </c>
      <c r="G20" s="231">
        <v>2.2606500000000002E-2</v>
      </c>
      <c r="H20" s="231">
        <v>0.56516250000000001</v>
      </c>
      <c r="I20" s="231">
        <v>3.3468999999999999E-2</v>
      </c>
      <c r="J20" s="231">
        <v>9.9737620000000007</v>
      </c>
      <c r="K20" s="231">
        <v>0</v>
      </c>
      <c r="L20" s="231">
        <v>0</v>
      </c>
      <c r="M20" s="231">
        <v>0</v>
      </c>
      <c r="N20" s="231">
        <v>0</v>
      </c>
      <c r="O20" s="231">
        <v>1296.4801645</v>
      </c>
    </row>
    <row r="21" spans="1:16" s="234" customFormat="1" ht="12.75" x14ac:dyDescent="0.2">
      <c r="A21" s="228"/>
      <c r="B21" s="229" t="s">
        <v>735</v>
      </c>
      <c r="C21" s="229"/>
      <c r="F21" s="231">
        <v>31393.117326094001</v>
      </c>
      <c r="G21" s="231">
        <v>0.73402792588953303</v>
      </c>
      <c r="H21" s="231">
        <v>18.350698147238301</v>
      </c>
      <c r="I21" s="231">
        <v>0.76789998395820003</v>
      </c>
      <c r="J21" s="231">
        <v>228.834195219544</v>
      </c>
      <c r="K21" s="231">
        <v>0</v>
      </c>
      <c r="L21" s="231">
        <v>0</v>
      </c>
      <c r="M21" s="231">
        <v>0</v>
      </c>
      <c r="N21" s="231">
        <v>0</v>
      </c>
      <c r="O21" s="231">
        <v>31640.302219460798</v>
      </c>
    </row>
    <row r="22" spans="1:16" s="234" customFormat="1" ht="12.75" x14ac:dyDescent="0.2">
      <c r="A22" s="228"/>
      <c r="B22" s="229" t="s">
        <v>181</v>
      </c>
      <c r="C22" s="229"/>
      <c r="F22" s="231">
        <v>41690.616900000001</v>
      </c>
      <c r="G22" s="231">
        <v>129.31133139118899</v>
      </c>
      <c r="H22" s="231">
        <v>3232.7832847797099</v>
      </c>
      <c r="I22" s="231">
        <v>2.2938752127325102</v>
      </c>
      <c r="J22" s="231">
        <v>683.57481339428796</v>
      </c>
      <c r="K22" s="231">
        <v>0</v>
      </c>
      <c r="L22" s="231">
        <v>0</v>
      </c>
      <c r="M22" s="231">
        <v>0</v>
      </c>
      <c r="N22" s="231">
        <v>0</v>
      </c>
      <c r="O22" s="231">
        <v>45606.974998174002</v>
      </c>
    </row>
    <row r="23" spans="1:16" s="234" customFormat="1" ht="12.75" x14ac:dyDescent="0.2">
      <c r="A23" s="228"/>
      <c r="B23" s="229" t="s">
        <v>736</v>
      </c>
      <c r="C23" s="229"/>
      <c r="F23" s="231">
        <v>3675.38217777913</v>
      </c>
      <c r="G23" s="231">
        <v>6.6161775655629099E-2</v>
      </c>
      <c r="H23" s="231">
        <v>1.6540443913907299</v>
      </c>
      <c r="I23" s="231">
        <v>9.6509578287453004E-2</v>
      </c>
      <c r="J23" s="231">
        <v>28.759854329661</v>
      </c>
      <c r="K23" s="231">
        <v>0</v>
      </c>
      <c r="L23" s="231">
        <v>0</v>
      </c>
      <c r="M23" s="231">
        <v>0</v>
      </c>
      <c r="N23" s="231">
        <v>0</v>
      </c>
      <c r="O23" s="231">
        <v>3705.7960765001799</v>
      </c>
    </row>
    <row r="24" spans="1:16" s="240" customFormat="1" ht="14.25" x14ac:dyDescent="0.2">
      <c r="A24" s="224" t="s">
        <v>737</v>
      </c>
      <c r="B24" s="225" t="s">
        <v>738</v>
      </c>
      <c r="C24" s="225"/>
      <c r="F24" s="226">
        <v>194858.87305949201</v>
      </c>
      <c r="G24" s="226">
        <v>25.095707781804901</v>
      </c>
      <c r="H24" s="226">
        <v>627.39269454512305</v>
      </c>
      <c r="I24" s="226">
        <v>20.489426093783401</v>
      </c>
      <c r="J24" s="226">
        <v>6105.8489759474596</v>
      </c>
      <c r="K24" s="226">
        <v>0</v>
      </c>
      <c r="L24" s="226">
        <v>0</v>
      </c>
      <c r="M24" s="226">
        <v>0</v>
      </c>
      <c r="N24" s="226">
        <v>0</v>
      </c>
      <c r="O24" s="226">
        <v>201592.11472998501</v>
      </c>
      <c r="P24" s="241"/>
    </row>
    <row r="25" spans="1:16" s="234" customFormat="1" ht="12.75" x14ac:dyDescent="0.2">
      <c r="A25" s="228"/>
      <c r="B25" s="232" t="s">
        <v>739</v>
      </c>
      <c r="C25" s="229"/>
      <c r="F25" s="231">
        <v>7156.1768921542298</v>
      </c>
      <c r="G25" s="231">
        <v>0.29273483739912598</v>
      </c>
      <c r="H25" s="231">
        <v>7.3183709349781401</v>
      </c>
      <c r="I25" s="231">
        <v>0.20753459942139801</v>
      </c>
      <c r="J25" s="231">
        <v>61.845310627576701</v>
      </c>
      <c r="K25" s="231">
        <v>0</v>
      </c>
      <c r="L25" s="231">
        <v>0</v>
      </c>
      <c r="M25" s="231">
        <v>0</v>
      </c>
      <c r="N25" s="231">
        <v>0</v>
      </c>
      <c r="O25" s="231">
        <v>7225.3405737167895</v>
      </c>
    </row>
    <row r="26" spans="1:16" s="234" customFormat="1" ht="12.75" x14ac:dyDescent="0.2">
      <c r="A26" s="228"/>
      <c r="B26" s="229" t="s">
        <v>740</v>
      </c>
      <c r="C26" s="229"/>
      <c r="F26" s="231">
        <v>141249.14261076599</v>
      </c>
      <c r="G26" s="231">
        <v>9.1102927768070305</v>
      </c>
      <c r="H26" s="231">
        <v>227.757319420176</v>
      </c>
      <c r="I26" s="231">
        <v>8.2911139307159196</v>
      </c>
      <c r="J26" s="231">
        <v>2470.7519513533398</v>
      </c>
      <c r="K26" s="231">
        <v>0</v>
      </c>
      <c r="L26" s="231">
        <v>0</v>
      </c>
      <c r="M26" s="231">
        <v>0</v>
      </c>
      <c r="N26" s="231">
        <v>0</v>
      </c>
      <c r="O26" s="231">
        <v>143947.651881539</v>
      </c>
    </row>
    <row r="27" spans="1:16" s="237" customFormat="1" ht="12" x14ac:dyDescent="0.2">
      <c r="A27" s="235"/>
      <c r="B27" s="230"/>
      <c r="C27" s="236" t="s">
        <v>741</v>
      </c>
      <c r="F27" s="238">
        <v>34381.751181686297</v>
      </c>
      <c r="G27" s="238">
        <v>2.8649536974154599</v>
      </c>
      <c r="H27" s="238">
        <v>71.623842435386607</v>
      </c>
      <c r="I27" s="238">
        <v>1.90325156207628</v>
      </c>
      <c r="J27" s="238">
        <v>567.16896549873297</v>
      </c>
      <c r="K27" s="238">
        <v>0</v>
      </c>
      <c r="L27" s="238">
        <v>0</v>
      </c>
      <c r="M27" s="238">
        <v>0</v>
      </c>
      <c r="N27" s="238">
        <v>0</v>
      </c>
      <c r="O27" s="238">
        <v>35020.543989620499</v>
      </c>
    </row>
    <row r="28" spans="1:16" s="237" customFormat="1" ht="12" x14ac:dyDescent="0.2">
      <c r="A28" s="235"/>
      <c r="B28" s="230"/>
      <c r="C28" s="236" t="s">
        <v>742</v>
      </c>
      <c r="F28" s="238">
        <v>43177.4435442705</v>
      </c>
      <c r="G28" s="238">
        <v>3.5753740863864798</v>
      </c>
      <c r="H28" s="238">
        <v>89.3843521596621</v>
      </c>
      <c r="I28" s="238">
        <v>2.3637488320046001</v>
      </c>
      <c r="J28" s="238">
        <v>704.39715193737095</v>
      </c>
      <c r="K28" s="238">
        <v>0</v>
      </c>
      <c r="L28" s="238">
        <v>0</v>
      </c>
      <c r="M28" s="238">
        <v>0</v>
      </c>
      <c r="N28" s="238">
        <v>0</v>
      </c>
      <c r="O28" s="238">
        <v>43971.225048367502</v>
      </c>
    </row>
    <row r="29" spans="1:16" s="237" customFormat="1" ht="12" x14ac:dyDescent="0.2">
      <c r="A29" s="235"/>
      <c r="B29" s="230"/>
      <c r="C29" s="236" t="s">
        <v>743</v>
      </c>
      <c r="F29" s="238">
        <v>13382.2753426448</v>
      </c>
      <c r="G29" s="238">
        <v>0.48131961663610401</v>
      </c>
      <c r="H29" s="238">
        <v>12.032990415902599</v>
      </c>
      <c r="I29" s="238">
        <v>1.1639463089106601</v>
      </c>
      <c r="J29" s="238">
        <v>346.856000055376</v>
      </c>
      <c r="K29" s="238">
        <v>0</v>
      </c>
      <c r="L29" s="238">
        <v>0</v>
      </c>
      <c r="M29" s="238">
        <v>0</v>
      </c>
      <c r="N29" s="238">
        <v>0</v>
      </c>
      <c r="O29" s="238">
        <v>13741.164333115999</v>
      </c>
    </row>
    <row r="30" spans="1:16" s="237" customFormat="1" ht="12" x14ac:dyDescent="0.2">
      <c r="A30" s="235"/>
      <c r="B30" s="230"/>
      <c r="C30" s="236" t="s">
        <v>744</v>
      </c>
      <c r="F30" s="238">
        <v>264.36634913344102</v>
      </c>
      <c r="G30" s="238">
        <v>0.10147100445474</v>
      </c>
      <c r="H30" s="238">
        <v>2.53677511136851</v>
      </c>
      <c r="I30" s="238">
        <v>4.9748026352236701E-3</v>
      </c>
      <c r="J30" s="238">
        <v>1.48249118529665</v>
      </c>
      <c r="K30" s="238">
        <v>0</v>
      </c>
      <c r="L30" s="238">
        <v>0</v>
      </c>
      <c r="M30" s="238">
        <v>0</v>
      </c>
      <c r="N30" s="238">
        <v>0</v>
      </c>
      <c r="O30" s="238">
        <v>268.38561543010701</v>
      </c>
      <c r="P30" s="242"/>
    </row>
    <row r="31" spans="1:16" s="237" customFormat="1" ht="12" x14ac:dyDescent="0.2">
      <c r="A31" s="235"/>
      <c r="B31" s="230"/>
      <c r="C31" s="236" t="s">
        <v>745</v>
      </c>
      <c r="F31" s="238">
        <v>807.20070919783404</v>
      </c>
      <c r="G31" s="238">
        <v>1.56851879509604E-2</v>
      </c>
      <c r="H31" s="238">
        <v>0.39212969877400899</v>
      </c>
      <c r="I31" s="238">
        <v>6.6540936614559107E-2</v>
      </c>
      <c r="J31" s="238">
        <v>19.8291991111386</v>
      </c>
      <c r="K31" s="238">
        <v>0</v>
      </c>
      <c r="L31" s="238">
        <v>0</v>
      </c>
      <c r="M31" s="238">
        <v>0</v>
      </c>
      <c r="N31" s="238">
        <v>0</v>
      </c>
      <c r="O31" s="238">
        <v>827.42203800774701</v>
      </c>
    </row>
    <row r="32" spans="1:16" s="237" customFormat="1" ht="12" x14ac:dyDescent="0.2">
      <c r="A32" s="235"/>
      <c r="B32" s="230"/>
      <c r="C32" s="236" t="s">
        <v>746</v>
      </c>
      <c r="D32" s="243"/>
      <c r="E32" s="243"/>
      <c r="F32" s="244">
        <v>517.106725329813</v>
      </c>
      <c r="G32" s="244">
        <v>1.33499105572238E-2</v>
      </c>
      <c r="H32" s="244">
        <v>0.33374776393059502</v>
      </c>
      <c r="I32" s="244">
        <v>4.2551402876626697E-2</v>
      </c>
      <c r="J32" s="244">
        <v>12.6803180572347</v>
      </c>
      <c r="K32" s="244">
        <v>0</v>
      </c>
      <c r="L32" s="244">
        <v>0</v>
      </c>
      <c r="M32" s="244">
        <v>0</v>
      </c>
      <c r="N32" s="244">
        <v>0</v>
      </c>
      <c r="O32" s="244">
        <v>530.12079115097799</v>
      </c>
    </row>
    <row r="33" spans="1:15" s="237" customFormat="1" ht="12" x14ac:dyDescent="0.2">
      <c r="A33" s="235"/>
      <c r="B33" s="230"/>
      <c r="C33" s="236" t="s">
        <v>747</v>
      </c>
      <c r="D33" s="243"/>
      <c r="E33" s="243"/>
      <c r="F33" s="244">
        <v>48695.115284103304</v>
      </c>
      <c r="G33" s="244">
        <v>2.04693712783985</v>
      </c>
      <c r="H33" s="244">
        <v>51.173428195996202</v>
      </c>
      <c r="I33" s="244">
        <v>2.7456553337315799</v>
      </c>
      <c r="J33" s="244">
        <v>818.20528945200999</v>
      </c>
      <c r="K33" s="244">
        <v>0</v>
      </c>
      <c r="L33" s="244">
        <v>0</v>
      </c>
      <c r="M33" s="244">
        <v>0</v>
      </c>
      <c r="N33" s="244">
        <v>0</v>
      </c>
      <c r="O33" s="244">
        <v>49564.4940017513</v>
      </c>
    </row>
    <row r="34" spans="1:15" s="237" customFormat="1" ht="12" x14ac:dyDescent="0.2">
      <c r="A34" s="235"/>
      <c r="B34" s="230"/>
      <c r="C34" s="245" t="s">
        <v>748</v>
      </c>
      <c r="D34" s="243"/>
      <c r="E34" s="243"/>
      <c r="F34" s="244">
        <v>23.8834743995229</v>
      </c>
      <c r="G34" s="244">
        <v>1.1202145566210801E-2</v>
      </c>
      <c r="H34" s="244">
        <v>0.28005363915526998</v>
      </c>
      <c r="I34" s="244">
        <v>4.4475186638761298E-4</v>
      </c>
      <c r="J34" s="244">
        <v>0.132536056183509</v>
      </c>
      <c r="K34" s="244">
        <v>0</v>
      </c>
      <c r="L34" s="244">
        <v>0</v>
      </c>
      <c r="M34" s="244">
        <v>0</v>
      </c>
      <c r="N34" s="244">
        <v>0</v>
      </c>
      <c r="O34" s="244">
        <v>24.296064094861698</v>
      </c>
    </row>
    <row r="35" spans="1:15" s="249" customFormat="1" ht="12.75" x14ac:dyDescent="0.2">
      <c r="A35" s="228"/>
      <c r="B35" s="229" t="s">
        <v>749</v>
      </c>
      <c r="C35" s="246"/>
      <c r="D35" s="247"/>
      <c r="E35" s="247"/>
      <c r="F35" s="248">
        <v>6706.6779690672402</v>
      </c>
      <c r="G35" s="248">
        <v>0.38332841575710402</v>
      </c>
      <c r="H35" s="248">
        <v>9.5832103939275903</v>
      </c>
      <c r="I35" s="248">
        <v>2.6426813298221501</v>
      </c>
      <c r="J35" s="248">
        <v>787.51903628700097</v>
      </c>
      <c r="K35" s="248">
        <v>0</v>
      </c>
      <c r="L35" s="248">
        <v>0</v>
      </c>
      <c r="M35" s="248">
        <v>0</v>
      </c>
      <c r="N35" s="248">
        <v>0</v>
      </c>
      <c r="O35" s="248">
        <v>7503.7802157481701</v>
      </c>
    </row>
    <row r="36" spans="1:15" s="249" customFormat="1" ht="12.75" x14ac:dyDescent="0.2">
      <c r="A36" s="228"/>
      <c r="B36" s="232" t="s">
        <v>750</v>
      </c>
      <c r="C36" s="246"/>
      <c r="D36" s="247"/>
      <c r="E36" s="247"/>
      <c r="F36" s="248">
        <v>4799.5177213177103</v>
      </c>
      <c r="G36" s="248">
        <v>0.43320944587923699</v>
      </c>
      <c r="H36" s="248">
        <v>10.8302361469809</v>
      </c>
      <c r="I36" s="248">
        <v>0.12524526610591599</v>
      </c>
      <c r="J36" s="248">
        <v>37.323089299562803</v>
      </c>
      <c r="K36" s="248">
        <v>0</v>
      </c>
      <c r="L36" s="248">
        <v>0</v>
      </c>
      <c r="M36" s="248">
        <v>0</v>
      </c>
      <c r="N36" s="248">
        <v>0</v>
      </c>
      <c r="O36" s="248">
        <v>4847.6710467642497</v>
      </c>
    </row>
    <row r="37" spans="1:15" s="234" customFormat="1" ht="12.75" x14ac:dyDescent="0.2">
      <c r="A37" s="228"/>
      <c r="B37" s="229" t="s">
        <v>751</v>
      </c>
      <c r="C37" s="250"/>
      <c r="D37" s="251"/>
      <c r="E37" s="251"/>
      <c r="F37" s="252">
        <v>34947.3578661875</v>
      </c>
      <c r="G37" s="252">
        <v>14.8761423059624</v>
      </c>
      <c r="H37" s="252">
        <v>371.90355764906002</v>
      </c>
      <c r="I37" s="252">
        <v>9.2228509677180401</v>
      </c>
      <c r="J37" s="252">
        <v>2748.4095883799801</v>
      </c>
      <c r="K37" s="252">
        <v>0</v>
      </c>
      <c r="L37" s="252">
        <v>0</v>
      </c>
      <c r="M37" s="252">
        <v>0</v>
      </c>
      <c r="N37" s="252">
        <v>0</v>
      </c>
      <c r="O37" s="252">
        <v>38067.671012216597</v>
      </c>
    </row>
    <row r="38" spans="1:15" s="237" customFormat="1" ht="12" x14ac:dyDescent="0.2">
      <c r="A38" s="235"/>
      <c r="B38" s="230"/>
      <c r="C38" s="236" t="s">
        <v>752</v>
      </c>
      <c r="F38" s="238">
        <v>10408.0054323729</v>
      </c>
      <c r="G38" s="238">
        <v>0.65432101572022405</v>
      </c>
      <c r="H38" s="238">
        <v>16.358025393005601</v>
      </c>
      <c r="I38" s="238">
        <v>4.0868710445569896</v>
      </c>
      <c r="J38" s="238">
        <v>1217.88757127798</v>
      </c>
      <c r="K38" s="238">
        <v>0</v>
      </c>
      <c r="L38" s="238">
        <v>0</v>
      </c>
      <c r="M38" s="238">
        <v>0</v>
      </c>
      <c r="N38" s="238">
        <v>0</v>
      </c>
      <c r="O38" s="238">
        <v>11642.2510290439</v>
      </c>
    </row>
    <row r="39" spans="1:15" s="237" customFormat="1" ht="12" x14ac:dyDescent="0.2">
      <c r="A39" s="235"/>
      <c r="B39" s="230"/>
      <c r="C39" s="236" t="s">
        <v>753</v>
      </c>
      <c r="F39" s="238">
        <v>1906.6207231512401</v>
      </c>
      <c r="G39" s="238">
        <v>1.6990554093128001</v>
      </c>
      <c r="H39" s="238">
        <v>42.476385232819901</v>
      </c>
      <c r="I39" s="238">
        <v>0.42198303990114899</v>
      </c>
      <c r="J39" s="238">
        <v>125.750945890542</v>
      </c>
      <c r="K39" s="238">
        <v>0</v>
      </c>
      <c r="L39" s="238">
        <v>0</v>
      </c>
      <c r="M39" s="238">
        <v>0</v>
      </c>
      <c r="N39" s="238">
        <v>0</v>
      </c>
      <c r="O39" s="238">
        <v>2074.8480542746001</v>
      </c>
    </row>
    <row r="40" spans="1:15" s="237" customFormat="1" ht="12" x14ac:dyDescent="0.2">
      <c r="A40" s="235"/>
      <c r="B40" s="230"/>
      <c r="C40" s="236" t="s">
        <v>754</v>
      </c>
      <c r="F40" s="238">
        <v>10962.1675091947</v>
      </c>
      <c r="G40" s="238">
        <v>1.0137649713166801</v>
      </c>
      <c r="H40" s="238">
        <v>25.344124282917001</v>
      </c>
      <c r="I40" s="238">
        <v>4.0817776917522597</v>
      </c>
      <c r="J40" s="238">
        <v>1216.36975214217</v>
      </c>
      <c r="K40" s="238">
        <v>0</v>
      </c>
      <c r="L40" s="238">
        <v>0</v>
      </c>
      <c r="M40" s="238">
        <v>0</v>
      </c>
      <c r="N40" s="238">
        <v>0</v>
      </c>
      <c r="O40" s="238">
        <v>12203.881385619799</v>
      </c>
    </row>
    <row r="41" spans="1:15" s="237" customFormat="1" ht="12" x14ac:dyDescent="0.2">
      <c r="A41" s="235"/>
      <c r="B41" s="230"/>
      <c r="C41" s="236" t="s">
        <v>755</v>
      </c>
      <c r="F41" s="238">
        <v>614.35275128811702</v>
      </c>
      <c r="G41" s="238">
        <v>0.53326404868320898</v>
      </c>
      <c r="H41" s="238">
        <v>13.3316012170802</v>
      </c>
      <c r="I41" s="238">
        <v>8.2710607386606003E-2</v>
      </c>
      <c r="J41" s="238">
        <v>24.6477610012086</v>
      </c>
      <c r="K41" s="238">
        <v>0</v>
      </c>
      <c r="L41" s="238">
        <v>0</v>
      </c>
      <c r="M41" s="238">
        <v>0</v>
      </c>
      <c r="N41" s="238">
        <v>0</v>
      </c>
      <c r="O41" s="238">
        <v>652.33211350640602</v>
      </c>
    </row>
    <row r="42" spans="1:15" s="237" customFormat="1" ht="12" x14ac:dyDescent="0.2">
      <c r="A42" s="235"/>
      <c r="B42" s="230"/>
      <c r="C42" s="236" t="s">
        <v>756</v>
      </c>
      <c r="F42" s="238">
        <v>3417.1803501805398</v>
      </c>
      <c r="G42" s="238">
        <v>3.3077600859295</v>
      </c>
      <c r="H42" s="238">
        <v>82.694002148237502</v>
      </c>
      <c r="I42" s="238">
        <v>0.34413558412102901</v>
      </c>
      <c r="J42" s="238">
        <v>102.55240406806701</v>
      </c>
      <c r="K42" s="238">
        <v>0</v>
      </c>
      <c r="L42" s="238">
        <v>0</v>
      </c>
      <c r="M42" s="238">
        <v>0</v>
      </c>
      <c r="N42" s="238">
        <v>0</v>
      </c>
      <c r="O42" s="238">
        <v>3602.4267563968501</v>
      </c>
    </row>
    <row r="43" spans="1:15" s="237" customFormat="1" ht="12" x14ac:dyDescent="0.2">
      <c r="A43" s="235"/>
      <c r="B43" s="230"/>
      <c r="C43" s="253" t="s">
        <v>757</v>
      </c>
      <c r="F43" s="238">
        <v>7639.0311000000002</v>
      </c>
      <c r="G43" s="238">
        <v>7.6679767749999996</v>
      </c>
      <c r="H43" s="238">
        <v>191.69941937499999</v>
      </c>
      <c r="I43" s="238">
        <v>0.205373</v>
      </c>
      <c r="J43" s="238">
        <v>61.201154000000002</v>
      </c>
      <c r="K43" s="238">
        <v>0</v>
      </c>
      <c r="L43" s="238">
        <v>0</v>
      </c>
      <c r="M43" s="238">
        <v>0</v>
      </c>
      <c r="N43" s="238">
        <v>0</v>
      </c>
      <c r="O43" s="238">
        <v>7891.9316733750002</v>
      </c>
    </row>
    <row r="44" spans="1:15" s="240" customFormat="1" ht="12.75" x14ac:dyDescent="0.2">
      <c r="A44" s="224" t="s">
        <v>758</v>
      </c>
      <c r="B44" s="225" t="s">
        <v>759</v>
      </c>
      <c r="C44" s="225"/>
      <c r="F44" s="226">
        <v>13134.303270363</v>
      </c>
      <c r="G44" s="226">
        <v>1859.97337151178</v>
      </c>
      <c r="H44" s="226">
        <v>46499.334287794503</v>
      </c>
      <c r="I44" s="226">
        <v>0.13941462466544799</v>
      </c>
      <c r="J44" s="226">
        <v>41.5455581503034</v>
      </c>
      <c r="K44" s="226">
        <v>0</v>
      </c>
      <c r="L44" s="226">
        <v>0</v>
      </c>
      <c r="M44" s="226">
        <v>0</v>
      </c>
      <c r="N44" s="226">
        <v>0</v>
      </c>
      <c r="O44" s="226">
        <v>59675.183116307802</v>
      </c>
    </row>
    <row r="45" spans="1:15" s="234" customFormat="1" ht="12.75" x14ac:dyDescent="0.2">
      <c r="A45" s="228"/>
      <c r="B45" s="229" t="s">
        <v>760</v>
      </c>
      <c r="C45" s="229"/>
      <c r="F45" s="231">
        <v>0</v>
      </c>
      <c r="G45" s="231">
        <v>51.687006706785198</v>
      </c>
      <c r="H45" s="231">
        <v>1292.1751676696299</v>
      </c>
      <c r="I45" s="231">
        <v>0</v>
      </c>
      <c r="J45" s="231">
        <v>0</v>
      </c>
      <c r="K45" s="231">
        <v>0</v>
      </c>
      <c r="L45" s="231">
        <v>0</v>
      </c>
      <c r="M45" s="231">
        <v>0</v>
      </c>
      <c r="N45" s="231">
        <v>0</v>
      </c>
      <c r="O45" s="231">
        <v>1292.1751676696299</v>
      </c>
    </row>
    <row r="46" spans="1:15" s="234" customFormat="1" ht="12.75" x14ac:dyDescent="0.2">
      <c r="A46" s="228"/>
      <c r="B46" s="229" t="s">
        <v>761</v>
      </c>
      <c r="C46" s="229"/>
      <c r="F46" s="231">
        <v>13134.303270363</v>
      </c>
      <c r="G46" s="231">
        <v>1808.2863648049899</v>
      </c>
      <c r="H46" s="231">
        <v>45207.159120124801</v>
      </c>
      <c r="I46" s="231">
        <v>0.13941462466544799</v>
      </c>
      <c r="J46" s="231">
        <v>41.5455581503034</v>
      </c>
      <c r="K46" s="231">
        <v>0</v>
      </c>
      <c r="L46" s="231">
        <v>0</v>
      </c>
      <c r="M46" s="231">
        <v>0</v>
      </c>
      <c r="N46" s="231">
        <v>0</v>
      </c>
      <c r="O46" s="231">
        <v>58383.007948638202</v>
      </c>
    </row>
    <row r="47" spans="1:15" s="237" customFormat="1" ht="12" x14ac:dyDescent="0.2">
      <c r="A47" s="254"/>
      <c r="B47" s="255"/>
      <c r="C47" s="230" t="s">
        <v>762</v>
      </c>
      <c r="F47" s="238">
        <v>210.62913710169599</v>
      </c>
      <c r="G47" s="238">
        <v>289.05569718233198</v>
      </c>
      <c r="H47" s="238">
        <v>7226.3924295583001</v>
      </c>
      <c r="I47" s="238">
        <v>0.11395991693800001</v>
      </c>
      <c r="J47" s="238">
        <v>33.960055247523997</v>
      </c>
      <c r="K47" s="238">
        <v>0</v>
      </c>
      <c r="L47" s="238">
        <v>0</v>
      </c>
      <c r="M47" s="238">
        <v>0</v>
      </c>
      <c r="N47" s="238">
        <v>0</v>
      </c>
      <c r="O47" s="238">
        <v>7470.9816219075201</v>
      </c>
    </row>
    <row r="48" spans="1:15" s="237" customFormat="1" ht="12" x14ac:dyDescent="0.2">
      <c r="A48" s="254"/>
      <c r="B48" s="255"/>
      <c r="C48" s="230" t="s">
        <v>763</v>
      </c>
      <c r="F48" s="238">
        <v>113.358445192792</v>
      </c>
      <c r="G48" s="238">
        <v>513.54503455065696</v>
      </c>
      <c r="H48" s="238">
        <v>12838.6258637664</v>
      </c>
      <c r="I48" s="238">
        <v>1.438E-4</v>
      </c>
      <c r="J48" s="238">
        <v>4.2852399999999999E-2</v>
      </c>
      <c r="K48" s="238">
        <v>0</v>
      </c>
      <c r="L48" s="238">
        <v>0</v>
      </c>
      <c r="M48" s="238">
        <v>0</v>
      </c>
      <c r="N48" s="238">
        <v>0</v>
      </c>
      <c r="O48" s="238">
        <v>12952.027161359199</v>
      </c>
    </row>
    <row r="49" spans="1:16" s="237" customFormat="1" ht="12" x14ac:dyDescent="0.2">
      <c r="A49" s="256"/>
      <c r="B49" s="257"/>
      <c r="C49" s="258" t="s">
        <v>380</v>
      </c>
      <c r="D49" s="243"/>
      <c r="E49" s="243"/>
      <c r="F49" s="244">
        <v>7817.0777943841103</v>
      </c>
      <c r="G49" s="244">
        <v>985.43861973722096</v>
      </c>
      <c r="H49" s="244">
        <v>24635.9654934305</v>
      </c>
      <c r="I49" s="244">
        <v>0</v>
      </c>
      <c r="J49" s="244">
        <v>0</v>
      </c>
      <c r="K49" s="244">
        <v>0</v>
      </c>
      <c r="L49" s="244">
        <v>0</v>
      </c>
      <c r="M49" s="244">
        <v>0</v>
      </c>
      <c r="N49" s="244">
        <v>0</v>
      </c>
      <c r="O49" s="244">
        <v>32453.043287814598</v>
      </c>
    </row>
    <row r="50" spans="1:16" s="237" customFormat="1" ht="12" x14ac:dyDescent="0.2">
      <c r="A50" s="256"/>
      <c r="B50" s="257"/>
      <c r="C50" s="258" t="s">
        <v>381</v>
      </c>
      <c r="D50" s="243"/>
      <c r="E50" s="243"/>
      <c r="F50" s="244">
        <v>4993.2378936844398</v>
      </c>
      <c r="G50" s="244">
        <v>20.247013334784299</v>
      </c>
      <c r="H50" s="244">
        <v>506.17533336960702</v>
      </c>
      <c r="I50" s="244">
        <v>2.5310907727447599E-2</v>
      </c>
      <c r="J50" s="244">
        <v>7.5426505027794004</v>
      </c>
      <c r="K50" s="244">
        <v>0</v>
      </c>
      <c r="L50" s="244">
        <v>0</v>
      </c>
      <c r="M50" s="244">
        <v>0</v>
      </c>
      <c r="N50" s="244">
        <v>0</v>
      </c>
      <c r="O50" s="244">
        <v>5506.9558775568303</v>
      </c>
    </row>
    <row r="51" spans="1:16" s="237" customFormat="1" ht="14.25" x14ac:dyDescent="0.25">
      <c r="A51" s="259" t="s">
        <v>764</v>
      </c>
      <c r="B51" s="260" t="s">
        <v>765</v>
      </c>
      <c r="C51" s="260"/>
      <c r="D51" s="261"/>
      <c r="E51" s="261"/>
      <c r="F51" s="262">
        <v>0.1008</v>
      </c>
      <c r="G51" s="262">
        <v>0</v>
      </c>
      <c r="H51" s="262">
        <v>0</v>
      </c>
      <c r="I51" s="262">
        <v>0</v>
      </c>
      <c r="J51" s="262">
        <v>0</v>
      </c>
      <c r="K51" s="262">
        <v>0</v>
      </c>
      <c r="L51" s="262">
        <v>0</v>
      </c>
      <c r="M51" s="262">
        <v>0</v>
      </c>
      <c r="N51" s="262">
        <v>0</v>
      </c>
      <c r="O51" s="262">
        <v>0.1008</v>
      </c>
    </row>
    <row r="52" spans="1:16" s="267" customFormat="1" ht="12.75" x14ac:dyDescent="0.2">
      <c r="A52" s="263" t="s">
        <v>766</v>
      </c>
      <c r="B52" s="263"/>
      <c r="C52" s="264"/>
      <c r="D52" s="265"/>
      <c r="E52" s="265"/>
      <c r="F52" s="266">
        <v>38024.362692379204</v>
      </c>
      <c r="G52" s="266">
        <v>3.3238157516677398</v>
      </c>
      <c r="H52" s="266">
        <v>83.095393791693496</v>
      </c>
      <c r="I52" s="266">
        <v>4.2897541665401198</v>
      </c>
      <c r="J52" s="266">
        <v>1278.34674162895</v>
      </c>
      <c r="K52" s="266">
        <v>10064.0036943913</v>
      </c>
      <c r="L52" s="266">
        <v>1088.03684332993</v>
      </c>
      <c r="M52" s="266">
        <v>362.631619252093</v>
      </c>
      <c r="N52" s="266">
        <v>0.15104489600000001</v>
      </c>
      <c r="O52" s="266">
        <v>50900.628029669198</v>
      </c>
    </row>
    <row r="53" spans="1:16" s="240" customFormat="1" ht="12.75" x14ac:dyDescent="0.2">
      <c r="A53" s="224" t="s">
        <v>724</v>
      </c>
      <c r="B53" s="225" t="s">
        <v>767</v>
      </c>
      <c r="C53" s="225"/>
      <c r="D53" s="268"/>
      <c r="E53" s="268"/>
      <c r="F53" s="269">
        <v>7796.67340942789</v>
      </c>
      <c r="G53" s="269">
        <v>0</v>
      </c>
      <c r="H53" s="269">
        <v>0</v>
      </c>
      <c r="I53" s="269">
        <v>0</v>
      </c>
      <c r="J53" s="269">
        <v>0</v>
      </c>
      <c r="K53" s="269">
        <v>0</v>
      </c>
      <c r="L53" s="269">
        <v>0</v>
      </c>
      <c r="M53" s="269">
        <v>0</v>
      </c>
      <c r="N53" s="269">
        <v>0</v>
      </c>
      <c r="O53" s="269">
        <v>7796.67340942789</v>
      </c>
    </row>
    <row r="54" spans="1:16" s="273" customFormat="1" ht="12" x14ac:dyDescent="0.2">
      <c r="A54" s="235"/>
      <c r="B54" s="270"/>
      <c r="C54" s="236" t="s">
        <v>560</v>
      </c>
      <c r="D54" s="271"/>
      <c r="E54" s="271"/>
      <c r="F54" s="272">
        <v>5945.5061018245397</v>
      </c>
      <c r="G54" s="272">
        <v>0</v>
      </c>
      <c r="H54" s="272">
        <v>0</v>
      </c>
      <c r="I54" s="272">
        <v>0</v>
      </c>
      <c r="J54" s="272">
        <v>0</v>
      </c>
      <c r="K54" s="272">
        <v>0</v>
      </c>
      <c r="L54" s="272">
        <v>0</v>
      </c>
      <c r="M54" s="272">
        <v>0</v>
      </c>
      <c r="N54" s="272">
        <v>0</v>
      </c>
      <c r="O54" s="272">
        <v>5945.5061018245397</v>
      </c>
      <c r="P54" s="271"/>
    </row>
    <row r="55" spans="1:16" s="273" customFormat="1" ht="12" x14ac:dyDescent="0.2">
      <c r="A55" s="235"/>
      <c r="B55" s="270"/>
      <c r="C55" s="236" t="s">
        <v>191</v>
      </c>
      <c r="D55" s="271"/>
      <c r="E55" s="271"/>
      <c r="F55" s="272">
        <v>1471.28679569531</v>
      </c>
      <c r="G55" s="272">
        <v>0</v>
      </c>
      <c r="H55" s="272">
        <v>0</v>
      </c>
      <c r="I55" s="272">
        <v>0</v>
      </c>
      <c r="J55" s="272">
        <v>0</v>
      </c>
      <c r="K55" s="272">
        <v>0</v>
      </c>
      <c r="L55" s="272">
        <v>0</v>
      </c>
      <c r="M55" s="272">
        <v>0</v>
      </c>
      <c r="N55" s="272">
        <v>0</v>
      </c>
      <c r="O55" s="272">
        <v>1471.28679569531</v>
      </c>
      <c r="P55" s="271"/>
    </row>
    <row r="56" spans="1:16" s="273" customFormat="1" ht="12" x14ac:dyDescent="0.2">
      <c r="A56" s="235"/>
      <c r="B56" s="270"/>
      <c r="C56" s="236" t="s">
        <v>768</v>
      </c>
      <c r="D56" s="271"/>
      <c r="E56" s="271"/>
      <c r="F56" s="272">
        <v>379.88051190804401</v>
      </c>
      <c r="G56" s="272">
        <v>0</v>
      </c>
      <c r="H56" s="272">
        <v>0</v>
      </c>
      <c r="I56" s="272">
        <v>0</v>
      </c>
      <c r="J56" s="272">
        <v>0</v>
      </c>
      <c r="K56" s="272">
        <v>0</v>
      </c>
      <c r="L56" s="272">
        <v>0</v>
      </c>
      <c r="M56" s="272">
        <v>0</v>
      </c>
      <c r="N56" s="272">
        <v>0</v>
      </c>
      <c r="O56" s="272">
        <v>379.88051190804401</v>
      </c>
      <c r="P56" s="271"/>
    </row>
    <row r="57" spans="1:16" s="275" customFormat="1" ht="12.75" x14ac:dyDescent="0.2">
      <c r="A57" s="224" t="s">
        <v>737</v>
      </c>
      <c r="B57" s="225" t="s">
        <v>769</v>
      </c>
      <c r="C57" s="225"/>
      <c r="D57" s="274"/>
      <c r="E57" s="274"/>
      <c r="F57" s="269">
        <v>4875.8410176549996</v>
      </c>
      <c r="G57" s="269">
        <v>3.2438897516677399</v>
      </c>
      <c r="H57" s="269">
        <v>81.097243791693501</v>
      </c>
      <c r="I57" s="269">
        <v>3.4765958822028198</v>
      </c>
      <c r="J57" s="269">
        <v>1036.0255728964401</v>
      </c>
      <c r="K57" s="269">
        <v>0</v>
      </c>
      <c r="L57" s="269">
        <v>0</v>
      </c>
      <c r="M57" s="269">
        <v>0</v>
      </c>
      <c r="N57" s="269">
        <v>0</v>
      </c>
      <c r="O57" s="269">
        <v>5992.9638343431297</v>
      </c>
      <c r="P57" s="274"/>
    </row>
    <row r="58" spans="1:16" s="277" customFormat="1" ht="12" x14ac:dyDescent="0.2">
      <c r="A58" s="235"/>
      <c r="B58" s="270"/>
      <c r="C58" s="236" t="s">
        <v>192</v>
      </c>
      <c r="D58" s="276"/>
      <c r="E58" s="276"/>
      <c r="F58" s="272">
        <v>2535.5448819287499</v>
      </c>
      <c r="G58" s="272">
        <v>0</v>
      </c>
      <c r="H58" s="272">
        <v>0</v>
      </c>
      <c r="I58" s="272">
        <v>0</v>
      </c>
      <c r="J58" s="272">
        <v>0</v>
      </c>
      <c r="K58" s="272">
        <v>0</v>
      </c>
      <c r="L58" s="272">
        <v>0</v>
      </c>
      <c r="M58" s="272">
        <v>0</v>
      </c>
      <c r="N58" s="272">
        <v>0</v>
      </c>
      <c r="O58" s="272">
        <v>2535.5448819287499</v>
      </c>
      <c r="P58" s="276"/>
    </row>
    <row r="59" spans="1:16" s="277" customFormat="1" ht="12" x14ac:dyDescent="0.2">
      <c r="A59" s="235"/>
      <c r="B59" s="270"/>
      <c r="C59" s="236" t="s">
        <v>190</v>
      </c>
      <c r="D59" s="276"/>
      <c r="E59" s="276"/>
      <c r="F59" s="272">
        <v>0</v>
      </c>
      <c r="G59" s="272">
        <v>0</v>
      </c>
      <c r="H59" s="272">
        <v>0</v>
      </c>
      <c r="I59" s="272">
        <v>3.4374684069790402</v>
      </c>
      <c r="J59" s="272">
        <v>1024.3655852797499</v>
      </c>
      <c r="K59" s="272">
        <v>0</v>
      </c>
      <c r="L59" s="272">
        <v>0</v>
      </c>
      <c r="M59" s="272">
        <v>0</v>
      </c>
      <c r="N59" s="272">
        <v>0</v>
      </c>
      <c r="O59" s="272">
        <v>1024.3655852797499</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2340.2961357262502</v>
      </c>
      <c r="G61" s="272">
        <v>3.2438897516677399</v>
      </c>
      <c r="H61" s="272">
        <v>81.097243791693501</v>
      </c>
      <c r="I61" s="272">
        <v>3.91274752237828E-2</v>
      </c>
      <c r="J61" s="272">
        <v>11.6599876166873</v>
      </c>
      <c r="K61" s="272">
        <v>0</v>
      </c>
      <c r="L61" s="272">
        <v>0</v>
      </c>
      <c r="M61" s="272">
        <v>0</v>
      </c>
      <c r="N61" s="272">
        <v>0</v>
      </c>
      <c r="O61" s="272">
        <v>2433.0533671346302</v>
      </c>
      <c r="P61" s="276"/>
    </row>
    <row r="62" spans="1:16" s="240" customFormat="1" ht="12.75" x14ac:dyDescent="0.2">
      <c r="A62" s="224" t="s">
        <v>758</v>
      </c>
      <c r="B62" s="225" t="s">
        <v>772</v>
      </c>
      <c r="C62" s="225"/>
      <c r="D62" s="268"/>
      <c r="E62" s="268"/>
      <c r="F62" s="269">
        <v>13676.799101307801</v>
      </c>
      <c r="G62" s="269">
        <v>7.9925999999999997E-2</v>
      </c>
      <c r="H62" s="269">
        <v>1.9981500000000001</v>
      </c>
      <c r="I62" s="269">
        <v>0</v>
      </c>
      <c r="J62" s="269">
        <v>0</v>
      </c>
      <c r="K62" s="269">
        <v>0</v>
      </c>
      <c r="L62" s="269">
        <v>1072.2361800000001</v>
      </c>
      <c r="M62" s="269">
        <v>236.06979414168501</v>
      </c>
      <c r="N62" s="269">
        <v>0</v>
      </c>
      <c r="O62" s="269">
        <v>14987.1032254495</v>
      </c>
      <c r="P62" s="268"/>
    </row>
    <row r="63" spans="1:16" s="273" customFormat="1" ht="12" x14ac:dyDescent="0.2">
      <c r="A63" s="235"/>
      <c r="B63" s="230"/>
      <c r="C63" s="230" t="s">
        <v>773</v>
      </c>
      <c r="D63" s="271"/>
      <c r="E63" s="271"/>
      <c r="F63" s="272">
        <v>8929.2111013078393</v>
      </c>
      <c r="G63" s="272">
        <v>7.9925999999999997E-2</v>
      </c>
      <c r="H63" s="272">
        <v>1.9981500000000001</v>
      </c>
      <c r="I63" s="272">
        <v>0</v>
      </c>
      <c r="J63" s="272">
        <v>0</v>
      </c>
      <c r="K63" s="272">
        <v>0</v>
      </c>
      <c r="L63" s="272">
        <v>0</v>
      </c>
      <c r="M63" s="272">
        <v>0</v>
      </c>
      <c r="N63" s="272">
        <v>0</v>
      </c>
      <c r="O63" s="272">
        <v>8931.2092513078405</v>
      </c>
      <c r="P63" s="271"/>
    </row>
    <row r="64" spans="1:16" s="273" customFormat="1" ht="12" x14ac:dyDescent="0.2">
      <c r="A64" s="235"/>
      <c r="B64" s="230"/>
      <c r="C64" s="230" t="s">
        <v>252</v>
      </c>
      <c r="D64" s="271"/>
      <c r="E64" s="271"/>
      <c r="F64" s="272">
        <v>4747.5879999999997</v>
      </c>
      <c r="G64" s="272">
        <v>0</v>
      </c>
      <c r="H64" s="272">
        <v>0</v>
      </c>
      <c r="I64" s="272">
        <v>0</v>
      </c>
      <c r="J64" s="272">
        <v>0</v>
      </c>
      <c r="K64" s="272">
        <v>0</v>
      </c>
      <c r="L64" s="272">
        <v>1072.2361800000001</v>
      </c>
      <c r="M64" s="272">
        <v>6.6117720000000002</v>
      </c>
      <c r="N64" s="272">
        <v>0</v>
      </c>
      <c r="O64" s="272">
        <v>5826.4359519999998</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229.45802214168501</v>
      </c>
      <c r="N65" s="272">
        <v>0</v>
      </c>
      <c r="O65" s="272">
        <v>229.45802214168501</v>
      </c>
      <c r="P65" s="271"/>
    </row>
    <row r="66" spans="1:16" s="234" customFormat="1" x14ac:dyDescent="0.25">
      <c r="A66" s="278" t="s">
        <v>764</v>
      </c>
      <c r="B66" s="279" t="s">
        <v>775</v>
      </c>
      <c r="C66" s="279"/>
      <c r="D66" s="251"/>
      <c r="E66" s="251"/>
      <c r="F66" s="252">
        <v>0</v>
      </c>
      <c r="G66" s="252">
        <v>0</v>
      </c>
      <c r="H66" s="252">
        <v>0</v>
      </c>
      <c r="I66" s="252">
        <v>0</v>
      </c>
      <c r="J66" s="252">
        <v>0</v>
      </c>
      <c r="K66" s="252">
        <v>10064.0036943913</v>
      </c>
      <c r="L66" s="252">
        <v>3.8565956430909698</v>
      </c>
      <c r="M66" s="252">
        <v>1.2208771104078</v>
      </c>
      <c r="N66" s="252">
        <v>0.15104489600000001</v>
      </c>
      <c r="O66" s="252">
        <v>10069.232212040801</v>
      </c>
      <c r="P66" s="251"/>
    </row>
    <row r="67" spans="1:16" s="234" customFormat="1" ht="12.75" x14ac:dyDescent="0.2">
      <c r="A67" s="278" t="s">
        <v>776</v>
      </c>
      <c r="B67" s="279" t="s">
        <v>777</v>
      </c>
      <c r="C67" s="279"/>
      <c r="D67" s="251"/>
      <c r="E67" s="251"/>
      <c r="F67" s="252">
        <v>11654.132507672601</v>
      </c>
      <c r="G67" s="252">
        <v>0</v>
      </c>
      <c r="H67" s="252">
        <v>0</v>
      </c>
      <c r="I67" s="252">
        <v>0</v>
      </c>
      <c r="J67" s="252">
        <v>0</v>
      </c>
      <c r="K67" s="252">
        <v>0</v>
      </c>
      <c r="L67" s="252">
        <v>0</v>
      </c>
      <c r="M67" s="252">
        <v>0</v>
      </c>
      <c r="N67" s="252">
        <v>0</v>
      </c>
      <c r="O67" s="252">
        <v>11654.132507672601</v>
      </c>
      <c r="P67" s="251"/>
    </row>
    <row r="68" spans="1:16" s="234" customFormat="1" ht="12.75" x14ac:dyDescent="0.2">
      <c r="A68" s="259" t="s">
        <v>778</v>
      </c>
      <c r="B68" s="260" t="s">
        <v>779</v>
      </c>
      <c r="C68" s="260"/>
      <c r="D68" s="280"/>
      <c r="E68" s="280"/>
      <c r="F68" s="281">
        <v>20.916656315935501</v>
      </c>
      <c r="G68" s="281">
        <v>0</v>
      </c>
      <c r="H68" s="281">
        <v>0</v>
      </c>
      <c r="I68" s="281">
        <v>0.81315828433729398</v>
      </c>
      <c r="J68" s="281">
        <v>242.321168732514</v>
      </c>
      <c r="K68" s="281">
        <v>0</v>
      </c>
      <c r="L68" s="281">
        <v>11.944067686838499</v>
      </c>
      <c r="M68" s="281">
        <v>125.340948</v>
      </c>
      <c r="N68" s="281">
        <v>0</v>
      </c>
      <c r="O68" s="281">
        <v>400.52284073528801</v>
      </c>
      <c r="P68" s="251"/>
    </row>
    <row r="69" spans="1:16" s="267" customFormat="1" ht="12.75" x14ac:dyDescent="0.2">
      <c r="A69" s="282" t="s">
        <v>780</v>
      </c>
      <c r="B69" s="283"/>
      <c r="C69" s="283"/>
      <c r="D69" s="284"/>
      <c r="E69" s="284"/>
      <c r="F69" s="285">
        <v>2499.5447546666701</v>
      </c>
      <c r="G69" s="285">
        <v>1154.32334425153</v>
      </c>
      <c r="H69" s="285">
        <v>28858.083606288201</v>
      </c>
      <c r="I69" s="285">
        <v>90.017110752702706</v>
      </c>
      <c r="J69" s="285">
        <v>26825.099004305401</v>
      </c>
      <c r="K69" s="285">
        <v>0</v>
      </c>
      <c r="L69" s="285">
        <v>0</v>
      </c>
      <c r="M69" s="285">
        <v>0</v>
      </c>
      <c r="N69" s="285">
        <v>0</v>
      </c>
      <c r="O69" s="285">
        <v>58182.727365260303</v>
      </c>
      <c r="P69" s="265"/>
    </row>
    <row r="70" spans="1:16" s="234" customFormat="1" ht="12.75" x14ac:dyDescent="0.2">
      <c r="A70" s="278" t="s">
        <v>724</v>
      </c>
      <c r="B70" s="279" t="s">
        <v>27</v>
      </c>
      <c r="C70" s="279"/>
      <c r="D70" s="251"/>
      <c r="E70" s="251"/>
      <c r="F70" s="252">
        <v>0</v>
      </c>
      <c r="G70" s="252">
        <v>1003.19056981391</v>
      </c>
      <c r="H70" s="252">
        <v>25079.764245347698</v>
      </c>
      <c r="I70" s="252">
        <v>0</v>
      </c>
      <c r="J70" s="252">
        <v>0</v>
      </c>
      <c r="K70" s="252">
        <v>0</v>
      </c>
      <c r="L70" s="252">
        <v>0</v>
      </c>
      <c r="M70" s="252">
        <v>0</v>
      </c>
      <c r="N70" s="252">
        <v>0</v>
      </c>
      <c r="O70" s="252">
        <v>25079.764245347698</v>
      </c>
      <c r="P70" s="251"/>
    </row>
    <row r="71" spans="1:16" s="234" customFormat="1" ht="12.75" x14ac:dyDescent="0.2">
      <c r="A71" s="278" t="s">
        <v>737</v>
      </c>
      <c r="B71" s="279" t="s">
        <v>28</v>
      </c>
      <c r="C71" s="279"/>
      <c r="D71" s="251"/>
      <c r="E71" s="251"/>
      <c r="F71" s="252">
        <v>0</v>
      </c>
      <c r="G71" s="252">
        <v>149.67569248106199</v>
      </c>
      <c r="H71" s="252">
        <v>3741.8923120265599</v>
      </c>
      <c r="I71" s="252">
        <v>15.829274476429999</v>
      </c>
      <c r="J71" s="252">
        <v>4717.1237939761304</v>
      </c>
      <c r="K71" s="252">
        <v>0</v>
      </c>
      <c r="L71" s="252">
        <v>0</v>
      </c>
      <c r="M71" s="252">
        <v>0</v>
      </c>
      <c r="N71" s="252">
        <v>0</v>
      </c>
      <c r="O71" s="252">
        <v>8459.0161060026894</v>
      </c>
      <c r="P71" s="251"/>
    </row>
    <row r="72" spans="1:16" s="234" customFormat="1" ht="12.75" x14ac:dyDescent="0.2">
      <c r="A72" s="224" t="s">
        <v>758</v>
      </c>
      <c r="B72" s="225" t="s">
        <v>781</v>
      </c>
      <c r="C72" s="225"/>
      <c r="F72" s="231">
        <v>0</v>
      </c>
      <c r="G72" s="231">
        <v>0</v>
      </c>
      <c r="H72" s="231">
        <v>0</v>
      </c>
      <c r="I72" s="231">
        <v>74.150060077399004</v>
      </c>
      <c r="J72" s="231">
        <v>22096.717903064899</v>
      </c>
      <c r="K72" s="231">
        <v>0</v>
      </c>
      <c r="L72" s="231">
        <v>0</v>
      </c>
      <c r="M72" s="231">
        <v>0</v>
      </c>
      <c r="N72" s="231">
        <v>0</v>
      </c>
      <c r="O72" s="231">
        <v>22096.717903064899</v>
      </c>
    </row>
    <row r="73" spans="1:16" s="237" customFormat="1" ht="12" x14ac:dyDescent="0.2">
      <c r="A73" s="286"/>
      <c r="B73" s="258"/>
      <c r="C73" s="258" t="s">
        <v>782</v>
      </c>
      <c r="D73" s="243"/>
      <c r="E73" s="243"/>
      <c r="F73" s="244">
        <v>0</v>
      </c>
      <c r="G73" s="244">
        <v>0</v>
      </c>
      <c r="H73" s="244">
        <v>0</v>
      </c>
      <c r="I73" s="244">
        <v>61.169470109133997</v>
      </c>
      <c r="J73" s="244">
        <v>18228.5020925219</v>
      </c>
      <c r="K73" s="244">
        <v>0</v>
      </c>
      <c r="L73" s="244">
        <v>0</v>
      </c>
      <c r="M73" s="244">
        <v>0</v>
      </c>
      <c r="N73" s="244">
        <v>0</v>
      </c>
      <c r="O73" s="244">
        <v>18228.5020925219</v>
      </c>
    </row>
    <row r="74" spans="1:16" s="237" customFormat="1" ht="12" x14ac:dyDescent="0.2">
      <c r="A74" s="286"/>
      <c r="B74" s="258"/>
      <c r="C74" s="258" t="s">
        <v>783</v>
      </c>
      <c r="D74" s="243"/>
      <c r="E74" s="243"/>
      <c r="F74" s="244">
        <v>0</v>
      </c>
      <c r="G74" s="244">
        <v>0</v>
      </c>
      <c r="H74" s="244">
        <v>0</v>
      </c>
      <c r="I74" s="244">
        <v>12.980589968265001</v>
      </c>
      <c r="J74" s="244">
        <v>3868.2158105429698</v>
      </c>
      <c r="K74" s="244">
        <v>0</v>
      </c>
      <c r="L74" s="244">
        <v>0</v>
      </c>
      <c r="M74" s="244">
        <v>0</v>
      </c>
      <c r="N74" s="244">
        <v>0</v>
      </c>
      <c r="O74" s="244">
        <v>3868.2158105429698</v>
      </c>
    </row>
    <row r="75" spans="1:16" s="234" customFormat="1" ht="12.75" x14ac:dyDescent="0.2">
      <c r="A75" s="278" t="s">
        <v>764</v>
      </c>
      <c r="B75" s="279" t="s">
        <v>193</v>
      </c>
      <c r="C75" s="287"/>
      <c r="D75" s="251"/>
      <c r="E75" s="251"/>
      <c r="F75" s="252">
        <v>0</v>
      </c>
      <c r="G75" s="252">
        <v>1.4570819565595099</v>
      </c>
      <c r="H75" s="252">
        <v>36.427048913987903</v>
      </c>
      <c r="I75" s="252">
        <v>3.7776198873765203E-2</v>
      </c>
      <c r="J75" s="252">
        <v>11.257307264382</v>
      </c>
      <c r="K75" s="252">
        <v>0</v>
      </c>
      <c r="L75" s="252">
        <v>0</v>
      </c>
      <c r="M75" s="252">
        <v>0</v>
      </c>
      <c r="N75" s="252">
        <v>0</v>
      </c>
      <c r="O75" s="252">
        <v>47.684356178369903</v>
      </c>
    </row>
    <row r="76" spans="1:16" s="234" customFormat="1" ht="12.75" x14ac:dyDescent="0.2">
      <c r="A76" s="259" t="s">
        <v>776</v>
      </c>
      <c r="B76" s="260" t="s">
        <v>784</v>
      </c>
      <c r="C76" s="288"/>
      <c r="D76" s="280"/>
      <c r="E76" s="280"/>
      <c r="F76" s="281">
        <v>2499.5447546666701</v>
      </c>
      <c r="G76" s="281">
        <v>0</v>
      </c>
      <c r="H76" s="281">
        <v>0</v>
      </c>
      <c r="I76" s="281">
        <v>0</v>
      </c>
      <c r="J76" s="281">
        <v>0</v>
      </c>
      <c r="K76" s="281">
        <v>0</v>
      </c>
      <c r="L76" s="281">
        <v>0</v>
      </c>
      <c r="M76" s="281">
        <v>0</v>
      </c>
      <c r="N76" s="281">
        <v>0</v>
      </c>
      <c r="O76" s="281">
        <v>2499.5447546666701</v>
      </c>
    </row>
    <row r="77" spans="1:16" s="234" customFormat="1" ht="12.75" x14ac:dyDescent="0.2">
      <c r="A77" s="220" t="s">
        <v>785</v>
      </c>
      <c r="B77" s="289"/>
      <c r="C77" s="289"/>
      <c r="F77" s="223">
        <v>413.56440256000002</v>
      </c>
      <c r="G77" s="223">
        <v>917.99888963000001</v>
      </c>
      <c r="H77" s="223">
        <v>22949.972240750001</v>
      </c>
      <c r="I77" s="223">
        <v>4.0074054300000004</v>
      </c>
      <c r="J77" s="223">
        <v>1194.20681814</v>
      </c>
      <c r="K77" s="223">
        <v>0</v>
      </c>
      <c r="L77" s="223">
        <v>0</v>
      </c>
      <c r="M77" s="223">
        <v>0</v>
      </c>
      <c r="N77" s="223">
        <v>0</v>
      </c>
      <c r="O77" s="223">
        <v>24557.743461450002</v>
      </c>
    </row>
    <row r="78" spans="1:16" s="234" customFormat="1" ht="12.75" x14ac:dyDescent="0.2">
      <c r="A78" s="224" t="s">
        <v>724</v>
      </c>
      <c r="B78" s="225" t="s">
        <v>786</v>
      </c>
      <c r="C78" s="225"/>
      <c r="F78" s="231">
        <v>0</v>
      </c>
      <c r="G78" s="231">
        <v>879.86136496999995</v>
      </c>
      <c r="H78" s="231">
        <v>21996.53412425</v>
      </c>
      <c r="I78" s="231">
        <v>0</v>
      </c>
      <c r="J78" s="231">
        <v>0</v>
      </c>
      <c r="K78" s="231">
        <v>0</v>
      </c>
      <c r="L78" s="231">
        <v>0</v>
      </c>
      <c r="M78" s="231">
        <v>0</v>
      </c>
      <c r="N78" s="231">
        <v>0</v>
      </c>
      <c r="O78" s="231">
        <v>21996.53412425</v>
      </c>
    </row>
    <row r="79" spans="1:16" s="234" customFormat="1" ht="12.75" x14ac:dyDescent="0.2">
      <c r="A79" s="224" t="s">
        <v>737</v>
      </c>
      <c r="B79" s="225" t="s">
        <v>787</v>
      </c>
      <c r="C79" s="225"/>
      <c r="F79" s="231">
        <v>0</v>
      </c>
      <c r="G79" s="231">
        <v>22.244056</v>
      </c>
      <c r="H79" s="231">
        <v>556.10140000000001</v>
      </c>
      <c r="I79" s="231">
        <v>1.3346433600000001</v>
      </c>
      <c r="J79" s="231">
        <v>397.72372128000001</v>
      </c>
      <c r="K79" s="231">
        <v>0</v>
      </c>
      <c r="L79" s="231">
        <v>0</v>
      </c>
      <c r="M79" s="231">
        <v>0</v>
      </c>
      <c r="N79" s="231">
        <v>0</v>
      </c>
      <c r="O79" s="231">
        <v>953.82512127999996</v>
      </c>
    </row>
    <row r="80" spans="1:16" s="234" customFormat="1" ht="12.75" x14ac:dyDescent="0.2">
      <c r="A80" s="278" t="s">
        <v>788</v>
      </c>
      <c r="B80" s="279" t="s">
        <v>789</v>
      </c>
      <c r="C80" s="279"/>
      <c r="D80" s="251"/>
      <c r="E80" s="251"/>
      <c r="F80" s="252">
        <v>0</v>
      </c>
      <c r="G80" s="252">
        <v>15.636020909999999</v>
      </c>
      <c r="H80" s="252">
        <v>390.90052274999999</v>
      </c>
      <c r="I80" s="252">
        <v>2.2315220899999999</v>
      </c>
      <c r="J80" s="252">
        <v>664.99358282000003</v>
      </c>
      <c r="K80" s="252">
        <v>0</v>
      </c>
      <c r="L80" s="252">
        <v>0</v>
      </c>
      <c r="M80" s="252">
        <v>0</v>
      </c>
      <c r="N80" s="252">
        <v>0</v>
      </c>
      <c r="O80" s="252">
        <v>1055.89410557</v>
      </c>
    </row>
    <row r="81" spans="1:30" s="234" customFormat="1" ht="12.75" x14ac:dyDescent="0.2">
      <c r="A81" s="259" t="s">
        <v>764</v>
      </c>
      <c r="B81" s="260" t="s">
        <v>790</v>
      </c>
      <c r="C81" s="260"/>
      <c r="D81" s="280"/>
      <c r="E81" s="280"/>
      <c r="F81" s="281">
        <v>413.56440256000002</v>
      </c>
      <c r="G81" s="281">
        <v>0.25744774999999998</v>
      </c>
      <c r="H81" s="281">
        <v>6.4361937500000002</v>
      </c>
      <c r="I81" s="281">
        <v>0.44123997999999998</v>
      </c>
      <c r="J81" s="281">
        <v>131.48951403999999</v>
      </c>
      <c r="K81" s="281">
        <v>0</v>
      </c>
      <c r="L81" s="281">
        <v>0</v>
      </c>
      <c r="M81" s="281">
        <v>0</v>
      </c>
      <c r="N81" s="281">
        <v>0</v>
      </c>
      <c r="O81" s="281">
        <v>551.49011035000001</v>
      </c>
    </row>
    <row r="82" spans="1:30" s="267" customFormat="1" ht="12.75" x14ac:dyDescent="0.2">
      <c r="A82" s="263" t="s">
        <v>791</v>
      </c>
      <c r="B82" s="264"/>
      <c r="C82" s="264"/>
      <c r="F82" s="223">
        <v>-34312.444258000003</v>
      </c>
      <c r="G82" s="223">
        <v>39.529648000000002</v>
      </c>
      <c r="H82" s="223">
        <v>988.24120000000005</v>
      </c>
      <c r="I82" s="223">
        <v>1.3363849999999999</v>
      </c>
      <c r="J82" s="223">
        <v>398.24272999999999</v>
      </c>
      <c r="K82" s="223">
        <v>0</v>
      </c>
      <c r="L82" s="223">
        <v>0</v>
      </c>
      <c r="M82" s="223">
        <v>0</v>
      </c>
      <c r="N82" s="223">
        <v>0</v>
      </c>
      <c r="O82" s="223">
        <v>-32925.960328000001</v>
      </c>
    </row>
    <row r="83" spans="1:30" s="234" customFormat="1" ht="12.75" x14ac:dyDescent="0.2">
      <c r="A83" s="224" t="s">
        <v>724</v>
      </c>
      <c r="B83" s="225" t="s">
        <v>792</v>
      </c>
      <c r="C83" s="225"/>
      <c r="F83" s="231">
        <v>-166358.44583400001</v>
      </c>
      <c r="G83" s="231">
        <v>10.377051</v>
      </c>
      <c r="H83" s="231">
        <v>259.42627499999998</v>
      </c>
      <c r="I83" s="231">
        <v>0.42627300000000001</v>
      </c>
      <c r="J83" s="231">
        <v>127.029354</v>
      </c>
      <c r="K83" s="231">
        <v>0</v>
      </c>
      <c r="L83" s="231">
        <v>0</v>
      </c>
      <c r="M83" s="231">
        <v>0</v>
      </c>
      <c r="N83" s="231">
        <v>0</v>
      </c>
      <c r="O83" s="231">
        <v>-165971.99020500001</v>
      </c>
    </row>
    <row r="84" spans="1:30" s="234" customFormat="1" ht="12.75" x14ac:dyDescent="0.2">
      <c r="A84" s="224" t="s">
        <v>737</v>
      </c>
      <c r="B84" s="225" t="s">
        <v>793</v>
      </c>
      <c r="C84" s="225"/>
      <c r="F84" s="231">
        <v>-11374.423140999999</v>
      </c>
      <c r="G84" s="231">
        <v>3.1586430000000001</v>
      </c>
      <c r="H84" s="231">
        <v>78.966075000000004</v>
      </c>
      <c r="I84" s="231">
        <v>0.163858</v>
      </c>
      <c r="J84" s="231">
        <v>48.829684</v>
      </c>
      <c r="K84" s="231">
        <v>0</v>
      </c>
      <c r="L84" s="231">
        <v>0</v>
      </c>
      <c r="M84" s="231">
        <v>0</v>
      </c>
      <c r="N84" s="231">
        <v>0</v>
      </c>
      <c r="O84" s="231">
        <v>-11246.627382000001</v>
      </c>
    </row>
    <row r="85" spans="1:30" s="234" customFormat="1" ht="12.75" x14ac:dyDescent="0.2">
      <c r="A85" s="278" t="s">
        <v>758</v>
      </c>
      <c r="B85" s="279" t="s">
        <v>794</v>
      </c>
      <c r="C85" s="279"/>
      <c r="F85" s="231">
        <v>0</v>
      </c>
      <c r="G85" s="231">
        <v>20.81766</v>
      </c>
      <c r="H85" s="231">
        <v>520.44150000000002</v>
      </c>
      <c r="I85" s="231">
        <v>0.53968000000000005</v>
      </c>
      <c r="J85" s="231">
        <v>160.82463999999999</v>
      </c>
      <c r="K85" s="231">
        <v>0</v>
      </c>
      <c r="L85" s="231">
        <v>0</v>
      </c>
      <c r="M85" s="231">
        <v>0</v>
      </c>
      <c r="N85" s="231">
        <v>0</v>
      </c>
      <c r="O85" s="231">
        <v>681.26613999999995</v>
      </c>
    </row>
    <row r="86" spans="1:30" s="234" customFormat="1" ht="12.75" x14ac:dyDescent="0.2">
      <c r="A86" s="278" t="s">
        <v>764</v>
      </c>
      <c r="B86" s="279" t="s">
        <v>795</v>
      </c>
      <c r="C86" s="279"/>
      <c r="F86" s="231">
        <v>2605.0486489999998</v>
      </c>
      <c r="G86" s="231">
        <v>0.80037800000000003</v>
      </c>
      <c r="H86" s="231">
        <v>20.009450000000001</v>
      </c>
      <c r="I86" s="231">
        <v>4.0138E-2</v>
      </c>
      <c r="J86" s="231">
        <v>11.961124</v>
      </c>
      <c r="K86" s="231">
        <v>0</v>
      </c>
      <c r="L86" s="231">
        <v>0</v>
      </c>
      <c r="M86" s="231">
        <v>0</v>
      </c>
      <c r="N86" s="231">
        <v>0</v>
      </c>
      <c r="O86" s="231">
        <v>2637.0192229999998</v>
      </c>
    </row>
    <row r="87" spans="1:30" s="234" customFormat="1" ht="12.75" x14ac:dyDescent="0.2">
      <c r="A87" s="278" t="s">
        <v>776</v>
      </c>
      <c r="B87" s="279" t="s">
        <v>796</v>
      </c>
      <c r="C87" s="279"/>
      <c r="D87" s="251"/>
      <c r="E87" s="251"/>
      <c r="F87" s="252">
        <v>3496.8748000000001</v>
      </c>
      <c r="G87" s="252">
        <v>4.3759160000000001</v>
      </c>
      <c r="H87" s="252">
        <v>109.39790000000001</v>
      </c>
      <c r="I87" s="252">
        <v>0.166436</v>
      </c>
      <c r="J87" s="252">
        <v>49.597928000000003</v>
      </c>
      <c r="K87" s="252">
        <v>0</v>
      </c>
      <c r="L87" s="252">
        <v>0</v>
      </c>
      <c r="M87" s="252">
        <v>0</v>
      </c>
      <c r="N87" s="252">
        <v>0</v>
      </c>
      <c r="O87" s="252">
        <v>3655.8706280000001</v>
      </c>
    </row>
    <row r="88" spans="1:30" s="234" customFormat="1" ht="12.75" x14ac:dyDescent="0.2">
      <c r="A88" s="259" t="s">
        <v>778</v>
      </c>
      <c r="B88" s="260" t="s">
        <v>797</v>
      </c>
      <c r="C88" s="260"/>
      <c r="D88" s="280"/>
      <c r="E88" s="280"/>
      <c r="F88" s="281">
        <v>137318.50126799999</v>
      </c>
      <c r="G88" s="281">
        <v>0</v>
      </c>
      <c r="H88" s="281">
        <v>0</v>
      </c>
      <c r="I88" s="281">
        <v>0</v>
      </c>
      <c r="J88" s="281">
        <v>0</v>
      </c>
      <c r="K88" s="281">
        <v>0</v>
      </c>
      <c r="L88" s="281">
        <v>0</v>
      </c>
      <c r="M88" s="281">
        <v>0</v>
      </c>
      <c r="N88" s="281">
        <v>0</v>
      </c>
      <c r="O88" s="281">
        <v>137318.50126799999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810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811</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574471.57046570804</v>
      </c>
      <c r="G7" s="218">
        <v>4147.8981804601399</v>
      </c>
      <c r="H7" s="218">
        <v>103697.45451150301</v>
      </c>
      <c r="I7" s="218">
        <v>132.693203964888</v>
      </c>
      <c r="J7" s="218">
        <v>39542.574781536503</v>
      </c>
      <c r="K7" s="218">
        <v>9429.1255627685005</v>
      </c>
      <c r="L7" s="218">
        <v>1617.1047260513101</v>
      </c>
      <c r="M7" s="218">
        <v>437.98115496002703</v>
      </c>
      <c r="N7" s="218">
        <v>0.15104489600000001</v>
      </c>
      <c r="O7" s="218">
        <v>729195.96224742394</v>
      </c>
    </row>
    <row r="8" spans="1:16" ht="15.75" thickTop="1" x14ac:dyDescent="0.2">
      <c r="A8" s="220" t="s">
        <v>723</v>
      </c>
      <c r="B8" s="221"/>
      <c r="C8" s="221"/>
      <c r="F8" s="223">
        <v>530694.02424437995</v>
      </c>
      <c r="G8" s="223">
        <v>2074.70448667555</v>
      </c>
      <c r="H8" s="223">
        <v>51867.612166888699</v>
      </c>
      <c r="I8" s="223">
        <v>30.672365390034599</v>
      </c>
      <c r="J8" s="223">
        <v>9140.3648862303107</v>
      </c>
      <c r="K8" s="223">
        <v>0</v>
      </c>
      <c r="L8" s="223">
        <v>0</v>
      </c>
      <c r="M8" s="223">
        <v>0</v>
      </c>
      <c r="N8" s="223">
        <v>0</v>
      </c>
      <c r="O8" s="223">
        <v>591702.00129749905</v>
      </c>
    </row>
    <row r="9" spans="1:16" x14ac:dyDescent="0.2">
      <c r="A9" s="224" t="s">
        <v>724</v>
      </c>
      <c r="B9" s="225" t="s">
        <v>725</v>
      </c>
      <c r="C9" s="225"/>
      <c r="F9" s="226">
        <v>320202.14880091901</v>
      </c>
      <c r="G9" s="226">
        <v>226.809740649692</v>
      </c>
      <c r="H9" s="226">
        <v>5670.2435162423099</v>
      </c>
      <c r="I9" s="226">
        <v>8.8818480676782592</v>
      </c>
      <c r="J9" s="226">
        <v>2646.7907241681201</v>
      </c>
      <c r="K9" s="226">
        <v>0</v>
      </c>
      <c r="L9" s="226">
        <v>0</v>
      </c>
      <c r="M9" s="226">
        <v>0</v>
      </c>
      <c r="N9" s="226">
        <v>0</v>
      </c>
      <c r="O9" s="226">
        <v>328519.18304133002</v>
      </c>
      <c r="P9" s="227"/>
    </row>
    <row r="10" spans="1:16" x14ac:dyDescent="0.2">
      <c r="A10" s="228"/>
      <c r="B10" s="229" t="s">
        <v>726</v>
      </c>
      <c r="C10" s="230"/>
      <c r="F10" s="231">
        <v>86940.856909825394</v>
      </c>
      <c r="G10" s="231">
        <v>5.9254192360159799</v>
      </c>
      <c r="H10" s="231">
        <v>148.13548090039899</v>
      </c>
      <c r="I10" s="231">
        <v>1.78856695185785</v>
      </c>
      <c r="J10" s="231">
        <v>532.99295165363901</v>
      </c>
      <c r="K10" s="231">
        <v>0</v>
      </c>
      <c r="L10" s="231">
        <v>0</v>
      </c>
      <c r="M10" s="231">
        <v>0</v>
      </c>
      <c r="N10" s="231">
        <v>0</v>
      </c>
      <c r="O10" s="231">
        <v>87621.985342379397</v>
      </c>
    </row>
    <row r="11" spans="1:16" x14ac:dyDescent="0.2">
      <c r="A11" s="228"/>
      <c r="B11" s="232" t="s">
        <v>727</v>
      </c>
      <c r="C11" s="230"/>
      <c r="F11" s="231">
        <v>18603.1326251719</v>
      </c>
      <c r="G11" s="231">
        <v>0.37003672486380501</v>
      </c>
      <c r="H11" s="231">
        <v>9.2509181215951095</v>
      </c>
      <c r="I11" s="231">
        <v>0.12443922168789499</v>
      </c>
      <c r="J11" s="231">
        <v>37.082888062992701</v>
      </c>
      <c r="K11" s="231">
        <v>0</v>
      </c>
      <c r="L11" s="231">
        <v>0</v>
      </c>
      <c r="M11" s="231">
        <v>0</v>
      </c>
      <c r="N11" s="231">
        <v>0</v>
      </c>
      <c r="O11" s="231">
        <v>18649.466431356501</v>
      </c>
    </row>
    <row r="12" spans="1:16" s="234" customFormat="1" ht="12.75" x14ac:dyDescent="0.2">
      <c r="A12" s="228"/>
      <c r="B12" s="232" t="s">
        <v>728</v>
      </c>
      <c r="C12" s="233"/>
      <c r="F12" s="231">
        <v>96284.236573269503</v>
      </c>
      <c r="G12" s="231">
        <v>87.206297562665497</v>
      </c>
      <c r="H12" s="231">
        <v>2180.1574390666401</v>
      </c>
      <c r="I12" s="231">
        <v>2.05746587305407</v>
      </c>
      <c r="J12" s="231">
        <v>613.12483017011198</v>
      </c>
      <c r="K12" s="231">
        <v>0</v>
      </c>
      <c r="L12" s="231">
        <v>0</v>
      </c>
      <c r="M12" s="231">
        <v>0</v>
      </c>
      <c r="N12" s="231">
        <v>0</v>
      </c>
      <c r="O12" s="231">
        <v>99077.518842506193</v>
      </c>
    </row>
    <row r="13" spans="1:16" s="234" customFormat="1" ht="12.75" x14ac:dyDescent="0.2">
      <c r="A13" s="228"/>
      <c r="B13" s="229" t="s">
        <v>729</v>
      </c>
      <c r="C13" s="229"/>
      <c r="F13" s="231">
        <v>44236.439046780099</v>
      </c>
      <c r="G13" s="231">
        <v>2.4396560433541001</v>
      </c>
      <c r="H13" s="231">
        <v>60.991401083852601</v>
      </c>
      <c r="I13" s="231">
        <v>1.85756373630412</v>
      </c>
      <c r="J13" s="231">
        <v>553.55399341862699</v>
      </c>
      <c r="K13" s="231">
        <v>0</v>
      </c>
      <c r="L13" s="231">
        <v>0</v>
      </c>
      <c r="M13" s="231">
        <v>0</v>
      </c>
      <c r="N13" s="231">
        <v>0</v>
      </c>
      <c r="O13" s="231">
        <v>44850.984441282497</v>
      </c>
    </row>
    <row r="14" spans="1:16" s="237" customFormat="1" ht="12" x14ac:dyDescent="0.2">
      <c r="A14" s="235"/>
      <c r="B14" s="230"/>
      <c r="C14" s="236" t="s">
        <v>2</v>
      </c>
      <c r="F14" s="238">
        <v>5548.7691596314698</v>
      </c>
      <c r="G14" s="238">
        <v>0.13267599793246501</v>
      </c>
      <c r="H14" s="238">
        <v>3.3168999483116202</v>
      </c>
      <c r="I14" s="238">
        <v>0.119160740114665</v>
      </c>
      <c r="J14" s="238">
        <v>35.509900554170201</v>
      </c>
      <c r="K14" s="238">
        <v>0</v>
      </c>
      <c r="L14" s="238">
        <v>0</v>
      </c>
      <c r="M14" s="238">
        <v>0</v>
      </c>
      <c r="N14" s="238">
        <v>0</v>
      </c>
      <c r="O14" s="238">
        <v>5587.59596013395</v>
      </c>
    </row>
    <row r="15" spans="1:16" s="237" customFormat="1" ht="12" x14ac:dyDescent="0.2">
      <c r="A15" s="235"/>
      <c r="B15" s="230"/>
      <c r="C15" s="236" t="s">
        <v>730</v>
      </c>
      <c r="F15" s="238">
        <v>3089.44409538327</v>
      </c>
      <c r="G15" s="238">
        <v>5.6043551238877901E-2</v>
      </c>
      <c r="H15" s="238">
        <v>1.4010887809719501</v>
      </c>
      <c r="I15" s="238">
        <v>4.5284757932804197E-2</v>
      </c>
      <c r="J15" s="238">
        <v>13.4948578639757</v>
      </c>
      <c r="K15" s="238">
        <v>0</v>
      </c>
      <c r="L15" s="238">
        <v>0</v>
      </c>
      <c r="M15" s="238">
        <v>0</v>
      </c>
      <c r="N15" s="238">
        <v>0</v>
      </c>
      <c r="O15" s="238">
        <v>3104.3400420282201</v>
      </c>
    </row>
    <row r="16" spans="1:16" s="237" customFormat="1" ht="12" x14ac:dyDescent="0.2">
      <c r="A16" s="235"/>
      <c r="B16" s="230"/>
      <c r="C16" s="236" t="s">
        <v>731</v>
      </c>
      <c r="F16" s="238">
        <v>11528.652637498501</v>
      </c>
      <c r="G16" s="238">
        <v>0.227321477067399</v>
      </c>
      <c r="H16" s="238">
        <v>5.6830369266849701</v>
      </c>
      <c r="I16" s="238">
        <v>0.19904604692724701</v>
      </c>
      <c r="J16" s="238">
        <v>59.315721984319502</v>
      </c>
      <c r="K16" s="238">
        <v>0</v>
      </c>
      <c r="L16" s="238">
        <v>0</v>
      </c>
      <c r="M16" s="238">
        <v>0</v>
      </c>
      <c r="N16" s="238">
        <v>0</v>
      </c>
      <c r="O16" s="238">
        <v>11593.651396409499</v>
      </c>
    </row>
    <row r="17" spans="1:16" s="237" customFormat="1" ht="12" x14ac:dyDescent="0.2">
      <c r="A17" s="235"/>
      <c r="B17" s="230"/>
      <c r="C17" s="236" t="s">
        <v>732</v>
      </c>
      <c r="F17" s="238">
        <v>5976.0058525506302</v>
      </c>
      <c r="G17" s="238">
        <v>1.1797613847402599</v>
      </c>
      <c r="H17" s="238">
        <v>29.4940346185066</v>
      </c>
      <c r="I17" s="238">
        <v>0.93872164604994501</v>
      </c>
      <c r="J17" s="238">
        <v>279.73905052288399</v>
      </c>
      <c r="K17" s="238">
        <v>0</v>
      </c>
      <c r="L17" s="238">
        <v>0</v>
      </c>
      <c r="M17" s="238">
        <v>0</v>
      </c>
      <c r="N17" s="238">
        <v>0</v>
      </c>
      <c r="O17" s="238">
        <v>6285.23893769202</v>
      </c>
    </row>
    <row r="18" spans="1:16" s="237" customFormat="1" ht="12" x14ac:dyDescent="0.2">
      <c r="A18" s="235"/>
      <c r="B18" s="230"/>
      <c r="C18" s="236" t="s">
        <v>35</v>
      </c>
      <c r="F18" s="238">
        <v>3834.4284229999998</v>
      </c>
      <c r="G18" s="238">
        <v>0.19419860690276</v>
      </c>
      <c r="H18" s="238">
        <v>4.8549651725689902</v>
      </c>
      <c r="I18" s="238">
        <v>5.1170824198774903E-2</v>
      </c>
      <c r="J18" s="238">
        <v>15.2489056112349</v>
      </c>
      <c r="K18" s="238">
        <v>0</v>
      </c>
      <c r="L18" s="238">
        <v>0</v>
      </c>
      <c r="M18" s="238">
        <v>0</v>
      </c>
      <c r="N18" s="238">
        <v>0</v>
      </c>
      <c r="O18" s="238">
        <v>3854.5322937838</v>
      </c>
    </row>
    <row r="19" spans="1:16" s="237" customFormat="1" ht="12" x14ac:dyDescent="0.2">
      <c r="A19" s="235"/>
      <c r="B19" s="230"/>
      <c r="C19" s="236" t="s">
        <v>733</v>
      </c>
      <c r="F19" s="238">
        <v>14259.1388787162</v>
      </c>
      <c r="G19" s="238">
        <v>0.649655025472339</v>
      </c>
      <c r="H19" s="238">
        <v>16.241375636808499</v>
      </c>
      <c r="I19" s="238">
        <v>0.50417972108068299</v>
      </c>
      <c r="J19" s="238">
        <v>150.24555688204299</v>
      </c>
      <c r="K19" s="238">
        <v>0</v>
      </c>
      <c r="L19" s="238">
        <v>0</v>
      </c>
      <c r="M19" s="238">
        <v>0</v>
      </c>
      <c r="N19" s="238">
        <v>0</v>
      </c>
      <c r="O19" s="238">
        <v>14425.625811235101</v>
      </c>
    </row>
    <row r="20" spans="1:16" s="234" customFormat="1" ht="12.75" x14ac:dyDescent="0.2">
      <c r="A20" s="228"/>
      <c r="B20" s="229" t="s">
        <v>734</v>
      </c>
      <c r="C20" s="239"/>
      <c r="F20" s="231">
        <v>1279.5366300000001</v>
      </c>
      <c r="G20" s="231">
        <v>2.2672899999999999E-2</v>
      </c>
      <c r="H20" s="231">
        <v>0.56682250000000001</v>
      </c>
      <c r="I20" s="231">
        <v>3.4468199999999997E-2</v>
      </c>
      <c r="J20" s="231">
        <v>10.2715236</v>
      </c>
      <c r="K20" s="231">
        <v>0</v>
      </c>
      <c r="L20" s="231">
        <v>0</v>
      </c>
      <c r="M20" s="231">
        <v>0</v>
      </c>
      <c r="N20" s="231">
        <v>0</v>
      </c>
      <c r="O20" s="231">
        <v>1290.3749760999999</v>
      </c>
    </row>
    <row r="21" spans="1:16" s="234" customFormat="1" ht="12.75" x14ac:dyDescent="0.2">
      <c r="A21" s="228"/>
      <c r="B21" s="229" t="s">
        <v>735</v>
      </c>
      <c r="C21" s="229"/>
      <c r="F21" s="231">
        <v>29323.564609762601</v>
      </c>
      <c r="G21" s="231">
        <v>0.55658398286341204</v>
      </c>
      <c r="H21" s="231">
        <v>13.914599571585301</v>
      </c>
      <c r="I21" s="231">
        <v>0.649454813006626</v>
      </c>
      <c r="J21" s="231">
        <v>193.537534275974</v>
      </c>
      <c r="K21" s="231">
        <v>0</v>
      </c>
      <c r="L21" s="231">
        <v>0</v>
      </c>
      <c r="M21" s="231">
        <v>0</v>
      </c>
      <c r="N21" s="231">
        <v>0</v>
      </c>
      <c r="O21" s="231">
        <v>29531.0167436101</v>
      </c>
    </row>
    <row r="22" spans="1:16" s="234" customFormat="1" ht="12.75" x14ac:dyDescent="0.2">
      <c r="A22" s="228"/>
      <c r="B22" s="229" t="s">
        <v>181</v>
      </c>
      <c r="C22" s="229"/>
      <c r="F22" s="231">
        <v>39904.44124</v>
      </c>
      <c r="G22" s="231">
        <v>130.22356016302001</v>
      </c>
      <c r="H22" s="231">
        <v>3255.5890040754898</v>
      </c>
      <c r="I22" s="231">
        <v>2.2723712895147399</v>
      </c>
      <c r="J22" s="231">
        <v>677.16664427539104</v>
      </c>
      <c r="K22" s="231">
        <v>0</v>
      </c>
      <c r="L22" s="231">
        <v>0</v>
      </c>
      <c r="M22" s="231">
        <v>0</v>
      </c>
      <c r="N22" s="231">
        <v>0</v>
      </c>
      <c r="O22" s="231">
        <v>43837.196888350903</v>
      </c>
    </row>
    <row r="23" spans="1:16" s="234" customFormat="1" ht="12.75" x14ac:dyDescent="0.2">
      <c r="A23" s="228"/>
      <c r="B23" s="229" t="s">
        <v>736</v>
      </c>
      <c r="C23" s="229"/>
      <c r="F23" s="231">
        <v>3629.9411661096501</v>
      </c>
      <c r="G23" s="231">
        <v>6.5514036909987805E-2</v>
      </c>
      <c r="H23" s="231">
        <v>1.63785092274969</v>
      </c>
      <c r="I23" s="231">
        <v>9.7517982252972396E-2</v>
      </c>
      <c r="J23" s="231">
        <v>29.060358711385799</v>
      </c>
      <c r="K23" s="231">
        <v>0</v>
      </c>
      <c r="L23" s="231">
        <v>0</v>
      </c>
      <c r="M23" s="231">
        <v>0</v>
      </c>
      <c r="N23" s="231">
        <v>0</v>
      </c>
      <c r="O23" s="231">
        <v>3660.63937574378</v>
      </c>
    </row>
    <row r="24" spans="1:16" s="240" customFormat="1" ht="14.25" x14ac:dyDescent="0.2">
      <c r="A24" s="224" t="s">
        <v>737</v>
      </c>
      <c r="B24" s="225" t="s">
        <v>738</v>
      </c>
      <c r="C24" s="225"/>
      <c r="F24" s="226">
        <v>197249.86059023501</v>
      </c>
      <c r="G24" s="226">
        <v>23.677067171038299</v>
      </c>
      <c r="H24" s="226">
        <v>591.92667927595699</v>
      </c>
      <c r="I24" s="226">
        <v>21.634178318289798</v>
      </c>
      <c r="J24" s="226">
        <v>6446.9851388503503</v>
      </c>
      <c r="K24" s="226">
        <v>0</v>
      </c>
      <c r="L24" s="226">
        <v>0</v>
      </c>
      <c r="M24" s="226">
        <v>0</v>
      </c>
      <c r="N24" s="226">
        <v>0</v>
      </c>
      <c r="O24" s="226">
        <v>204288.77240836099</v>
      </c>
      <c r="P24" s="241"/>
    </row>
    <row r="25" spans="1:16" s="234" customFormat="1" ht="12.75" x14ac:dyDescent="0.2">
      <c r="A25" s="228"/>
      <c r="B25" s="232" t="s">
        <v>739</v>
      </c>
      <c r="C25" s="229"/>
      <c r="F25" s="231">
        <v>7462.1447633052003</v>
      </c>
      <c r="G25" s="231">
        <v>0.314726256756722</v>
      </c>
      <c r="H25" s="231">
        <v>7.8681564189180397</v>
      </c>
      <c r="I25" s="231">
        <v>0.217465337389007</v>
      </c>
      <c r="J25" s="231">
        <v>64.804670541923898</v>
      </c>
      <c r="K25" s="231">
        <v>0</v>
      </c>
      <c r="L25" s="231">
        <v>0</v>
      </c>
      <c r="M25" s="231">
        <v>0</v>
      </c>
      <c r="N25" s="231">
        <v>0</v>
      </c>
      <c r="O25" s="231">
        <v>7534.8175902660396</v>
      </c>
    </row>
    <row r="26" spans="1:16" s="234" customFormat="1" ht="12.75" x14ac:dyDescent="0.2">
      <c r="A26" s="228"/>
      <c r="B26" s="229" t="s">
        <v>740</v>
      </c>
      <c r="C26" s="229"/>
      <c r="F26" s="231">
        <v>144391.336554212</v>
      </c>
      <c r="G26" s="231">
        <v>9.5972471283113592</v>
      </c>
      <c r="H26" s="231">
        <v>239.931178207784</v>
      </c>
      <c r="I26" s="231">
        <v>9.4040317115800196</v>
      </c>
      <c r="J26" s="231">
        <v>2802.4014500508501</v>
      </c>
      <c r="K26" s="231">
        <v>0</v>
      </c>
      <c r="L26" s="231">
        <v>0</v>
      </c>
      <c r="M26" s="231">
        <v>0</v>
      </c>
      <c r="N26" s="231">
        <v>0</v>
      </c>
      <c r="O26" s="231">
        <v>147433.669182471</v>
      </c>
    </row>
    <row r="27" spans="1:16" s="237" customFormat="1" ht="12" x14ac:dyDescent="0.2">
      <c r="A27" s="235"/>
      <c r="B27" s="230"/>
      <c r="C27" s="236" t="s">
        <v>741</v>
      </c>
      <c r="F27" s="238">
        <v>35959.707832831999</v>
      </c>
      <c r="G27" s="238">
        <v>3.1028645295564599</v>
      </c>
      <c r="H27" s="238">
        <v>77.571613238911397</v>
      </c>
      <c r="I27" s="238">
        <v>2.4175785053280801</v>
      </c>
      <c r="J27" s="238">
        <v>720.43839458776699</v>
      </c>
      <c r="K27" s="238">
        <v>0</v>
      </c>
      <c r="L27" s="238">
        <v>0</v>
      </c>
      <c r="M27" s="238">
        <v>0</v>
      </c>
      <c r="N27" s="238">
        <v>0</v>
      </c>
      <c r="O27" s="238">
        <v>36757.717840658697</v>
      </c>
    </row>
    <row r="28" spans="1:16" s="237" customFormat="1" ht="12" x14ac:dyDescent="0.2">
      <c r="A28" s="235"/>
      <c r="B28" s="230"/>
      <c r="C28" s="236" t="s">
        <v>742</v>
      </c>
      <c r="F28" s="238">
        <v>43490.573672728897</v>
      </c>
      <c r="G28" s="238">
        <v>3.7204178328933599</v>
      </c>
      <c r="H28" s="238">
        <v>93.010445822334006</v>
      </c>
      <c r="I28" s="238">
        <v>2.9329129880476299</v>
      </c>
      <c r="J28" s="238">
        <v>874.00807043819395</v>
      </c>
      <c r="K28" s="238">
        <v>0</v>
      </c>
      <c r="L28" s="238">
        <v>0</v>
      </c>
      <c r="M28" s="238">
        <v>0</v>
      </c>
      <c r="N28" s="238">
        <v>0</v>
      </c>
      <c r="O28" s="238">
        <v>44457.592188989402</v>
      </c>
    </row>
    <row r="29" spans="1:16" s="237" customFormat="1" ht="12" x14ac:dyDescent="0.2">
      <c r="A29" s="235"/>
      <c r="B29" s="230"/>
      <c r="C29" s="236" t="s">
        <v>743</v>
      </c>
      <c r="F29" s="238">
        <v>13394.9005499257</v>
      </c>
      <c r="G29" s="238">
        <v>0.52436458077651404</v>
      </c>
      <c r="H29" s="238">
        <v>13.1091145194129</v>
      </c>
      <c r="I29" s="238">
        <v>1.1358898397172601</v>
      </c>
      <c r="J29" s="238">
        <v>338.49517223574298</v>
      </c>
      <c r="K29" s="238">
        <v>0</v>
      </c>
      <c r="L29" s="238">
        <v>0</v>
      </c>
      <c r="M29" s="238">
        <v>0</v>
      </c>
      <c r="N29" s="238">
        <v>0</v>
      </c>
      <c r="O29" s="238">
        <v>13746.504836680801</v>
      </c>
    </row>
    <row r="30" spans="1:16" s="237" customFormat="1" ht="12" x14ac:dyDescent="0.2">
      <c r="A30" s="235"/>
      <c r="B30" s="230"/>
      <c r="C30" s="236" t="s">
        <v>744</v>
      </c>
      <c r="F30" s="238">
        <v>264.14709071170898</v>
      </c>
      <c r="G30" s="238">
        <v>0.105881346788137</v>
      </c>
      <c r="H30" s="238">
        <v>2.64703366970343</v>
      </c>
      <c r="I30" s="238">
        <v>4.9902766492045704E-3</v>
      </c>
      <c r="J30" s="238">
        <v>1.4871024414629599</v>
      </c>
      <c r="K30" s="238">
        <v>0</v>
      </c>
      <c r="L30" s="238">
        <v>0</v>
      </c>
      <c r="M30" s="238">
        <v>0</v>
      </c>
      <c r="N30" s="238">
        <v>0</v>
      </c>
      <c r="O30" s="238">
        <v>268.281226822875</v>
      </c>
      <c r="P30" s="242"/>
    </row>
    <row r="31" spans="1:16" s="237" customFormat="1" ht="12" x14ac:dyDescent="0.2">
      <c r="A31" s="235"/>
      <c r="B31" s="230"/>
      <c r="C31" s="236" t="s">
        <v>745</v>
      </c>
      <c r="F31" s="238">
        <v>839.69375750994902</v>
      </c>
      <c r="G31" s="238">
        <v>1.6413408283481399E-2</v>
      </c>
      <c r="H31" s="238">
        <v>0.41033520708703602</v>
      </c>
      <c r="I31" s="238">
        <v>6.9181425940940899E-2</v>
      </c>
      <c r="J31" s="238">
        <v>20.616064930400398</v>
      </c>
      <c r="K31" s="238">
        <v>0</v>
      </c>
      <c r="L31" s="238">
        <v>0</v>
      </c>
      <c r="M31" s="238">
        <v>0</v>
      </c>
      <c r="N31" s="238">
        <v>0</v>
      </c>
      <c r="O31" s="238">
        <v>860.72015764743605</v>
      </c>
    </row>
    <row r="32" spans="1:16" s="237" customFormat="1" ht="12" x14ac:dyDescent="0.2">
      <c r="A32" s="235"/>
      <c r="B32" s="230"/>
      <c r="C32" s="236" t="s">
        <v>746</v>
      </c>
      <c r="D32" s="243"/>
      <c r="E32" s="243"/>
      <c r="F32" s="244">
        <v>499.86695545219101</v>
      </c>
      <c r="G32" s="244">
        <v>1.29050697375274E-2</v>
      </c>
      <c r="H32" s="244">
        <v>0.32262674343818398</v>
      </c>
      <c r="I32" s="244">
        <v>4.1050147885379203E-2</v>
      </c>
      <c r="J32" s="244">
        <v>12.232944069843001</v>
      </c>
      <c r="K32" s="244">
        <v>0</v>
      </c>
      <c r="L32" s="244">
        <v>0</v>
      </c>
      <c r="M32" s="244">
        <v>0</v>
      </c>
      <c r="N32" s="244">
        <v>0</v>
      </c>
      <c r="O32" s="244">
        <v>512.42252626547202</v>
      </c>
    </row>
    <row r="33" spans="1:15" s="237" customFormat="1" ht="12" x14ac:dyDescent="0.2">
      <c r="A33" s="235"/>
      <c r="B33" s="230"/>
      <c r="C33" s="236" t="s">
        <v>747</v>
      </c>
      <c r="D33" s="243"/>
      <c r="E33" s="243"/>
      <c r="F33" s="244">
        <v>49916.293349213498</v>
      </c>
      <c r="G33" s="244">
        <v>2.1032232778504798</v>
      </c>
      <c r="H33" s="244">
        <v>52.5805819462621</v>
      </c>
      <c r="I33" s="244">
        <v>2.8019448992416001</v>
      </c>
      <c r="J33" s="244">
        <v>834.97957997399601</v>
      </c>
      <c r="K33" s="244">
        <v>0</v>
      </c>
      <c r="L33" s="244">
        <v>0</v>
      </c>
      <c r="M33" s="244">
        <v>0</v>
      </c>
      <c r="N33" s="244">
        <v>0</v>
      </c>
      <c r="O33" s="244">
        <v>50803.853511133799</v>
      </c>
    </row>
    <row r="34" spans="1:15" s="237" customFormat="1" ht="12" x14ac:dyDescent="0.2">
      <c r="A34" s="235"/>
      <c r="B34" s="230"/>
      <c r="C34" s="245" t="s">
        <v>748</v>
      </c>
      <c r="D34" s="243"/>
      <c r="E34" s="243"/>
      <c r="F34" s="244">
        <v>26.153345838097799</v>
      </c>
      <c r="G34" s="244">
        <v>1.11770824254051E-2</v>
      </c>
      <c r="H34" s="244">
        <v>0.27942706063512701</v>
      </c>
      <c r="I34" s="244">
        <v>4.83628769935919E-4</v>
      </c>
      <c r="J34" s="244">
        <v>0.144121373440904</v>
      </c>
      <c r="K34" s="244">
        <v>0</v>
      </c>
      <c r="L34" s="244">
        <v>0</v>
      </c>
      <c r="M34" s="244">
        <v>0</v>
      </c>
      <c r="N34" s="244">
        <v>0</v>
      </c>
      <c r="O34" s="244">
        <v>26.576894272173899</v>
      </c>
    </row>
    <row r="35" spans="1:15" s="249" customFormat="1" ht="12.75" x14ac:dyDescent="0.2">
      <c r="A35" s="228"/>
      <c r="B35" s="229" t="s">
        <v>749</v>
      </c>
      <c r="C35" s="246"/>
      <c r="D35" s="247"/>
      <c r="E35" s="247"/>
      <c r="F35" s="248">
        <v>6541.8661303277904</v>
      </c>
      <c r="G35" s="248">
        <v>0.37448933871864298</v>
      </c>
      <c r="H35" s="248">
        <v>9.3622334679660799</v>
      </c>
      <c r="I35" s="248">
        <v>2.5817443814973999</v>
      </c>
      <c r="J35" s="248">
        <v>769.35982568622603</v>
      </c>
      <c r="K35" s="248">
        <v>0</v>
      </c>
      <c r="L35" s="248">
        <v>0</v>
      </c>
      <c r="M35" s="248">
        <v>0</v>
      </c>
      <c r="N35" s="248">
        <v>0</v>
      </c>
      <c r="O35" s="248">
        <v>7320.5881894819804</v>
      </c>
    </row>
    <row r="36" spans="1:15" s="249" customFormat="1" ht="12.75" x14ac:dyDescent="0.2">
      <c r="A36" s="228"/>
      <c r="B36" s="232" t="s">
        <v>750</v>
      </c>
      <c r="C36" s="246"/>
      <c r="D36" s="247"/>
      <c r="E36" s="247"/>
      <c r="F36" s="248">
        <v>5048.16033977797</v>
      </c>
      <c r="G36" s="248">
        <v>0.46728696593109997</v>
      </c>
      <c r="H36" s="248">
        <v>11.6821741482775</v>
      </c>
      <c r="I36" s="248">
        <v>0.13352117552072201</v>
      </c>
      <c r="J36" s="248">
        <v>39.789310305175199</v>
      </c>
      <c r="K36" s="248">
        <v>0</v>
      </c>
      <c r="L36" s="248">
        <v>0</v>
      </c>
      <c r="M36" s="248">
        <v>0</v>
      </c>
      <c r="N36" s="248">
        <v>0</v>
      </c>
      <c r="O36" s="248">
        <v>5099.6318242314201</v>
      </c>
    </row>
    <row r="37" spans="1:15" s="234" customFormat="1" ht="12.75" x14ac:dyDescent="0.2">
      <c r="A37" s="228"/>
      <c r="B37" s="229" t="s">
        <v>751</v>
      </c>
      <c r="C37" s="250"/>
      <c r="D37" s="251"/>
      <c r="E37" s="251"/>
      <c r="F37" s="252">
        <v>33806.3528026118</v>
      </c>
      <c r="G37" s="252">
        <v>12.923317481320399</v>
      </c>
      <c r="H37" s="252">
        <v>323.08293703301098</v>
      </c>
      <c r="I37" s="252">
        <v>9.2974157123026195</v>
      </c>
      <c r="J37" s="252">
        <v>2770.6298822661802</v>
      </c>
      <c r="K37" s="252">
        <v>0</v>
      </c>
      <c r="L37" s="252">
        <v>0</v>
      </c>
      <c r="M37" s="252">
        <v>0</v>
      </c>
      <c r="N37" s="252">
        <v>0</v>
      </c>
      <c r="O37" s="252">
        <v>36900.065621911002</v>
      </c>
    </row>
    <row r="38" spans="1:15" s="237" customFormat="1" ht="12" x14ac:dyDescent="0.2">
      <c r="A38" s="235"/>
      <c r="B38" s="230"/>
      <c r="C38" s="236" t="s">
        <v>752</v>
      </c>
      <c r="F38" s="238">
        <v>10604.4113616742</v>
      </c>
      <c r="G38" s="238">
        <v>0.663769320581447</v>
      </c>
      <c r="H38" s="238">
        <v>16.594233014536201</v>
      </c>
      <c r="I38" s="238">
        <v>4.1650164148794504</v>
      </c>
      <c r="J38" s="238">
        <v>1241.17489163408</v>
      </c>
      <c r="K38" s="238">
        <v>0</v>
      </c>
      <c r="L38" s="238">
        <v>0</v>
      </c>
      <c r="M38" s="238">
        <v>0</v>
      </c>
      <c r="N38" s="238">
        <v>0</v>
      </c>
      <c r="O38" s="238">
        <v>11862.180486322801</v>
      </c>
    </row>
    <row r="39" spans="1:15" s="237" customFormat="1" ht="12" x14ac:dyDescent="0.2">
      <c r="A39" s="235"/>
      <c r="B39" s="230"/>
      <c r="C39" s="236" t="s">
        <v>753</v>
      </c>
      <c r="F39" s="238">
        <v>1832.1549661778599</v>
      </c>
      <c r="G39" s="238">
        <v>1.1912103362099999</v>
      </c>
      <c r="H39" s="238">
        <v>29.780258405250098</v>
      </c>
      <c r="I39" s="238">
        <v>0.42825830948417298</v>
      </c>
      <c r="J39" s="238">
        <v>127.620976226284</v>
      </c>
      <c r="K39" s="238">
        <v>0</v>
      </c>
      <c r="L39" s="238">
        <v>0</v>
      </c>
      <c r="M39" s="238">
        <v>0</v>
      </c>
      <c r="N39" s="238">
        <v>0</v>
      </c>
      <c r="O39" s="238">
        <v>1989.5562008094</v>
      </c>
    </row>
    <row r="40" spans="1:15" s="237" customFormat="1" ht="12" x14ac:dyDescent="0.2">
      <c r="A40" s="235"/>
      <c r="B40" s="230"/>
      <c r="C40" s="236" t="s">
        <v>754</v>
      </c>
      <c r="F40" s="238">
        <v>11042.0680939707</v>
      </c>
      <c r="G40" s="238">
        <v>0.98550882108448101</v>
      </c>
      <c r="H40" s="238">
        <v>24.637720527111998</v>
      </c>
      <c r="I40" s="238">
        <v>4.0976428717050002</v>
      </c>
      <c r="J40" s="238">
        <v>1221.0975757680901</v>
      </c>
      <c r="K40" s="238">
        <v>0</v>
      </c>
      <c r="L40" s="238">
        <v>0</v>
      </c>
      <c r="M40" s="238">
        <v>0</v>
      </c>
      <c r="N40" s="238">
        <v>0</v>
      </c>
      <c r="O40" s="238">
        <v>12287.803390265901</v>
      </c>
    </row>
    <row r="41" spans="1:15" s="237" customFormat="1" ht="12" x14ac:dyDescent="0.2">
      <c r="A41" s="235"/>
      <c r="B41" s="230"/>
      <c r="C41" s="236" t="s">
        <v>755</v>
      </c>
      <c r="F41" s="238">
        <v>603.57532330506501</v>
      </c>
      <c r="G41" s="238">
        <v>0.51657356012320599</v>
      </c>
      <c r="H41" s="238">
        <v>12.914339003080199</v>
      </c>
      <c r="I41" s="238">
        <v>8.3643194206946894E-2</v>
      </c>
      <c r="J41" s="238">
        <v>24.925671873670201</v>
      </c>
      <c r="K41" s="238">
        <v>0</v>
      </c>
      <c r="L41" s="238">
        <v>0</v>
      </c>
      <c r="M41" s="238">
        <v>0</v>
      </c>
      <c r="N41" s="238">
        <v>0</v>
      </c>
      <c r="O41" s="238">
        <v>641.41533418181598</v>
      </c>
    </row>
    <row r="42" spans="1:15" s="237" customFormat="1" ht="12" x14ac:dyDescent="0.2">
      <c r="A42" s="235"/>
      <c r="B42" s="230"/>
      <c r="C42" s="236" t="s">
        <v>756</v>
      </c>
      <c r="F42" s="238">
        <v>3221.0536574839998</v>
      </c>
      <c r="G42" s="238">
        <v>3.0507592933212901</v>
      </c>
      <c r="H42" s="238">
        <v>76.268982333032199</v>
      </c>
      <c r="I42" s="238">
        <v>0.347318922027051</v>
      </c>
      <c r="J42" s="238">
        <v>103.50103876406099</v>
      </c>
      <c r="K42" s="238">
        <v>0</v>
      </c>
      <c r="L42" s="238">
        <v>0</v>
      </c>
      <c r="M42" s="238">
        <v>0</v>
      </c>
      <c r="N42" s="238">
        <v>0</v>
      </c>
      <c r="O42" s="238">
        <v>3400.8236785811</v>
      </c>
    </row>
    <row r="43" spans="1:15" s="237" customFormat="1" ht="12" x14ac:dyDescent="0.2">
      <c r="A43" s="235"/>
      <c r="B43" s="230"/>
      <c r="C43" s="253" t="s">
        <v>757</v>
      </c>
      <c r="F43" s="238">
        <v>6503.0893999999998</v>
      </c>
      <c r="G43" s="238">
        <v>6.5154961499999997</v>
      </c>
      <c r="H43" s="238">
        <v>162.88740375</v>
      </c>
      <c r="I43" s="238">
        <v>0.175536</v>
      </c>
      <c r="J43" s="238">
        <v>52.309728</v>
      </c>
      <c r="K43" s="238">
        <v>0</v>
      </c>
      <c r="L43" s="238">
        <v>0</v>
      </c>
      <c r="M43" s="238">
        <v>0</v>
      </c>
      <c r="N43" s="238">
        <v>0</v>
      </c>
      <c r="O43" s="238">
        <v>6718.28653175</v>
      </c>
    </row>
    <row r="44" spans="1:15" s="240" customFormat="1" ht="12.75" x14ac:dyDescent="0.2">
      <c r="A44" s="224" t="s">
        <v>758</v>
      </c>
      <c r="B44" s="225" t="s">
        <v>759</v>
      </c>
      <c r="C44" s="225"/>
      <c r="F44" s="226">
        <v>13241.929453226099</v>
      </c>
      <c r="G44" s="226">
        <v>1824.21767885482</v>
      </c>
      <c r="H44" s="226">
        <v>45605.441971370397</v>
      </c>
      <c r="I44" s="226">
        <v>0.15633900406654799</v>
      </c>
      <c r="J44" s="226">
        <v>46.589023211831197</v>
      </c>
      <c r="K44" s="226">
        <v>0</v>
      </c>
      <c r="L44" s="226">
        <v>0</v>
      </c>
      <c r="M44" s="226">
        <v>0</v>
      </c>
      <c r="N44" s="226">
        <v>0</v>
      </c>
      <c r="O44" s="226">
        <v>58893.9604478084</v>
      </c>
    </row>
    <row r="45" spans="1:15" s="234" customFormat="1" ht="12.75" x14ac:dyDescent="0.2">
      <c r="A45" s="228"/>
      <c r="B45" s="229" t="s">
        <v>760</v>
      </c>
      <c r="C45" s="229"/>
      <c r="F45" s="231">
        <v>0</v>
      </c>
      <c r="G45" s="231">
        <v>61.343955676716597</v>
      </c>
      <c r="H45" s="231">
        <v>1533.5988919179199</v>
      </c>
      <c r="I45" s="231">
        <v>0</v>
      </c>
      <c r="J45" s="231">
        <v>0</v>
      </c>
      <c r="K45" s="231">
        <v>0</v>
      </c>
      <c r="L45" s="231">
        <v>0</v>
      </c>
      <c r="M45" s="231">
        <v>0</v>
      </c>
      <c r="N45" s="231">
        <v>0</v>
      </c>
      <c r="O45" s="231">
        <v>1533.5988919179199</v>
      </c>
    </row>
    <row r="46" spans="1:15" s="234" customFormat="1" ht="12.75" x14ac:dyDescent="0.2">
      <c r="A46" s="228"/>
      <c r="B46" s="229" t="s">
        <v>761</v>
      </c>
      <c r="C46" s="229"/>
      <c r="F46" s="231">
        <v>13241.929453226099</v>
      </c>
      <c r="G46" s="231">
        <v>1762.8737231780999</v>
      </c>
      <c r="H46" s="231">
        <v>44071.843079452497</v>
      </c>
      <c r="I46" s="231">
        <v>0.15633900406654799</v>
      </c>
      <c r="J46" s="231">
        <v>46.589023211831197</v>
      </c>
      <c r="K46" s="231">
        <v>0</v>
      </c>
      <c r="L46" s="231">
        <v>0</v>
      </c>
      <c r="M46" s="231">
        <v>0</v>
      </c>
      <c r="N46" s="231">
        <v>0</v>
      </c>
      <c r="O46" s="231">
        <v>57360.3615558905</v>
      </c>
    </row>
    <row r="47" spans="1:15" s="237" customFormat="1" ht="12" x14ac:dyDescent="0.2">
      <c r="A47" s="254"/>
      <c r="B47" s="255"/>
      <c r="C47" s="230" t="s">
        <v>762</v>
      </c>
      <c r="F47" s="238">
        <v>213.045734604741</v>
      </c>
      <c r="G47" s="238">
        <v>277.77865436120101</v>
      </c>
      <c r="H47" s="238">
        <v>6944.4663590300297</v>
      </c>
      <c r="I47" s="238">
        <v>0.11355266116</v>
      </c>
      <c r="J47" s="238">
        <v>33.838693025680001</v>
      </c>
      <c r="K47" s="238">
        <v>0</v>
      </c>
      <c r="L47" s="238">
        <v>0</v>
      </c>
      <c r="M47" s="238">
        <v>0</v>
      </c>
      <c r="N47" s="238">
        <v>0</v>
      </c>
      <c r="O47" s="238">
        <v>7191.3507866604496</v>
      </c>
    </row>
    <row r="48" spans="1:15" s="237" customFormat="1" ht="12" x14ac:dyDescent="0.2">
      <c r="A48" s="254"/>
      <c r="B48" s="255"/>
      <c r="C48" s="230" t="s">
        <v>763</v>
      </c>
      <c r="F48" s="238">
        <v>72.167426603130906</v>
      </c>
      <c r="G48" s="238">
        <v>511.33100009751098</v>
      </c>
      <c r="H48" s="238">
        <v>12783.2750024378</v>
      </c>
      <c r="I48" s="238">
        <v>0</v>
      </c>
      <c r="J48" s="238">
        <v>0</v>
      </c>
      <c r="K48" s="238">
        <v>0</v>
      </c>
      <c r="L48" s="238">
        <v>0</v>
      </c>
      <c r="M48" s="238">
        <v>0</v>
      </c>
      <c r="N48" s="238">
        <v>0</v>
      </c>
      <c r="O48" s="238">
        <v>12855.442429040901</v>
      </c>
    </row>
    <row r="49" spans="1:16" s="237" customFormat="1" ht="12" x14ac:dyDescent="0.2">
      <c r="A49" s="256"/>
      <c r="B49" s="257"/>
      <c r="C49" s="258" t="s">
        <v>380</v>
      </c>
      <c r="D49" s="243"/>
      <c r="E49" s="243"/>
      <c r="F49" s="244">
        <v>8057.1859142023004</v>
      </c>
      <c r="G49" s="244">
        <v>953.53768833470599</v>
      </c>
      <c r="H49" s="244">
        <v>23838.4422083676</v>
      </c>
      <c r="I49" s="244">
        <v>0</v>
      </c>
      <c r="J49" s="244">
        <v>0</v>
      </c>
      <c r="K49" s="244">
        <v>0</v>
      </c>
      <c r="L49" s="244">
        <v>0</v>
      </c>
      <c r="M49" s="244">
        <v>0</v>
      </c>
      <c r="N49" s="244">
        <v>0</v>
      </c>
      <c r="O49" s="244">
        <v>31895.628122569899</v>
      </c>
    </row>
    <row r="50" spans="1:16" s="237" customFormat="1" ht="12" x14ac:dyDescent="0.2">
      <c r="A50" s="256"/>
      <c r="B50" s="257"/>
      <c r="C50" s="258" t="s">
        <v>381</v>
      </c>
      <c r="D50" s="243"/>
      <c r="E50" s="243"/>
      <c r="F50" s="244">
        <v>4899.5303778159696</v>
      </c>
      <c r="G50" s="244">
        <v>20.226380384682201</v>
      </c>
      <c r="H50" s="244">
        <v>505.65950961705499</v>
      </c>
      <c r="I50" s="244">
        <v>4.2786342906547502E-2</v>
      </c>
      <c r="J50" s="244">
        <v>12.750330186151199</v>
      </c>
      <c r="K50" s="244">
        <v>0</v>
      </c>
      <c r="L50" s="244">
        <v>0</v>
      </c>
      <c r="M50" s="244">
        <v>0</v>
      </c>
      <c r="N50" s="244">
        <v>0</v>
      </c>
      <c r="O50" s="244">
        <v>5417.9402176191797</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40690.407900431797</v>
      </c>
      <c r="G52" s="266">
        <v>3.2556345210313098</v>
      </c>
      <c r="H52" s="266">
        <v>81.390863025782807</v>
      </c>
      <c r="I52" s="266">
        <v>4.1767697052327097</v>
      </c>
      <c r="J52" s="266">
        <v>1244.6773721593499</v>
      </c>
      <c r="K52" s="266">
        <v>9429.1255627685005</v>
      </c>
      <c r="L52" s="266">
        <v>1617.1047260513101</v>
      </c>
      <c r="M52" s="266">
        <v>437.98115496002703</v>
      </c>
      <c r="N52" s="266">
        <v>0.15104489600000001</v>
      </c>
      <c r="O52" s="266">
        <v>53500.838624292803</v>
      </c>
    </row>
    <row r="53" spans="1:16" s="240" customFormat="1" ht="12.75" x14ac:dyDescent="0.2">
      <c r="A53" s="224" t="s">
        <v>724</v>
      </c>
      <c r="B53" s="225" t="s">
        <v>767</v>
      </c>
      <c r="C53" s="225"/>
      <c r="D53" s="268"/>
      <c r="E53" s="268"/>
      <c r="F53" s="269">
        <v>7726.01464981545</v>
      </c>
      <c r="G53" s="269">
        <v>0</v>
      </c>
      <c r="H53" s="269">
        <v>0</v>
      </c>
      <c r="I53" s="269">
        <v>0</v>
      </c>
      <c r="J53" s="269">
        <v>0</v>
      </c>
      <c r="K53" s="269">
        <v>0</v>
      </c>
      <c r="L53" s="269">
        <v>0</v>
      </c>
      <c r="M53" s="269">
        <v>0</v>
      </c>
      <c r="N53" s="269">
        <v>0</v>
      </c>
      <c r="O53" s="269">
        <v>7726.01464981545</v>
      </c>
    </row>
    <row r="54" spans="1:16" s="273" customFormat="1" ht="12" x14ac:dyDescent="0.2">
      <c r="A54" s="235"/>
      <c r="B54" s="270"/>
      <c r="C54" s="236" t="s">
        <v>560</v>
      </c>
      <c r="D54" s="271"/>
      <c r="E54" s="271"/>
      <c r="F54" s="272">
        <v>5981.8803001263996</v>
      </c>
      <c r="G54" s="272">
        <v>0</v>
      </c>
      <c r="H54" s="272">
        <v>0</v>
      </c>
      <c r="I54" s="272">
        <v>0</v>
      </c>
      <c r="J54" s="272">
        <v>0</v>
      </c>
      <c r="K54" s="272">
        <v>0</v>
      </c>
      <c r="L54" s="272">
        <v>0</v>
      </c>
      <c r="M54" s="272">
        <v>0</v>
      </c>
      <c r="N54" s="272">
        <v>0</v>
      </c>
      <c r="O54" s="272">
        <v>5981.8803001263996</v>
      </c>
      <c r="P54" s="271"/>
    </row>
    <row r="55" spans="1:16" s="273" customFormat="1" ht="12" x14ac:dyDescent="0.2">
      <c r="A55" s="235"/>
      <c r="B55" s="270"/>
      <c r="C55" s="236" t="s">
        <v>191</v>
      </c>
      <c r="D55" s="271"/>
      <c r="E55" s="271"/>
      <c r="F55" s="272">
        <v>1364.8117190857699</v>
      </c>
      <c r="G55" s="272">
        <v>0</v>
      </c>
      <c r="H55" s="272">
        <v>0</v>
      </c>
      <c r="I55" s="272">
        <v>0</v>
      </c>
      <c r="J55" s="272">
        <v>0</v>
      </c>
      <c r="K55" s="272">
        <v>0</v>
      </c>
      <c r="L55" s="272">
        <v>0</v>
      </c>
      <c r="M55" s="272">
        <v>0</v>
      </c>
      <c r="N55" s="272">
        <v>0</v>
      </c>
      <c r="O55" s="272">
        <v>1364.8117190857699</v>
      </c>
      <c r="P55" s="271"/>
    </row>
    <row r="56" spans="1:16" s="273" customFormat="1" ht="12" x14ac:dyDescent="0.2">
      <c r="A56" s="235"/>
      <c r="B56" s="270"/>
      <c r="C56" s="236" t="s">
        <v>768</v>
      </c>
      <c r="D56" s="271"/>
      <c r="E56" s="271"/>
      <c r="F56" s="272">
        <v>379.32263060328501</v>
      </c>
      <c r="G56" s="272">
        <v>0</v>
      </c>
      <c r="H56" s="272">
        <v>0</v>
      </c>
      <c r="I56" s="272">
        <v>0</v>
      </c>
      <c r="J56" s="272">
        <v>0</v>
      </c>
      <c r="K56" s="272">
        <v>0</v>
      </c>
      <c r="L56" s="272">
        <v>0</v>
      </c>
      <c r="M56" s="272">
        <v>0</v>
      </c>
      <c r="N56" s="272">
        <v>0</v>
      </c>
      <c r="O56" s="272">
        <v>379.32263060328501</v>
      </c>
      <c r="P56" s="271"/>
    </row>
    <row r="57" spans="1:16" s="275" customFormat="1" ht="12.75" x14ac:dyDescent="0.2">
      <c r="A57" s="224" t="s">
        <v>737</v>
      </c>
      <c r="B57" s="225" t="s">
        <v>769</v>
      </c>
      <c r="C57" s="225"/>
      <c r="D57" s="274"/>
      <c r="E57" s="274"/>
      <c r="F57" s="269">
        <v>5324.4631472313604</v>
      </c>
      <c r="G57" s="269">
        <v>3.18231452103131</v>
      </c>
      <c r="H57" s="269">
        <v>79.557863025782794</v>
      </c>
      <c r="I57" s="269">
        <v>3.3545705484194799</v>
      </c>
      <c r="J57" s="269">
        <v>999.66202342900601</v>
      </c>
      <c r="K57" s="269">
        <v>0</v>
      </c>
      <c r="L57" s="269">
        <v>0</v>
      </c>
      <c r="M57" s="269">
        <v>0</v>
      </c>
      <c r="N57" s="269">
        <v>0</v>
      </c>
      <c r="O57" s="269">
        <v>6403.6830336861503</v>
      </c>
      <c r="P57" s="274"/>
    </row>
    <row r="58" spans="1:16" s="277" customFormat="1" ht="12" x14ac:dyDescent="0.2">
      <c r="A58" s="235"/>
      <c r="B58" s="270"/>
      <c r="C58" s="236" t="s">
        <v>192</v>
      </c>
      <c r="D58" s="276"/>
      <c r="E58" s="276"/>
      <c r="F58" s="272">
        <v>2949.9646226688501</v>
      </c>
      <c r="G58" s="272">
        <v>0</v>
      </c>
      <c r="H58" s="272">
        <v>0</v>
      </c>
      <c r="I58" s="272">
        <v>0</v>
      </c>
      <c r="J58" s="272">
        <v>0</v>
      </c>
      <c r="K58" s="272">
        <v>0</v>
      </c>
      <c r="L58" s="272">
        <v>0</v>
      </c>
      <c r="M58" s="272">
        <v>0</v>
      </c>
      <c r="N58" s="272">
        <v>0</v>
      </c>
      <c r="O58" s="272">
        <v>2949.9646226688501</v>
      </c>
      <c r="P58" s="276"/>
    </row>
    <row r="59" spans="1:16" s="277" customFormat="1" ht="12" x14ac:dyDescent="0.2">
      <c r="A59" s="235"/>
      <c r="B59" s="270"/>
      <c r="C59" s="236" t="s">
        <v>190</v>
      </c>
      <c r="D59" s="276"/>
      <c r="E59" s="276"/>
      <c r="F59" s="272">
        <v>0</v>
      </c>
      <c r="G59" s="272">
        <v>0</v>
      </c>
      <c r="H59" s="272">
        <v>0</v>
      </c>
      <c r="I59" s="272">
        <v>3.3155296862638699</v>
      </c>
      <c r="J59" s="272">
        <v>988.02784650663398</v>
      </c>
      <c r="K59" s="272">
        <v>0</v>
      </c>
      <c r="L59" s="272">
        <v>0</v>
      </c>
      <c r="M59" s="272">
        <v>0</v>
      </c>
      <c r="N59" s="272">
        <v>0</v>
      </c>
      <c r="O59" s="272">
        <v>988.02784650663398</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2374.4985245625098</v>
      </c>
      <c r="G61" s="272">
        <v>3.18231452103131</v>
      </c>
      <c r="H61" s="272">
        <v>79.557863025782794</v>
      </c>
      <c r="I61" s="272">
        <v>3.9040862155610499E-2</v>
      </c>
      <c r="J61" s="272">
        <v>11.6341769223719</v>
      </c>
      <c r="K61" s="272">
        <v>0</v>
      </c>
      <c r="L61" s="272">
        <v>0</v>
      </c>
      <c r="M61" s="272">
        <v>0</v>
      </c>
      <c r="N61" s="272">
        <v>0</v>
      </c>
      <c r="O61" s="272">
        <v>2465.6905645106599</v>
      </c>
      <c r="P61" s="276"/>
    </row>
    <row r="62" spans="1:16" s="240" customFormat="1" ht="12.75" x14ac:dyDescent="0.2">
      <c r="A62" s="224" t="s">
        <v>758</v>
      </c>
      <c r="B62" s="225" t="s">
        <v>772</v>
      </c>
      <c r="C62" s="225"/>
      <c r="D62" s="268"/>
      <c r="E62" s="268"/>
      <c r="F62" s="269">
        <v>12971.5864450349</v>
      </c>
      <c r="G62" s="269">
        <v>7.3319999999999996E-2</v>
      </c>
      <c r="H62" s="269">
        <v>1.833</v>
      </c>
      <c r="I62" s="269">
        <v>0</v>
      </c>
      <c r="J62" s="269">
        <v>0</v>
      </c>
      <c r="K62" s="269">
        <v>0</v>
      </c>
      <c r="L62" s="269">
        <v>1593.6649070000001</v>
      </c>
      <c r="M62" s="269">
        <v>218.69115467474001</v>
      </c>
      <c r="N62" s="269">
        <v>0</v>
      </c>
      <c r="O62" s="269">
        <v>14785.7755067096</v>
      </c>
      <c r="P62" s="268"/>
    </row>
    <row r="63" spans="1:16" s="273" customFormat="1" ht="12" x14ac:dyDescent="0.2">
      <c r="A63" s="235"/>
      <c r="B63" s="230"/>
      <c r="C63" s="230" t="s">
        <v>773</v>
      </c>
      <c r="D63" s="271"/>
      <c r="E63" s="271"/>
      <c r="F63" s="272">
        <v>8036.8524450348596</v>
      </c>
      <c r="G63" s="272">
        <v>7.3319999999999996E-2</v>
      </c>
      <c r="H63" s="272">
        <v>1.833</v>
      </c>
      <c r="I63" s="272">
        <v>0</v>
      </c>
      <c r="J63" s="272">
        <v>0</v>
      </c>
      <c r="K63" s="272">
        <v>0</v>
      </c>
      <c r="L63" s="272">
        <v>0</v>
      </c>
      <c r="M63" s="272">
        <v>0</v>
      </c>
      <c r="N63" s="272">
        <v>0</v>
      </c>
      <c r="O63" s="272">
        <v>8038.6854450348601</v>
      </c>
      <c r="P63" s="271"/>
    </row>
    <row r="64" spans="1:16" s="273" customFormat="1" ht="12" x14ac:dyDescent="0.2">
      <c r="A64" s="235"/>
      <c r="B64" s="230"/>
      <c r="C64" s="230" t="s">
        <v>252</v>
      </c>
      <c r="D64" s="271"/>
      <c r="E64" s="271"/>
      <c r="F64" s="272">
        <v>4934.7340000000004</v>
      </c>
      <c r="G64" s="272">
        <v>0</v>
      </c>
      <c r="H64" s="272">
        <v>0</v>
      </c>
      <c r="I64" s="272">
        <v>0</v>
      </c>
      <c r="J64" s="272">
        <v>0</v>
      </c>
      <c r="K64" s="272">
        <v>0</v>
      </c>
      <c r="L64" s="272">
        <v>1593.6649070000001</v>
      </c>
      <c r="M64" s="272">
        <v>5.3860440000000001</v>
      </c>
      <c r="N64" s="272">
        <v>0</v>
      </c>
      <c r="O64" s="272">
        <v>6533.7849509999996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213.30511067474001</v>
      </c>
      <c r="N65" s="272">
        <v>0</v>
      </c>
      <c r="O65" s="272">
        <v>213.30511067474001</v>
      </c>
      <c r="P65" s="271"/>
    </row>
    <row r="66" spans="1:16" s="234" customFormat="1" x14ac:dyDescent="0.25">
      <c r="A66" s="278" t="s">
        <v>764</v>
      </c>
      <c r="B66" s="279" t="s">
        <v>775</v>
      </c>
      <c r="C66" s="279"/>
      <c r="D66" s="251"/>
      <c r="E66" s="251"/>
      <c r="F66" s="252">
        <v>0</v>
      </c>
      <c r="G66" s="252">
        <v>0</v>
      </c>
      <c r="H66" s="252">
        <v>0</v>
      </c>
      <c r="I66" s="252">
        <v>0</v>
      </c>
      <c r="J66" s="252">
        <v>0</v>
      </c>
      <c r="K66" s="252">
        <v>9429.1255627685005</v>
      </c>
      <c r="L66" s="252">
        <v>4.0303631353934799</v>
      </c>
      <c r="M66" s="252">
        <v>1.28506428528673</v>
      </c>
      <c r="N66" s="252">
        <v>0.15104489600000001</v>
      </c>
      <c r="O66" s="252">
        <v>9434.5920350851793</v>
      </c>
      <c r="P66" s="251"/>
    </row>
    <row r="67" spans="1:16" s="234" customFormat="1" ht="12.75" x14ac:dyDescent="0.2">
      <c r="A67" s="278" t="s">
        <v>776</v>
      </c>
      <c r="B67" s="279" t="s">
        <v>777</v>
      </c>
      <c r="C67" s="279"/>
      <c r="D67" s="251"/>
      <c r="E67" s="251"/>
      <c r="F67" s="252">
        <v>14651.4209538672</v>
      </c>
      <c r="G67" s="252">
        <v>0</v>
      </c>
      <c r="H67" s="252">
        <v>0</v>
      </c>
      <c r="I67" s="252">
        <v>0</v>
      </c>
      <c r="J67" s="252">
        <v>0</v>
      </c>
      <c r="K67" s="252">
        <v>0</v>
      </c>
      <c r="L67" s="252">
        <v>0</v>
      </c>
      <c r="M67" s="252">
        <v>0</v>
      </c>
      <c r="N67" s="252">
        <v>0</v>
      </c>
      <c r="O67" s="252">
        <v>14651.4209538672</v>
      </c>
      <c r="P67" s="251"/>
    </row>
    <row r="68" spans="1:16" s="234" customFormat="1" ht="12.75" x14ac:dyDescent="0.2">
      <c r="A68" s="259" t="s">
        <v>778</v>
      </c>
      <c r="B68" s="260" t="s">
        <v>779</v>
      </c>
      <c r="C68" s="260"/>
      <c r="D68" s="280"/>
      <c r="E68" s="280"/>
      <c r="F68" s="281">
        <v>16.922704482950699</v>
      </c>
      <c r="G68" s="281">
        <v>0</v>
      </c>
      <c r="H68" s="281">
        <v>0</v>
      </c>
      <c r="I68" s="281">
        <v>0.82219915681322697</v>
      </c>
      <c r="J68" s="281">
        <v>245.015348730342</v>
      </c>
      <c r="K68" s="281">
        <v>0</v>
      </c>
      <c r="L68" s="281">
        <v>19.409455915912101</v>
      </c>
      <c r="M68" s="281">
        <v>218.00493599999999</v>
      </c>
      <c r="N68" s="281">
        <v>0</v>
      </c>
      <c r="O68" s="281">
        <v>499.352445129204</v>
      </c>
      <c r="P68" s="251"/>
    </row>
    <row r="69" spans="1:16" s="267" customFormat="1" ht="12.75" x14ac:dyDescent="0.2">
      <c r="A69" s="282" t="s">
        <v>780</v>
      </c>
      <c r="B69" s="283"/>
      <c r="C69" s="283"/>
      <c r="D69" s="284"/>
      <c r="E69" s="284"/>
      <c r="F69" s="285">
        <v>2675.6810666666702</v>
      </c>
      <c r="G69" s="285">
        <v>1157.94329627356</v>
      </c>
      <c r="H69" s="285">
        <v>28948.582406838901</v>
      </c>
      <c r="I69" s="285">
        <v>93.864794189620397</v>
      </c>
      <c r="J69" s="285">
        <v>27971.708668506901</v>
      </c>
      <c r="K69" s="285">
        <v>0</v>
      </c>
      <c r="L69" s="285">
        <v>0</v>
      </c>
      <c r="M69" s="285">
        <v>0</v>
      </c>
      <c r="N69" s="285">
        <v>0</v>
      </c>
      <c r="O69" s="285">
        <v>59595.972142012499</v>
      </c>
      <c r="P69" s="265"/>
    </row>
    <row r="70" spans="1:16" s="234" customFormat="1" ht="12.75" x14ac:dyDescent="0.2">
      <c r="A70" s="278" t="s">
        <v>724</v>
      </c>
      <c r="B70" s="279" t="s">
        <v>27</v>
      </c>
      <c r="C70" s="279"/>
      <c r="D70" s="251"/>
      <c r="E70" s="251"/>
      <c r="F70" s="252">
        <v>0</v>
      </c>
      <c r="G70" s="252">
        <v>1008.3362839776501</v>
      </c>
      <c r="H70" s="252">
        <v>25208.4070994414</v>
      </c>
      <c r="I70" s="252">
        <v>0</v>
      </c>
      <c r="J70" s="252">
        <v>0</v>
      </c>
      <c r="K70" s="252">
        <v>0</v>
      </c>
      <c r="L70" s="252">
        <v>0</v>
      </c>
      <c r="M70" s="252">
        <v>0</v>
      </c>
      <c r="N70" s="252">
        <v>0</v>
      </c>
      <c r="O70" s="252">
        <v>25208.4070994414</v>
      </c>
      <c r="P70" s="251"/>
    </row>
    <row r="71" spans="1:16" s="234" customFormat="1" ht="12.75" x14ac:dyDescent="0.2">
      <c r="A71" s="278" t="s">
        <v>737</v>
      </c>
      <c r="B71" s="279" t="s">
        <v>28</v>
      </c>
      <c r="C71" s="279"/>
      <c r="D71" s="251"/>
      <c r="E71" s="251"/>
      <c r="F71" s="252">
        <v>0</v>
      </c>
      <c r="G71" s="252">
        <v>148.01514856859299</v>
      </c>
      <c r="H71" s="252">
        <v>3700.3787142148399</v>
      </c>
      <c r="I71" s="252">
        <v>15.8255595489454</v>
      </c>
      <c r="J71" s="252">
        <v>4716.0167455857199</v>
      </c>
      <c r="K71" s="252">
        <v>0</v>
      </c>
      <c r="L71" s="252">
        <v>0</v>
      </c>
      <c r="M71" s="252">
        <v>0</v>
      </c>
      <c r="N71" s="252">
        <v>0</v>
      </c>
      <c r="O71" s="252">
        <v>8416.3954598005603</v>
      </c>
      <c r="P71" s="251"/>
    </row>
    <row r="72" spans="1:16" s="234" customFormat="1" ht="12.75" x14ac:dyDescent="0.2">
      <c r="A72" s="224" t="s">
        <v>758</v>
      </c>
      <c r="B72" s="225" t="s">
        <v>781</v>
      </c>
      <c r="C72" s="225"/>
      <c r="F72" s="231">
        <v>0</v>
      </c>
      <c r="G72" s="231">
        <v>0</v>
      </c>
      <c r="H72" s="231">
        <v>0</v>
      </c>
      <c r="I72" s="231">
        <v>77.997964099596601</v>
      </c>
      <c r="J72" s="231">
        <v>23243.3933016798</v>
      </c>
      <c r="K72" s="231">
        <v>0</v>
      </c>
      <c r="L72" s="231">
        <v>0</v>
      </c>
      <c r="M72" s="231">
        <v>0</v>
      </c>
      <c r="N72" s="231">
        <v>0</v>
      </c>
      <c r="O72" s="231">
        <v>23243.3933016798</v>
      </c>
    </row>
    <row r="73" spans="1:16" s="237" customFormat="1" ht="12" x14ac:dyDescent="0.2">
      <c r="A73" s="286"/>
      <c r="B73" s="258"/>
      <c r="C73" s="258" t="s">
        <v>782</v>
      </c>
      <c r="D73" s="243"/>
      <c r="E73" s="243"/>
      <c r="F73" s="244">
        <v>0</v>
      </c>
      <c r="G73" s="244">
        <v>0</v>
      </c>
      <c r="H73" s="244">
        <v>0</v>
      </c>
      <c r="I73" s="244">
        <v>64.461455699631401</v>
      </c>
      <c r="J73" s="244">
        <v>19209.513798490101</v>
      </c>
      <c r="K73" s="244">
        <v>0</v>
      </c>
      <c r="L73" s="244">
        <v>0</v>
      </c>
      <c r="M73" s="244">
        <v>0</v>
      </c>
      <c r="N73" s="244">
        <v>0</v>
      </c>
      <c r="O73" s="244">
        <v>19209.513798490101</v>
      </c>
    </row>
    <row r="74" spans="1:16" s="237" customFormat="1" ht="12" x14ac:dyDescent="0.2">
      <c r="A74" s="286"/>
      <c r="B74" s="258"/>
      <c r="C74" s="258" t="s">
        <v>783</v>
      </c>
      <c r="D74" s="243"/>
      <c r="E74" s="243"/>
      <c r="F74" s="244">
        <v>0</v>
      </c>
      <c r="G74" s="244">
        <v>0</v>
      </c>
      <c r="H74" s="244">
        <v>0</v>
      </c>
      <c r="I74" s="244">
        <v>13.5365083999653</v>
      </c>
      <c r="J74" s="244">
        <v>4033.8795031896602</v>
      </c>
      <c r="K74" s="244">
        <v>0</v>
      </c>
      <c r="L74" s="244">
        <v>0</v>
      </c>
      <c r="M74" s="244">
        <v>0</v>
      </c>
      <c r="N74" s="244">
        <v>0</v>
      </c>
      <c r="O74" s="244">
        <v>4033.8795031896602</v>
      </c>
    </row>
    <row r="75" spans="1:16" s="234" customFormat="1" ht="12.75" x14ac:dyDescent="0.2">
      <c r="A75" s="278" t="s">
        <v>764</v>
      </c>
      <c r="B75" s="279" t="s">
        <v>193</v>
      </c>
      <c r="C75" s="287"/>
      <c r="D75" s="251"/>
      <c r="E75" s="251"/>
      <c r="F75" s="252">
        <v>0</v>
      </c>
      <c r="G75" s="252">
        <v>1.59186372730834</v>
      </c>
      <c r="H75" s="252">
        <v>39.796593182708499</v>
      </c>
      <c r="I75" s="252">
        <v>4.1270541078364399E-2</v>
      </c>
      <c r="J75" s="252">
        <v>12.298621241352601</v>
      </c>
      <c r="K75" s="252">
        <v>0</v>
      </c>
      <c r="L75" s="252">
        <v>0</v>
      </c>
      <c r="M75" s="252">
        <v>0</v>
      </c>
      <c r="N75" s="252">
        <v>0</v>
      </c>
      <c r="O75" s="252">
        <v>52.095214424061098</v>
      </c>
    </row>
    <row r="76" spans="1:16" s="234" customFormat="1" ht="12.75" x14ac:dyDescent="0.2">
      <c r="A76" s="259" t="s">
        <v>776</v>
      </c>
      <c r="B76" s="260" t="s">
        <v>784</v>
      </c>
      <c r="C76" s="288"/>
      <c r="D76" s="280"/>
      <c r="E76" s="280"/>
      <c r="F76" s="281">
        <v>2675.6810666666702</v>
      </c>
      <c r="G76" s="281">
        <v>0</v>
      </c>
      <c r="H76" s="281">
        <v>0</v>
      </c>
      <c r="I76" s="281">
        <v>0</v>
      </c>
      <c r="J76" s="281">
        <v>0</v>
      </c>
      <c r="K76" s="281">
        <v>0</v>
      </c>
      <c r="L76" s="281">
        <v>0</v>
      </c>
      <c r="M76" s="281">
        <v>0</v>
      </c>
      <c r="N76" s="281">
        <v>0</v>
      </c>
      <c r="O76" s="281">
        <v>2675.6810666666702</v>
      </c>
    </row>
    <row r="77" spans="1:16" s="234" customFormat="1" ht="12.75" x14ac:dyDescent="0.2">
      <c r="A77" s="220" t="s">
        <v>785</v>
      </c>
      <c r="B77" s="289"/>
      <c r="C77" s="289"/>
      <c r="F77" s="223">
        <v>411.45725422999999</v>
      </c>
      <c r="G77" s="223">
        <v>911.99476299000003</v>
      </c>
      <c r="H77" s="223">
        <v>22799.86907475</v>
      </c>
      <c r="I77" s="223">
        <v>3.9792746800000001</v>
      </c>
      <c r="J77" s="223">
        <v>1185.82385464</v>
      </c>
      <c r="K77" s="223">
        <v>0</v>
      </c>
      <c r="L77" s="223">
        <v>0</v>
      </c>
      <c r="M77" s="223">
        <v>0</v>
      </c>
      <c r="N77" s="223">
        <v>0</v>
      </c>
      <c r="O77" s="223">
        <v>24397.15018362</v>
      </c>
    </row>
    <row r="78" spans="1:16" s="234" customFormat="1" ht="12.75" x14ac:dyDescent="0.2">
      <c r="A78" s="224" t="s">
        <v>724</v>
      </c>
      <c r="B78" s="225" t="s">
        <v>786</v>
      </c>
      <c r="C78" s="225"/>
      <c r="F78" s="231">
        <v>0</v>
      </c>
      <c r="G78" s="231">
        <v>874.04375413000002</v>
      </c>
      <c r="H78" s="231">
        <v>21851.09385325</v>
      </c>
      <c r="I78" s="231">
        <v>0</v>
      </c>
      <c r="J78" s="231">
        <v>0</v>
      </c>
      <c r="K78" s="231">
        <v>0</v>
      </c>
      <c r="L78" s="231">
        <v>0</v>
      </c>
      <c r="M78" s="231">
        <v>0</v>
      </c>
      <c r="N78" s="231">
        <v>0</v>
      </c>
      <c r="O78" s="231">
        <v>21851.09385325</v>
      </c>
    </row>
    <row r="79" spans="1:16" s="234" customFormat="1" ht="12.75" x14ac:dyDescent="0.2">
      <c r="A79" s="224" t="s">
        <v>737</v>
      </c>
      <c r="B79" s="225" t="s">
        <v>787</v>
      </c>
      <c r="C79" s="225"/>
      <c r="F79" s="231">
        <v>0</v>
      </c>
      <c r="G79" s="231">
        <v>22.026922320000001</v>
      </c>
      <c r="H79" s="231">
        <v>550.67305799999997</v>
      </c>
      <c r="I79" s="231">
        <v>1.3216153399999999</v>
      </c>
      <c r="J79" s="231">
        <v>393.84137132000001</v>
      </c>
      <c r="K79" s="231">
        <v>0</v>
      </c>
      <c r="L79" s="231">
        <v>0</v>
      </c>
      <c r="M79" s="231">
        <v>0</v>
      </c>
      <c r="N79" s="231">
        <v>0</v>
      </c>
      <c r="O79" s="231">
        <v>944.51442931999998</v>
      </c>
    </row>
    <row r="80" spans="1:16" s="234" customFormat="1" ht="12.75" x14ac:dyDescent="0.2">
      <c r="A80" s="278" t="s">
        <v>788</v>
      </c>
      <c r="B80" s="279" t="s">
        <v>789</v>
      </c>
      <c r="C80" s="279"/>
      <c r="D80" s="251"/>
      <c r="E80" s="251"/>
      <c r="F80" s="252">
        <v>0</v>
      </c>
      <c r="G80" s="252">
        <v>15.67145268</v>
      </c>
      <c r="H80" s="252">
        <v>391.786317</v>
      </c>
      <c r="I80" s="252">
        <v>2.2179904600000002</v>
      </c>
      <c r="J80" s="252">
        <v>660.96115708000002</v>
      </c>
      <c r="K80" s="252">
        <v>0</v>
      </c>
      <c r="L80" s="252">
        <v>0</v>
      </c>
      <c r="M80" s="252">
        <v>0</v>
      </c>
      <c r="N80" s="252">
        <v>0</v>
      </c>
      <c r="O80" s="252">
        <v>1052.7474740800001</v>
      </c>
    </row>
    <row r="81" spans="1:30" s="234" customFormat="1" ht="12.75" x14ac:dyDescent="0.2">
      <c r="A81" s="259" t="s">
        <v>764</v>
      </c>
      <c r="B81" s="260" t="s">
        <v>790</v>
      </c>
      <c r="C81" s="260"/>
      <c r="D81" s="280"/>
      <c r="E81" s="280"/>
      <c r="F81" s="281">
        <v>411.45725422999999</v>
      </c>
      <c r="G81" s="281">
        <v>0.25263385999999999</v>
      </c>
      <c r="H81" s="281">
        <v>6.3158465000000001</v>
      </c>
      <c r="I81" s="281">
        <v>0.43966887999999998</v>
      </c>
      <c r="J81" s="281">
        <v>131.02132624000001</v>
      </c>
      <c r="K81" s="281">
        <v>0</v>
      </c>
      <c r="L81" s="281">
        <v>0</v>
      </c>
      <c r="M81" s="281">
        <v>0</v>
      </c>
      <c r="N81" s="281">
        <v>0</v>
      </c>
      <c r="O81" s="281">
        <v>548.79442697000002</v>
      </c>
    </row>
    <row r="82" spans="1:30" s="267" customFormat="1" ht="12.75" x14ac:dyDescent="0.2">
      <c r="A82" s="263" t="s">
        <v>791</v>
      </c>
      <c r="B82" s="264"/>
      <c r="C82" s="264"/>
      <c r="F82" s="223">
        <v>-30868.059115</v>
      </c>
      <c r="G82" s="223">
        <v>41.687182</v>
      </c>
      <c r="H82" s="223">
        <v>1042.1795500000001</v>
      </c>
      <c r="I82" s="223">
        <v>1.43649</v>
      </c>
      <c r="J82" s="223">
        <v>428.07402000000002</v>
      </c>
      <c r="K82" s="223">
        <v>0</v>
      </c>
      <c r="L82" s="223">
        <v>0</v>
      </c>
      <c r="M82" s="223">
        <v>0</v>
      </c>
      <c r="N82" s="223">
        <v>0</v>
      </c>
      <c r="O82" s="223">
        <v>-29397.805544999999</v>
      </c>
    </row>
    <row r="83" spans="1:30" s="234" customFormat="1" ht="12.75" x14ac:dyDescent="0.2">
      <c r="A83" s="224" t="s">
        <v>724</v>
      </c>
      <c r="B83" s="225" t="s">
        <v>792</v>
      </c>
      <c r="C83" s="225"/>
      <c r="F83" s="231">
        <v>-163506.362004</v>
      </c>
      <c r="G83" s="231">
        <v>11.653485</v>
      </c>
      <c r="H83" s="231">
        <v>291.33712500000001</v>
      </c>
      <c r="I83" s="231">
        <v>0.490313</v>
      </c>
      <c r="J83" s="231">
        <v>146.11327399999999</v>
      </c>
      <c r="K83" s="231">
        <v>0</v>
      </c>
      <c r="L83" s="231">
        <v>0</v>
      </c>
      <c r="M83" s="231">
        <v>0</v>
      </c>
      <c r="N83" s="231">
        <v>0</v>
      </c>
      <c r="O83" s="231">
        <v>-163068.911605</v>
      </c>
    </row>
    <row r="84" spans="1:30" s="234" customFormat="1" ht="12.75" x14ac:dyDescent="0.2">
      <c r="A84" s="224" t="s">
        <v>737</v>
      </c>
      <c r="B84" s="225" t="s">
        <v>793</v>
      </c>
      <c r="C84" s="225"/>
      <c r="F84" s="231">
        <v>-11557.633453</v>
      </c>
      <c r="G84" s="231">
        <v>3.2210290000000001</v>
      </c>
      <c r="H84" s="231">
        <v>80.525724999999994</v>
      </c>
      <c r="I84" s="231">
        <v>0.16744999999999999</v>
      </c>
      <c r="J84" s="231">
        <v>49.900100000000002</v>
      </c>
      <c r="K84" s="231">
        <v>0</v>
      </c>
      <c r="L84" s="231">
        <v>0</v>
      </c>
      <c r="M84" s="231">
        <v>0</v>
      </c>
      <c r="N84" s="231">
        <v>0</v>
      </c>
      <c r="O84" s="231">
        <v>-11427.207628</v>
      </c>
    </row>
    <row r="85" spans="1:30" s="234" customFormat="1" ht="12.75" x14ac:dyDescent="0.2">
      <c r="A85" s="278" t="s">
        <v>758</v>
      </c>
      <c r="B85" s="279" t="s">
        <v>794</v>
      </c>
      <c r="C85" s="279"/>
      <c r="F85" s="231">
        <v>0</v>
      </c>
      <c r="G85" s="231">
        <v>20.81766</v>
      </c>
      <c r="H85" s="231">
        <v>520.44150000000002</v>
      </c>
      <c r="I85" s="231">
        <v>0.53968000000000005</v>
      </c>
      <c r="J85" s="231">
        <v>160.82463999999999</v>
      </c>
      <c r="K85" s="231">
        <v>0</v>
      </c>
      <c r="L85" s="231">
        <v>0</v>
      </c>
      <c r="M85" s="231">
        <v>0</v>
      </c>
      <c r="N85" s="231">
        <v>0</v>
      </c>
      <c r="O85" s="231">
        <v>681.26613999999995</v>
      </c>
    </row>
    <row r="86" spans="1:30" s="234" customFormat="1" ht="12.75" x14ac:dyDescent="0.2">
      <c r="A86" s="278" t="s">
        <v>764</v>
      </c>
      <c r="B86" s="279" t="s">
        <v>795</v>
      </c>
      <c r="C86" s="279"/>
      <c r="F86" s="231">
        <v>2758.4922390000002</v>
      </c>
      <c r="G86" s="231">
        <v>1.4769890000000001</v>
      </c>
      <c r="H86" s="231">
        <v>36.924725000000002</v>
      </c>
      <c r="I86" s="231">
        <v>6.8556000000000006E-2</v>
      </c>
      <c r="J86" s="231">
        <v>20.429687999999999</v>
      </c>
      <c r="K86" s="231">
        <v>0</v>
      </c>
      <c r="L86" s="231">
        <v>0</v>
      </c>
      <c r="M86" s="231">
        <v>0</v>
      </c>
      <c r="N86" s="231">
        <v>0</v>
      </c>
      <c r="O86" s="231">
        <v>2815.8466520000002</v>
      </c>
    </row>
    <row r="87" spans="1:30" s="234" customFormat="1" ht="12.75" x14ac:dyDescent="0.2">
      <c r="A87" s="278" t="s">
        <v>776</v>
      </c>
      <c r="B87" s="279" t="s">
        <v>796</v>
      </c>
      <c r="C87" s="279"/>
      <c r="D87" s="251"/>
      <c r="E87" s="251"/>
      <c r="F87" s="252">
        <v>3570.5703239999998</v>
      </c>
      <c r="G87" s="252">
        <v>4.5180189999999998</v>
      </c>
      <c r="H87" s="252">
        <v>112.950475</v>
      </c>
      <c r="I87" s="252">
        <v>0.170491</v>
      </c>
      <c r="J87" s="252">
        <v>50.806317999999997</v>
      </c>
      <c r="K87" s="252">
        <v>0</v>
      </c>
      <c r="L87" s="252">
        <v>0</v>
      </c>
      <c r="M87" s="252">
        <v>0</v>
      </c>
      <c r="N87" s="252">
        <v>0</v>
      </c>
      <c r="O87" s="252">
        <v>3734.3271169999998</v>
      </c>
    </row>
    <row r="88" spans="1:30" s="234" customFormat="1" ht="12.75" x14ac:dyDescent="0.2">
      <c r="A88" s="259" t="s">
        <v>778</v>
      </c>
      <c r="B88" s="260" t="s">
        <v>797</v>
      </c>
      <c r="C88" s="260"/>
      <c r="D88" s="280"/>
      <c r="E88" s="280"/>
      <c r="F88" s="281">
        <v>137866.87377899999</v>
      </c>
      <c r="G88" s="281">
        <v>0</v>
      </c>
      <c r="H88" s="281">
        <v>0</v>
      </c>
      <c r="I88" s="281">
        <v>0</v>
      </c>
      <c r="J88" s="281">
        <v>0</v>
      </c>
      <c r="K88" s="281">
        <v>0</v>
      </c>
      <c r="L88" s="281">
        <v>0</v>
      </c>
      <c r="M88" s="281">
        <v>0</v>
      </c>
      <c r="N88" s="281">
        <v>0</v>
      </c>
      <c r="O88" s="281">
        <v>137866.87377899999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812</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565458.15118368098</v>
      </c>
      <c r="G7" s="218">
        <v>4069.6862948263001</v>
      </c>
      <c r="H7" s="218">
        <v>101742.15737065701</v>
      </c>
      <c r="I7" s="218">
        <v>126.707987524879</v>
      </c>
      <c r="J7" s="218">
        <v>37758.980282413897</v>
      </c>
      <c r="K7" s="218">
        <v>9075.7871600548897</v>
      </c>
      <c r="L7" s="218">
        <v>1798.6254714008801</v>
      </c>
      <c r="M7" s="218">
        <v>439.63308677616902</v>
      </c>
      <c r="N7" s="218">
        <v>0.15104489600000001</v>
      </c>
      <c r="O7" s="218">
        <v>716273.48559987999</v>
      </c>
    </row>
    <row r="8" spans="1:16" ht="15.75" thickTop="1" x14ac:dyDescent="0.2">
      <c r="A8" s="220" t="s">
        <v>723</v>
      </c>
      <c r="B8" s="221"/>
      <c r="C8" s="221"/>
      <c r="F8" s="223">
        <v>518958.49333342997</v>
      </c>
      <c r="G8" s="223">
        <v>2004.92539935575</v>
      </c>
      <c r="H8" s="223">
        <v>50123.134983893797</v>
      </c>
      <c r="I8" s="223">
        <v>30.9959429182313</v>
      </c>
      <c r="J8" s="223">
        <v>9236.7909896329402</v>
      </c>
      <c r="K8" s="223">
        <v>0</v>
      </c>
      <c r="L8" s="223">
        <v>0</v>
      </c>
      <c r="M8" s="223">
        <v>0</v>
      </c>
      <c r="N8" s="223">
        <v>0</v>
      </c>
      <c r="O8" s="223">
        <v>578318.41930695705</v>
      </c>
    </row>
    <row r="9" spans="1:16" x14ac:dyDescent="0.2">
      <c r="A9" s="224" t="s">
        <v>724</v>
      </c>
      <c r="B9" s="225" t="s">
        <v>725</v>
      </c>
      <c r="C9" s="225"/>
      <c r="F9" s="226">
        <v>313355.47770157998</v>
      </c>
      <c r="G9" s="226">
        <v>221.45159819410301</v>
      </c>
      <c r="H9" s="226">
        <v>5536.2899548525602</v>
      </c>
      <c r="I9" s="226">
        <v>8.8166272199234701</v>
      </c>
      <c r="J9" s="226">
        <v>2627.3549115371902</v>
      </c>
      <c r="K9" s="226">
        <v>0</v>
      </c>
      <c r="L9" s="226">
        <v>0</v>
      </c>
      <c r="M9" s="226">
        <v>0</v>
      </c>
      <c r="N9" s="226">
        <v>0</v>
      </c>
      <c r="O9" s="226">
        <v>321519.12256796903</v>
      </c>
      <c r="P9" s="227"/>
    </row>
    <row r="10" spans="1:16" x14ac:dyDescent="0.2">
      <c r="A10" s="228"/>
      <c r="B10" s="229" t="s">
        <v>726</v>
      </c>
      <c r="C10" s="230"/>
      <c r="F10" s="231">
        <v>90510.737421750498</v>
      </c>
      <c r="G10" s="231">
        <v>7.0762595144553098</v>
      </c>
      <c r="H10" s="231">
        <v>176.906487861383</v>
      </c>
      <c r="I10" s="231">
        <v>1.9064673925118001</v>
      </c>
      <c r="J10" s="231">
        <v>568.12728296851799</v>
      </c>
      <c r="K10" s="231">
        <v>0</v>
      </c>
      <c r="L10" s="231">
        <v>0</v>
      </c>
      <c r="M10" s="231">
        <v>0</v>
      </c>
      <c r="N10" s="231">
        <v>0</v>
      </c>
      <c r="O10" s="231">
        <v>91255.771192580403</v>
      </c>
    </row>
    <row r="11" spans="1:16" x14ac:dyDescent="0.2">
      <c r="A11" s="228"/>
      <c r="B11" s="232" t="s">
        <v>727</v>
      </c>
      <c r="C11" s="230"/>
      <c r="F11" s="231">
        <v>19619.333520288401</v>
      </c>
      <c r="G11" s="231">
        <v>0.39107731692943398</v>
      </c>
      <c r="H11" s="231">
        <v>9.7769329232358402</v>
      </c>
      <c r="I11" s="231">
        <v>0.124642207246519</v>
      </c>
      <c r="J11" s="231">
        <v>37.143377759462702</v>
      </c>
      <c r="K11" s="231">
        <v>0</v>
      </c>
      <c r="L11" s="231">
        <v>0</v>
      </c>
      <c r="M11" s="231">
        <v>0</v>
      </c>
      <c r="N11" s="231">
        <v>0</v>
      </c>
      <c r="O11" s="231">
        <v>19666.253830971102</v>
      </c>
    </row>
    <row r="12" spans="1:16" s="234" customFormat="1" ht="12.75" x14ac:dyDescent="0.2">
      <c r="A12" s="228"/>
      <c r="B12" s="232" t="s">
        <v>728</v>
      </c>
      <c r="C12" s="233"/>
      <c r="F12" s="231">
        <v>88553.622007756698</v>
      </c>
      <c r="G12" s="231">
        <v>79.997126574983099</v>
      </c>
      <c r="H12" s="231">
        <v>1999.9281643745801</v>
      </c>
      <c r="I12" s="231">
        <v>1.9684539282567799</v>
      </c>
      <c r="J12" s="231">
        <v>586.59927062051997</v>
      </c>
      <c r="K12" s="231">
        <v>0</v>
      </c>
      <c r="L12" s="231">
        <v>0</v>
      </c>
      <c r="M12" s="231">
        <v>0</v>
      </c>
      <c r="N12" s="231">
        <v>0</v>
      </c>
      <c r="O12" s="231">
        <v>91140.149442751805</v>
      </c>
    </row>
    <row r="13" spans="1:16" s="234" customFormat="1" ht="12.75" x14ac:dyDescent="0.2">
      <c r="A13" s="228"/>
      <c r="B13" s="229" t="s">
        <v>729</v>
      </c>
      <c r="C13" s="229"/>
      <c r="F13" s="231">
        <v>43107.282460350398</v>
      </c>
      <c r="G13" s="231">
        <v>2.3447749944232501</v>
      </c>
      <c r="H13" s="231">
        <v>58.619374860581303</v>
      </c>
      <c r="I13" s="231">
        <v>1.7609591901867401</v>
      </c>
      <c r="J13" s="231">
        <v>524.76583867564796</v>
      </c>
      <c r="K13" s="231">
        <v>0</v>
      </c>
      <c r="L13" s="231">
        <v>0</v>
      </c>
      <c r="M13" s="231">
        <v>0</v>
      </c>
      <c r="N13" s="231">
        <v>0</v>
      </c>
      <c r="O13" s="231">
        <v>43690.667673886601</v>
      </c>
    </row>
    <row r="14" spans="1:16" s="237" customFormat="1" ht="12" x14ac:dyDescent="0.2">
      <c r="A14" s="235"/>
      <c r="B14" s="230"/>
      <c r="C14" s="236" t="s">
        <v>2</v>
      </c>
      <c r="F14" s="238">
        <v>5466.8481838006501</v>
      </c>
      <c r="G14" s="238">
        <v>0.13275267207500799</v>
      </c>
      <c r="H14" s="238">
        <v>3.3188168018752</v>
      </c>
      <c r="I14" s="238">
        <v>0.118921037985004</v>
      </c>
      <c r="J14" s="238">
        <v>35.438469319531201</v>
      </c>
      <c r="K14" s="238">
        <v>0</v>
      </c>
      <c r="L14" s="238">
        <v>0</v>
      </c>
      <c r="M14" s="238">
        <v>0</v>
      </c>
      <c r="N14" s="238">
        <v>0</v>
      </c>
      <c r="O14" s="238">
        <v>5505.6054699220504</v>
      </c>
    </row>
    <row r="15" spans="1:16" s="237" customFormat="1" ht="12" x14ac:dyDescent="0.2">
      <c r="A15" s="235"/>
      <c r="B15" s="230"/>
      <c r="C15" s="236" t="s">
        <v>730</v>
      </c>
      <c r="F15" s="238">
        <v>2958.5870984427902</v>
      </c>
      <c r="G15" s="238">
        <v>5.29669459636532E-2</v>
      </c>
      <c r="H15" s="238">
        <v>1.3241736490913301</v>
      </c>
      <c r="I15" s="238">
        <v>4.1499801602764501E-2</v>
      </c>
      <c r="J15" s="238">
        <v>12.366940877623801</v>
      </c>
      <c r="K15" s="238">
        <v>0</v>
      </c>
      <c r="L15" s="238">
        <v>0</v>
      </c>
      <c r="M15" s="238">
        <v>0</v>
      </c>
      <c r="N15" s="238">
        <v>0</v>
      </c>
      <c r="O15" s="238">
        <v>2972.2782129695001</v>
      </c>
    </row>
    <row r="16" spans="1:16" s="237" customFormat="1" ht="12" x14ac:dyDescent="0.2">
      <c r="A16" s="235"/>
      <c r="B16" s="230"/>
      <c r="C16" s="236" t="s">
        <v>731</v>
      </c>
      <c r="F16" s="238">
        <v>10911.6742176813</v>
      </c>
      <c r="G16" s="238">
        <v>0.213717055741486</v>
      </c>
      <c r="H16" s="238">
        <v>5.3429263935371401</v>
      </c>
      <c r="I16" s="238">
        <v>0.18785521307439701</v>
      </c>
      <c r="J16" s="238">
        <v>55.980853496170297</v>
      </c>
      <c r="K16" s="238">
        <v>0</v>
      </c>
      <c r="L16" s="238">
        <v>0</v>
      </c>
      <c r="M16" s="238">
        <v>0</v>
      </c>
      <c r="N16" s="238">
        <v>0</v>
      </c>
      <c r="O16" s="238">
        <v>10972.997997570999</v>
      </c>
    </row>
    <row r="17" spans="1:16" s="237" customFormat="1" ht="12" x14ac:dyDescent="0.2">
      <c r="A17" s="235"/>
      <c r="B17" s="230"/>
      <c r="C17" s="236" t="s">
        <v>732</v>
      </c>
      <c r="F17" s="238">
        <v>5759.0405333160998</v>
      </c>
      <c r="G17" s="238">
        <v>1.1081140309028099</v>
      </c>
      <c r="H17" s="238">
        <v>27.702850772570201</v>
      </c>
      <c r="I17" s="238">
        <v>0.87784835304426301</v>
      </c>
      <c r="J17" s="238">
        <v>261.59880920719002</v>
      </c>
      <c r="K17" s="238">
        <v>0</v>
      </c>
      <c r="L17" s="238">
        <v>0</v>
      </c>
      <c r="M17" s="238">
        <v>0</v>
      </c>
      <c r="N17" s="238">
        <v>0</v>
      </c>
      <c r="O17" s="238">
        <v>6048.3421932958599</v>
      </c>
    </row>
    <row r="18" spans="1:16" s="237" customFormat="1" ht="12" x14ac:dyDescent="0.2">
      <c r="A18" s="235"/>
      <c r="B18" s="230"/>
      <c r="C18" s="236" t="s">
        <v>35</v>
      </c>
      <c r="F18" s="238">
        <v>4000.9938470000002</v>
      </c>
      <c r="G18" s="238">
        <v>0.214591429013478</v>
      </c>
      <c r="H18" s="238">
        <v>5.3647857253369597</v>
      </c>
      <c r="I18" s="238">
        <v>5.3086365842207099E-2</v>
      </c>
      <c r="J18" s="238">
        <v>15.8197370209777</v>
      </c>
      <c r="K18" s="238">
        <v>0</v>
      </c>
      <c r="L18" s="238">
        <v>0</v>
      </c>
      <c r="M18" s="238">
        <v>0</v>
      </c>
      <c r="N18" s="238">
        <v>0</v>
      </c>
      <c r="O18" s="238">
        <v>4022.1783697463202</v>
      </c>
    </row>
    <row r="19" spans="1:16" s="237" customFormat="1" ht="12" x14ac:dyDescent="0.2">
      <c r="A19" s="235"/>
      <c r="B19" s="230"/>
      <c r="C19" s="236" t="s">
        <v>733</v>
      </c>
      <c r="F19" s="238">
        <v>14010.1385801096</v>
      </c>
      <c r="G19" s="238">
        <v>0.62263286072682</v>
      </c>
      <c r="H19" s="238">
        <v>15.5658215181705</v>
      </c>
      <c r="I19" s="238">
        <v>0.48174841863810403</v>
      </c>
      <c r="J19" s="238">
        <v>143.56102875415499</v>
      </c>
      <c r="K19" s="238">
        <v>0</v>
      </c>
      <c r="L19" s="238">
        <v>0</v>
      </c>
      <c r="M19" s="238">
        <v>0</v>
      </c>
      <c r="N19" s="238">
        <v>0</v>
      </c>
      <c r="O19" s="238">
        <v>14169.2654303819</v>
      </c>
    </row>
    <row r="20" spans="1:16" s="234" customFormat="1" ht="12.75" x14ac:dyDescent="0.2">
      <c r="A20" s="228"/>
      <c r="B20" s="229" t="s">
        <v>734</v>
      </c>
      <c r="C20" s="239"/>
      <c r="F20" s="231">
        <v>1376.73333</v>
      </c>
      <c r="G20" s="231">
        <v>2.4022100000000001E-2</v>
      </c>
      <c r="H20" s="231">
        <v>0.60055250000000004</v>
      </c>
      <c r="I20" s="231">
        <v>3.8996099999999999E-2</v>
      </c>
      <c r="J20" s="231">
        <v>11.6208378</v>
      </c>
      <c r="K20" s="231">
        <v>0</v>
      </c>
      <c r="L20" s="231">
        <v>0</v>
      </c>
      <c r="M20" s="231">
        <v>0</v>
      </c>
      <c r="N20" s="231">
        <v>0</v>
      </c>
      <c r="O20" s="231">
        <v>1388.9547203</v>
      </c>
    </row>
    <row r="21" spans="1:16" s="234" customFormat="1" ht="12.75" x14ac:dyDescent="0.2">
      <c r="A21" s="228"/>
      <c r="B21" s="229" t="s">
        <v>735</v>
      </c>
      <c r="C21" s="229"/>
      <c r="F21" s="231">
        <v>28197.0068046862</v>
      </c>
      <c r="G21" s="231">
        <v>0.53591351192255698</v>
      </c>
      <c r="H21" s="231">
        <v>13.3978377980639</v>
      </c>
      <c r="I21" s="231">
        <v>0.65786861289864695</v>
      </c>
      <c r="J21" s="231">
        <v>196.044846643797</v>
      </c>
      <c r="K21" s="231">
        <v>0</v>
      </c>
      <c r="L21" s="231">
        <v>0</v>
      </c>
      <c r="M21" s="231">
        <v>0</v>
      </c>
      <c r="N21" s="231">
        <v>0</v>
      </c>
      <c r="O21" s="231">
        <v>28406.449489128001</v>
      </c>
    </row>
    <row r="22" spans="1:16" s="234" customFormat="1" ht="12.75" x14ac:dyDescent="0.2">
      <c r="A22" s="228"/>
      <c r="B22" s="229" t="s">
        <v>181</v>
      </c>
      <c r="C22" s="229"/>
      <c r="F22" s="231">
        <v>38375.688929999997</v>
      </c>
      <c r="G22" s="231">
        <v>131.01769972975799</v>
      </c>
      <c r="H22" s="231">
        <v>3275.4424932439401</v>
      </c>
      <c r="I22" s="231">
        <v>2.2580371418760001</v>
      </c>
      <c r="J22" s="231">
        <v>672.895068279047</v>
      </c>
      <c r="K22" s="231">
        <v>0</v>
      </c>
      <c r="L22" s="231">
        <v>0</v>
      </c>
      <c r="M22" s="231">
        <v>0</v>
      </c>
      <c r="N22" s="231">
        <v>0</v>
      </c>
      <c r="O22" s="231">
        <v>42324.026491523</v>
      </c>
    </row>
    <row r="23" spans="1:16" s="234" customFormat="1" ht="12.75" x14ac:dyDescent="0.2">
      <c r="A23" s="228"/>
      <c r="B23" s="229" t="s">
        <v>736</v>
      </c>
      <c r="C23" s="229"/>
      <c r="F23" s="231">
        <v>3615.0732267475901</v>
      </c>
      <c r="G23" s="231">
        <v>6.4724451631176294E-2</v>
      </c>
      <c r="H23" s="231">
        <v>1.61811129077941</v>
      </c>
      <c r="I23" s="231">
        <v>0.101202646946983</v>
      </c>
      <c r="J23" s="231">
        <v>30.158388790200998</v>
      </c>
      <c r="K23" s="231">
        <v>0</v>
      </c>
      <c r="L23" s="231">
        <v>0</v>
      </c>
      <c r="M23" s="231">
        <v>0</v>
      </c>
      <c r="N23" s="231">
        <v>0</v>
      </c>
      <c r="O23" s="231">
        <v>3646.8497268285701</v>
      </c>
    </row>
    <row r="24" spans="1:16" s="240" customFormat="1" ht="14.25" x14ac:dyDescent="0.2">
      <c r="A24" s="224" t="s">
        <v>737</v>
      </c>
      <c r="B24" s="225" t="s">
        <v>738</v>
      </c>
      <c r="C24" s="225"/>
      <c r="F24" s="226">
        <v>192515.33041509401</v>
      </c>
      <c r="G24" s="226">
        <v>22.896307123010398</v>
      </c>
      <c r="H24" s="226">
        <v>572.40767807526095</v>
      </c>
      <c r="I24" s="226">
        <v>22.044192111120498</v>
      </c>
      <c r="J24" s="226">
        <v>6569.1692491139202</v>
      </c>
      <c r="K24" s="226">
        <v>0</v>
      </c>
      <c r="L24" s="226">
        <v>0</v>
      </c>
      <c r="M24" s="226">
        <v>0</v>
      </c>
      <c r="N24" s="226">
        <v>0</v>
      </c>
      <c r="O24" s="226">
        <v>199656.907342283</v>
      </c>
      <c r="P24" s="241"/>
    </row>
    <row r="25" spans="1:16" s="234" customFormat="1" ht="12.75" x14ac:dyDescent="0.2">
      <c r="A25" s="228"/>
      <c r="B25" s="232" t="s">
        <v>739</v>
      </c>
      <c r="C25" s="229"/>
      <c r="F25" s="231">
        <v>7204.2938899163701</v>
      </c>
      <c r="G25" s="231">
        <v>0.34640801205886501</v>
      </c>
      <c r="H25" s="231">
        <v>8.6602003014716296</v>
      </c>
      <c r="I25" s="231">
        <v>0.21221853533750301</v>
      </c>
      <c r="J25" s="231">
        <v>63.241123530575997</v>
      </c>
      <c r="K25" s="231">
        <v>0</v>
      </c>
      <c r="L25" s="231">
        <v>0</v>
      </c>
      <c r="M25" s="231">
        <v>0</v>
      </c>
      <c r="N25" s="231">
        <v>0</v>
      </c>
      <c r="O25" s="231">
        <v>7276.1952137484204</v>
      </c>
    </row>
    <row r="26" spans="1:16" s="234" customFormat="1" ht="12.75" x14ac:dyDescent="0.2">
      <c r="A26" s="228"/>
      <c r="B26" s="229" t="s">
        <v>740</v>
      </c>
      <c r="C26" s="229"/>
      <c r="F26" s="231">
        <v>140426.372887923</v>
      </c>
      <c r="G26" s="231">
        <v>9.4984413712663596</v>
      </c>
      <c r="H26" s="231">
        <v>237.46103428165901</v>
      </c>
      <c r="I26" s="231">
        <v>9.9625336556295494</v>
      </c>
      <c r="J26" s="231">
        <v>2968.8350293776102</v>
      </c>
      <c r="K26" s="231">
        <v>0</v>
      </c>
      <c r="L26" s="231">
        <v>0</v>
      </c>
      <c r="M26" s="231">
        <v>0</v>
      </c>
      <c r="N26" s="231">
        <v>0</v>
      </c>
      <c r="O26" s="231">
        <v>143632.66895158199</v>
      </c>
    </row>
    <row r="27" spans="1:16" s="237" customFormat="1" ht="12" x14ac:dyDescent="0.2">
      <c r="A27" s="235"/>
      <c r="B27" s="230"/>
      <c r="C27" s="236" t="s">
        <v>741</v>
      </c>
      <c r="F27" s="238">
        <v>35551.072654042298</v>
      </c>
      <c r="G27" s="238">
        <v>3.1124352333204302</v>
      </c>
      <c r="H27" s="238">
        <v>77.8108808330107</v>
      </c>
      <c r="I27" s="238">
        <v>2.7344884272898899</v>
      </c>
      <c r="J27" s="238">
        <v>814.87755133238795</v>
      </c>
      <c r="K27" s="238">
        <v>0</v>
      </c>
      <c r="L27" s="238">
        <v>0</v>
      </c>
      <c r="M27" s="238">
        <v>0</v>
      </c>
      <c r="N27" s="238">
        <v>0</v>
      </c>
      <c r="O27" s="238">
        <v>36443.761086207698</v>
      </c>
    </row>
    <row r="28" spans="1:16" s="237" customFormat="1" ht="12" x14ac:dyDescent="0.2">
      <c r="A28" s="235"/>
      <c r="B28" s="230"/>
      <c r="C28" s="236" t="s">
        <v>742</v>
      </c>
      <c r="F28" s="238">
        <v>41874.000461611802</v>
      </c>
      <c r="G28" s="238">
        <v>3.66076233213618</v>
      </c>
      <c r="H28" s="238">
        <v>91.519058303404407</v>
      </c>
      <c r="I28" s="238">
        <v>3.3317497111958101</v>
      </c>
      <c r="J28" s="238">
        <v>992.86141393635205</v>
      </c>
      <c r="K28" s="238">
        <v>0</v>
      </c>
      <c r="L28" s="238">
        <v>0</v>
      </c>
      <c r="M28" s="238">
        <v>0</v>
      </c>
      <c r="N28" s="238">
        <v>0</v>
      </c>
      <c r="O28" s="238">
        <v>42958.380933851498</v>
      </c>
    </row>
    <row r="29" spans="1:16" s="237" customFormat="1" ht="12" x14ac:dyDescent="0.2">
      <c r="A29" s="235"/>
      <c r="B29" s="230"/>
      <c r="C29" s="236" t="s">
        <v>743</v>
      </c>
      <c r="F29" s="238">
        <v>12818.9467083946</v>
      </c>
      <c r="G29" s="238">
        <v>0.522177060915059</v>
      </c>
      <c r="H29" s="238">
        <v>13.054426522876501</v>
      </c>
      <c r="I29" s="238">
        <v>1.0722346817430399</v>
      </c>
      <c r="J29" s="238">
        <v>319.52593515942601</v>
      </c>
      <c r="K29" s="238">
        <v>0</v>
      </c>
      <c r="L29" s="238">
        <v>0</v>
      </c>
      <c r="M29" s="238">
        <v>0</v>
      </c>
      <c r="N29" s="238">
        <v>0</v>
      </c>
      <c r="O29" s="238">
        <v>13151.5270700769</v>
      </c>
    </row>
    <row r="30" spans="1:16" s="237" customFormat="1" ht="12" x14ac:dyDescent="0.2">
      <c r="A30" s="235"/>
      <c r="B30" s="230"/>
      <c r="C30" s="236" t="s">
        <v>744</v>
      </c>
      <c r="F30" s="238">
        <v>261.86905729228602</v>
      </c>
      <c r="G30" s="238">
        <v>0.107088982646668</v>
      </c>
      <c r="H30" s="238">
        <v>2.6772245661666898</v>
      </c>
      <c r="I30" s="238">
        <v>4.9533331483005696E-3</v>
      </c>
      <c r="J30" s="238">
        <v>1.4760932781935701</v>
      </c>
      <c r="K30" s="238">
        <v>0</v>
      </c>
      <c r="L30" s="238">
        <v>0</v>
      </c>
      <c r="M30" s="238">
        <v>0</v>
      </c>
      <c r="N30" s="238">
        <v>0</v>
      </c>
      <c r="O30" s="238">
        <v>266.02237513664602</v>
      </c>
      <c r="P30" s="242"/>
    </row>
    <row r="31" spans="1:16" s="237" customFormat="1" ht="12" x14ac:dyDescent="0.2">
      <c r="A31" s="235"/>
      <c r="B31" s="230"/>
      <c r="C31" s="236" t="s">
        <v>745</v>
      </c>
      <c r="F31" s="238">
        <v>783.711181706091</v>
      </c>
      <c r="G31" s="238">
        <v>1.53463706406031E-2</v>
      </c>
      <c r="H31" s="238">
        <v>0.38365926601507699</v>
      </c>
      <c r="I31" s="238">
        <v>6.4501434186387499E-2</v>
      </c>
      <c r="J31" s="238">
        <v>19.2214273875435</v>
      </c>
      <c r="K31" s="238">
        <v>0</v>
      </c>
      <c r="L31" s="238">
        <v>0</v>
      </c>
      <c r="M31" s="238">
        <v>0</v>
      </c>
      <c r="N31" s="238">
        <v>0</v>
      </c>
      <c r="O31" s="238">
        <v>803.31626835965005</v>
      </c>
    </row>
    <row r="32" spans="1:16" s="237" customFormat="1" ht="12" x14ac:dyDescent="0.2">
      <c r="A32" s="235"/>
      <c r="B32" s="230"/>
      <c r="C32" s="236" t="s">
        <v>746</v>
      </c>
      <c r="D32" s="243"/>
      <c r="E32" s="243"/>
      <c r="F32" s="244">
        <v>442.67094126268398</v>
      </c>
      <c r="G32" s="244">
        <v>1.14089224505587E-2</v>
      </c>
      <c r="H32" s="244">
        <v>0.28522306126396801</v>
      </c>
      <c r="I32" s="244">
        <v>3.6227672641453303E-2</v>
      </c>
      <c r="J32" s="244">
        <v>10.795846447153099</v>
      </c>
      <c r="K32" s="244">
        <v>0</v>
      </c>
      <c r="L32" s="244">
        <v>0</v>
      </c>
      <c r="M32" s="244">
        <v>0</v>
      </c>
      <c r="N32" s="244">
        <v>0</v>
      </c>
      <c r="O32" s="244">
        <v>453.75201077110103</v>
      </c>
    </row>
    <row r="33" spans="1:15" s="237" customFormat="1" ht="12" x14ac:dyDescent="0.2">
      <c r="A33" s="235"/>
      <c r="B33" s="230"/>
      <c r="C33" s="236" t="s">
        <v>747</v>
      </c>
      <c r="D33" s="243"/>
      <c r="E33" s="243"/>
      <c r="F33" s="244">
        <v>48651.249152610799</v>
      </c>
      <c r="G33" s="244">
        <v>2.0508483670711399</v>
      </c>
      <c r="H33" s="244">
        <v>51.271209176778598</v>
      </c>
      <c r="I33" s="244">
        <v>2.7175857733759399</v>
      </c>
      <c r="J33" s="244">
        <v>809.84056046603098</v>
      </c>
      <c r="K33" s="244">
        <v>0</v>
      </c>
      <c r="L33" s="244">
        <v>0</v>
      </c>
      <c r="M33" s="244">
        <v>0</v>
      </c>
      <c r="N33" s="244">
        <v>0</v>
      </c>
      <c r="O33" s="244">
        <v>49512.360922253603</v>
      </c>
    </row>
    <row r="34" spans="1:15" s="237" customFormat="1" ht="12" x14ac:dyDescent="0.2">
      <c r="A34" s="235"/>
      <c r="B34" s="230"/>
      <c r="C34" s="245" t="s">
        <v>748</v>
      </c>
      <c r="D34" s="243"/>
      <c r="E34" s="243"/>
      <c r="F34" s="244">
        <v>42.852731002813101</v>
      </c>
      <c r="G34" s="244">
        <v>1.8374102085724799E-2</v>
      </c>
      <c r="H34" s="244">
        <v>0.45935255214311999</v>
      </c>
      <c r="I34" s="244">
        <v>7.9262204872053205E-4</v>
      </c>
      <c r="J34" s="244">
        <v>0.23620137051871901</v>
      </c>
      <c r="K34" s="244">
        <v>0</v>
      </c>
      <c r="L34" s="244">
        <v>0</v>
      </c>
      <c r="M34" s="244">
        <v>0</v>
      </c>
      <c r="N34" s="244">
        <v>0</v>
      </c>
      <c r="O34" s="244">
        <v>43.548284925475002</v>
      </c>
    </row>
    <row r="35" spans="1:15" s="249" customFormat="1" ht="12.75" x14ac:dyDescent="0.2">
      <c r="A35" s="228"/>
      <c r="B35" s="229" t="s">
        <v>749</v>
      </c>
      <c r="C35" s="246"/>
      <c r="D35" s="247"/>
      <c r="E35" s="247"/>
      <c r="F35" s="248">
        <v>6789.5969211310203</v>
      </c>
      <c r="G35" s="248">
        <v>0.38868747785597901</v>
      </c>
      <c r="H35" s="248">
        <v>9.7171869463994902</v>
      </c>
      <c r="I35" s="248">
        <v>2.6796269168746698</v>
      </c>
      <c r="J35" s="248">
        <v>798.52882122865105</v>
      </c>
      <c r="K35" s="248">
        <v>0</v>
      </c>
      <c r="L35" s="248">
        <v>0</v>
      </c>
      <c r="M35" s="248">
        <v>0</v>
      </c>
      <c r="N35" s="248">
        <v>0</v>
      </c>
      <c r="O35" s="248">
        <v>7597.8429293060699</v>
      </c>
    </row>
    <row r="36" spans="1:15" s="249" customFormat="1" ht="12.75" x14ac:dyDescent="0.2">
      <c r="A36" s="228"/>
      <c r="B36" s="232" t="s">
        <v>750</v>
      </c>
      <c r="C36" s="246"/>
      <c r="D36" s="247"/>
      <c r="E36" s="247"/>
      <c r="F36" s="248">
        <v>5529.0862159605804</v>
      </c>
      <c r="G36" s="248">
        <v>0.51112555585878905</v>
      </c>
      <c r="H36" s="248">
        <v>12.7781388964697</v>
      </c>
      <c r="I36" s="248">
        <v>0.14604823235105799</v>
      </c>
      <c r="J36" s="248">
        <v>43.522373240615302</v>
      </c>
      <c r="K36" s="248">
        <v>0</v>
      </c>
      <c r="L36" s="248">
        <v>0</v>
      </c>
      <c r="M36" s="248">
        <v>0</v>
      </c>
      <c r="N36" s="248">
        <v>0</v>
      </c>
      <c r="O36" s="248">
        <v>5585.3867280976701</v>
      </c>
    </row>
    <row r="37" spans="1:15" s="234" customFormat="1" ht="12.75" x14ac:dyDescent="0.2">
      <c r="A37" s="228"/>
      <c r="B37" s="229" t="s">
        <v>751</v>
      </c>
      <c r="C37" s="250"/>
      <c r="D37" s="251"/>
      <c r="E37" s="251"/>
      <c r="F37" s="252">
        <v>32565.980500162299</v>
      </c>
      <c r="G37" s="252">
        <v>12.1516447059704</v>
      </c>
      <c r="H37" s="252">
        <v>303.79111764926103</v>
      </c>
      <c r="I37" s="252">
        <v>9.0437647709277602</v>
      </c>
      <c r="J37" s="252">
        <v>2695.0419017364702</v>
      </c>
      <c r="K37" s="252">
        <v>0</v>
      </c>
      <c r="L37" s="252">
        <v>0</v>
      </c>
      <c r="M37" s="252">
        <v>0</v>
      </c>
      <c r="N37" s="252">
        <v>0</v>
      </c>
      <c r="O37" s="252">
        <v>35564.813519547999</v>
      </c>
    </row>
    <row r="38" spans="1:15" s="237" customFormat="1" ht="12" x14ac:dyDescent="0.2">
      <c r="A38" s="235"/>
      <c r="B38" s="230"/>
      <c r="C38" s="236" t="s">
        <v>752</v>
      </c>
      <c r="F38" s="238">
        <v>10497.8186184523</v>
      </c>
      <c r="G38" s="238">
        <v>0.65508937881851403</v>
      </c>
      <c r="H38" s="238">
        <v>16.377234470462898</v>
      </c>
      <c r="I38" s="238">
        <v>4.0972271726796397</v>
      </c>
      <c r="J38" s="238">
        <v>1220.9736974585301</v>
      </c>
      <c r="K38" s="238">
        <v>0</v>
      </c>
      <c r="L38" s="238">
        <v>0</v>
      </c>
      <c r="M38" s="238">
        <v>0</v>
      </c>
      <c r="N38" s="238">
        <v>0</v>
      </c>
      <c r="O38" s="238">
        <v>11735.169550381301</v>
      </c>
    </row>
    <row r="39" spans="1:15" s="237" customFormat="1" ht="12" x14ac:dyDescent="0.2">
      <c r="A39" s="235"/>
      <c r="B39" s="230"/>
      <c r="C39" s="236" t="s">
        <v>753</v>
      </c>
      <c r="F39" s="238">
        <v>1718.4168053649</v>
      </c>
      <c r="G39" s="238">
        <v>1.1480125629100999</v>
      </c>
      <c r="H39" s="238">
        <v>28.700314072752398</v>
      </c>
      <c r="I39" s="238">
        <v>0.408125254191257</v>
      </c>
      <c r="J39" s="238">
        <v>121.62132574899501</v>
      </c>
      <c r="K39" s="238">
        <v>0</v>
      </c>
      <c r="L39" s="238">
        <v>0</v>
      </c>
      <c r="M39" s="238">
        <v>0</v>
      </c>
      <c r="N39" s="238">
        <v>0</v>
      </c>
      <c r="O39" s="238">
        <v>1868.7384451866401</v>
      </c>
    </row>
    <row r="40" spans="1:15" s="237" customFormat="1" ht="12" x14ac:dyDescent="0.2">
      <c r="A40" s="235"/>
      <c r="B40" s="230"/>
      <c r="C40" s="236" t="s">
        <v>754</v>
      </c>
      <c r="F40" s="238">
        <v>10817.6039948655</v>
      </c>
      <c r="G40" s="238">
        <v>1.0256085547334599</v>
      </c>
      <c r="H40" s="238">
        <v>25.640213868336499</v>
      </c>
      <c r="I40" s="238">
        <v>3.9529418080496899</v>
      </c>
      <c r="J40" s="238">
        <v>1177.9766587988099</v>
      </c>
      <c r="K40" s="238">
        <v>0</v>
      </c>
      <c r="L40" s="238">
        <v>0</v>
      </c>
      <c r="M40" s="238">
        <v>0</v>
      </c>
      <c r="N40" s="238">
        <v>0</v>
      </c>
      <c r="O40" s="238">
        <v>12021.2208675327</v>
      </c>
    </row>
    <row r="41" spans="1:15" s="237" customFormat="1" ht="12" x14ac:dyDescent="0.2">
      <c r="A41" s="235"/>
      <c r="B41" s="230"/>
      <c r="C41" s="236" t="s">
        <v>755</v>
      </c>
      <c r="F41" s="238">
        <v>629.16035506359503</v>
      </c>
      <c r="G41" s="238">
        <v>0.55227489282473996</v>
      </c>
      <c r="H41" s="238">
        <v>13.806872320618499</v>
      </c>
      <c r="I41" s="238">
        <v>8.2643541720239799E-2</v>
      </c>
      <c r="J41" s="238">
        <v>24.627775432631498</v>
      </c>
      <c r="K41" s="238">
        <v>0</v>
      </c>
      <c r="L41" s="238">
        <v>0</v>
      </c>
      <c r="M41" s="238">
        <v>0</v>
      </c>
      <c r="N41" s="238">
        <v>0</v>
      </c>
      <c r="O41" s="238">
        <v>667.59500281684495</v>
      </c>
    </row>
    <row r="42" spans="1:15" s="237" customFormat="1" ht="12" x14ac:dyDescent="0.2">
      <c r="A42" s="235"/>
      <c r="B42" s="230"/>
      <c r="C42" s="236" t="s">
        <v>756</v>
      </c>
      <c r="F42" s="238">
        <v>3358.03722641596</v>
      </c>
      <c r="G42" s="238">
        <v>3.2011755416836301</v>
      </c>
      <c r="H42" s="238">
        <v>80.0293885420908</v>
      </c>
      <c r="I42" s="238">
        <v>0.35296199428692998</v>
      </c>
      <c r="J42" s="238">
        <v>105.182674297505</v>
      </c>
      <c r="K42" s="238">
        <v>0</v>
      </c>
      <c r="L42" s="238">
        <v>0</v>
      </c>
      <c r="M42" s="238">
        <v>0</v>
      </c>
      <c r="N42" s="238">
        <v>0</v>
      </c>
      <c r="O42" s="238">
        <v>3543.2492892555601</v>
      </c>
    </row>
    <row r="43" spans="1:15" s="237" customFormat="1" ht="12" x14ac:dyDescent="0.2">
      <c r="A43" s="235"/>
      <c r="B43" s="230"/>
      <c r="C43" s="253" t="s">
        <v>757</v>
      </c>
      <c r="F43" s="238">
        <v>5544.9435000000003</v>
      </c>
      <c r="G43" s="238">
        <v>5.5694837750000001</v>
      </c>
      <c r="H43" s="238">
        <v>139.237094375</v>
      </c>
      <c r="I43" s="238">
        <v>0.149865</v>
      </c>
      <c r="J43" s="238">
        <v>44.659770000000002</v>
      </c>
      <c r="K43" s="238">
        <v>0</v>
      </c>
      <c r="L43" s="238">
        <v>0</v>
      </c>
      <c r="M43" s="238">
        <v>0</v>
      </c>
      <c r="N43" s="238">
        <v>0</v>
      </c>
      <c r="O43" s="238">
        <v>5728.8403643749998</v>
      </c>
    </row>
    <row r="44" spans="1:15" s="240" customFormat="1" ht="12.75" x14ac:dyDescent="0.2">
      <c r="A44" s="224" t="s">
        <v>758</v>
      </c>
      <c r="B44" s="225" t="s">
        <v>759</v>
      </c>
      <c r="C44" s="225"/>
      <c r="F44" s="226">
        <v>13087.5998167572</v>
      </c>
      <c r="G44" s="226">
        <v>1760.57749403864</v>
      </c>
      <c r="H44" s="226">
        <v>44014.437350966</v>
      </c>
      <c r="I44" s="226">
        <v>0.13512358718731199</v>
      </c>
      <c r="J44" s="226">
        <v>40.266828981819003</v>
      </c>
      <c r="K44" s="226">
        <v>0</v>
      </c>
      <c r="L44" s="226">
        <v>0</v>
      </c>
      <c r="M44" s="226">
        <v>0</v>
      </c>
      <c r="N44" s="226">
        <v>0</v>
      </c>
      <c r="O44" s="226">
        <v>57142.303996704897</v>
      </c>
    </row>
    <row r="45" spans="1:15" s="234" customFormat="1" ht="12.75" x14ac:dyDescent="0.2">
      <c r="A45" s="228"/>
      <c r="B45" s="229" t="s">
        <v>760</v>
      </c>
      <c r="C45" s="229"/>
      <c r="F45" s="231">
        <v>0</v>
      </c>
      <c r="G45" s="231">
        <v>55.734858992381199</v>
      </c>
      <c r="H45" s="231">
        <v>1393.3714748095299</v>
      </c>
      <c r="I45" s="231">
        <v>0</v>
      </c>
      <c r="J45" s="231">
        <v>0</v>
      </c>
      <c r="K45" s="231">
        <v>0</v>
      </c>
      <c r="L45" s="231">
        <v>0</v>
      </c>
      <c r="M45" s="231">
        <v>0</v>
      </c>
      <c r="N45" s="231">
        <v>0</v>
      </c>
      <c r="O45" s="231">
        <v>1393.3714748095299</v>
      </c>
    </row>
    <row r="46" spans="1:15" s="234" customFormat="1" ht="12.75" x14ac:dyDescent="0.2">
      <c r="A46" s="228"/>
      <c r="B46" s="229" t="s">
        <v>761</v>
      </c>
      <c r="C46" s="229"/>
      <c r="F46" s="231">
        <v>13087.5998167572</v>
      </c>
      <c r="G46" s="231">
        <v>1704.8426350462601</v>
      </c>
      <c r="H46" s="231">
        <v>42621.065876156397</v>
      </c>
      <c r="I46" s="231">
        <v>0.13512358718731199</v>
      </c>
      <c r="J46" s="231">
        <v>40.266828981819003</v>
      </c>
      <c r="K46" s="231">
        <v>0</v>
      </c>
      <c r="L46" s="231">
        <v>0</v>
      </c>
      <c r="M46" s="231">
        <v>0</v>
      </c>
      <c r="N46" s="231">
        <v>0</v>
      </c>
      <c r="O46" s="231">
        <v>55748.932521895404</v>
      </c>
    </row>
    <row r="47" spans="1:15" s="237" customFormat="1" ht="12" x14ac:dyDescent="0.2">
      <c r="A47" s="254"/>
      <c r="B47" s="255"/>
      <c r="C47" s="230" t="s">
        <v>762</v>
      </c>
      <c r="F47" s="238">
        <v>219.36705559003599</v>
      </c>
      <c r="G47" s="238">
        <v>263.69978809287397</v>
      </c>
      <c r="H47" s="238">
        <v>6592.4947023218501</v>
      </c>
      <c r="I47" s="238">
        <v>0.113643350206</v>
      </c>
      <c r="J47" s="238">
        <v>33.865718361387998</v>
      </c>
      <c r="K47" s="238">
        <v>0</v>
      </c>
      <c r="L47" s="238">
        <v>0</v>
      </c>
      <c r="M47" s="238">
        <v>0</v>
      </c>
      <c r="N47" s="238">
        <v>0</v>
      </c>
      <c r="O47" s="238">
        <v>6845.7274762732704</v>
      </c>
    </row>
    <row r="48" spans="1:15" s="237" customFormat="1" ht="12" x14ac:dyDescent="0.2">
      <c r="A48" s="254"/>
      <c r="B48" s="255"/>
      <c r="C48" s="230" t="s">
        <v>763</v>
      </c>
      <c r="F48" s="238">
        <v>71.941659912243296</v>
      </c>
      <c r="G48" s="238">
        <v>489.29278579519502</v>
      </c>
      <c r="H48" s="238">
        <v>12232.319644879901</v>
      </c>
      <c r="I48" s="238">
        <v>0</v>
      </c>
      <c r="J48" s="238">
        <v>0</v>
      </c>
      <c r="K48" s="238">
        <v>0</v>
      </c>
      <c r="L48" s="238">
        <v>0</v>
      </c>
      <c r="M48" s="238">
        <v>0</v>
      </c>
      <c r="N48" s="238">
        <v>0</v>
      </c>
      <c r="O48" s="238">
        <v>12304.2613047921</v>
      </c>
    </row>
    <row r="49" spans="1:16" s="237" customFormat="1" ht="12" x14ac:dyDescent="0.2">
      <c r="A49" s="256"/>
      <c r="B49" s="257"/>
      <c r="C49" s="258" t="s">
        <v>380</v>
      </c>
      <c r="D49" s="243"/>
      <c r="E49" s="243"/>
      <c r="F49" s="244">
        <v>8198.7111694174801</v>
      </c>
      <c r="G49" s="244">
        <v>933.42571292671505</v>
      </c>
      <c r="H49" s="244">
        <v>23335.642823167898</v>
      </c>
      <c r="I49" s="244">
        <v>0</v>
      </c>
      <c r="J49" s="244">
        <v>0</v>
      </c>
      <c r="K49" s="244">
        <v>0</v>
      </c>
      <c r="L49" s="244">
        <v>0</v>
      </c>
      <c r="M49" s="244">
        <v>0</v>
      </c>
      <c r="N49" s="244">
        <v>0</v>
      </c>
      <c r="O49" s="244">
        <v>31534.353992585398</v>
      </c>
    </row>
    <row r="50" spans="1:16" s="237" customFormat="1" ht="12" x14ac:dyDescent="0.2">
      <c r="A50" s="256"/>
      <c r="B50" s="257"/>
      <c r="C50" s="258" t="s">
        <v>381</v>
      </c>
      <c r="D50" s="243"/>
      <c r="E50" s="243"/>
      <c r="F50" s="244">
        <v>4597.5799318373902</v>
      </c>
      <c r="G50" s="244">
        <v>18.424348231474202</v>
      </c>
      <c r="H50" s="244">
        <v>460.60870578685598</v>
      </c>
      <c r="I50" s="244">
        <v>2.1480236981312101E-2</v>
      </c>
      <c r="J50" s="244">
        <v>6.4011106204310098</v>
      </c>
      <c r="K50" s="244">
        <v>0</v>
      </c>
      <c r="L50" s="244">
        <v>0</v>
      </c>
      <c r="M50" s="244">
        <v>0</v>
      </c>
      <c r="N50" s="244">
        <v>0</v>
      </c>
      <c r="O50" s="244">
        <v>5064.5897482446799</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43765.6358504003</v>
      </c>
      <c r="G52" s="266">
        <v>2.9779871349638398</v>
      </c>
      <c r="H52" s="266">
        <v>74.449678374096095</v>
      </c>
      <c r="I52" s="266">
        <v>4.4715454417546496</v>
      </c>
      <c r="J52" s="266">
        <v>1332.5205416428901</v>
      </c>
      <c r="K52" s="266">
        <v>9075.7871600548897</v>
      </c>
      <c r="L52" s="266">
        <v>1798.6254714008801</v>
      </c>
      <c r="M52" s="266">
        <v>439.63308677616902</v>
      </c>
      <c r="N52" s="266">
        <v>0.15104489600000001</v>
      </c>
      <c r="O52" s="266">
        <v>56486.802833545204</v>
      </c>
    </row>
    <row r="53" spans="1:16" s="240" customFormat="1" ht="12.75" x14ac:dyDescent="0.2">
      <c r="A53" s="224" t="s">
        <v>724</v>
      </c>
      <c r="B53" s="225" t="s">
        <v>767</v>
      </c>
      <c r="C53" s="225"/>
      <c r="D53" s="268"/>
      <c r="E53" s="268"/>
      <c r="F53" s="269">
        <v>8452.46857911796</v>
      </c>
      <c r="G53" s="269">
        <v>0</v>
      </c>
      <c r="H53" s="269">
        <v>0</v>
      </c>
      <c r="I53" s="269">
        <v>0</v>
      </c>
      <c r="J53" s="269">
        <v>0</v>
      </c>
      <c r="K53" s="269">
        <v>0</v>
      </c>
      <c r="L53" s="269">
        <v>0</v>
      </c>
      <c r="M53" s="269">
        <v>0</v>
      </c>
      <c r="N53" s="269">
        <v>0</v>
      </c>
      <c r="O53" s="269">
        <v>8452.46857911796</v>
      </c>
    </row>
    <row r="54" spans="1:16" s="273" customFormat="1" ht="12" x14ac:dyDescent="0.2">
      <c r="A54" s="235"/>
      <c r="B54" s="270"/>
      <c r="C54" s="236" t="s">
        <v>560</v>
      </c>
      <c r="D54" s="271"/>
      <c r="E54" s="271"/>
      <c r="F54" s="272">
        <v>6562.1678537767802</v>
      </c>
      <c r="G54" s="272">
        <v>0</v>
      </c>
      <c r="H54" s="272">
        <v>0</v>
      </c>
      <c r="I54" s="272">
        <v>0</v>
      </c>
      <c r="J54" s="272">
        <v>0</v>
      </c>
      <c r="K54" s="272">
        <v>0</v>
      </c>
      <c r="L54" s="272">
        <v>0</v>
      </c>
      <c r="M54" s="272">
        <v>0</v>
      </c>
      <c r="N54" s="272">
        <v>0</v>
      </c>
      <c r="O54" s="272">
        <v>6562.1678537767802</v>
      </c>
      <c r="P54" s="271"/>
    </row>
    <row r="55" spans="1:16" s="273" customFormat="1" ht="12" x14ac:dyDescent="0.2">
      <c r="A55" s="235"/>
      <c r="B55" s="270"/>
      <c r="C55" s="236" t="s">
        <v>191</v>
      </c>
      <c r="D55" s="271"/>
      <c r="E55" s="271"/>
      <c r="F55" s="272">
        <v>1447.8876081140299</v>
      </c>
      <c r="G55" s="272">
        <v>0</v>
      </c>
      <c r="H55" s="272">
        <v>0</v>
      </c>
      <c r="I55" s="272">
        <v>0</v>
      </c>
      <c r="J55" s="272">
        <v>0</v>
      </c>
      <c r="K55" s="272">
        <v>0</v>
      </c>
      <c r="L55" s="272">
        <v>0</v>
      </c>
      <c r="M55" s="272">
        <v>0</v>
      </c>
      <c r="N55" s="272">
        <v>0</v>
      </c>
      <c r="O55" s="272">
        <v>1447.8876081140299</v>
      </c>
      <c r="P55" s="271"/>
    </row>
    <row r="56" spans="1:16" s="273" customFormat="1" ht="12" x14ac:dyDescent="0.2">
      <c r="A56" s="235"/>
      <c r="B56" s="270"/>
      <c r="C56" s="236" t="s">
        <v>768</v>
      </c>
      <c r="D56" s="271"/>
      <c r="E56" s="271"/>
      <c r="F56" s="272">
        <v>442.41311722714499</v>
      </c>
      <c r="G56" s="272">
        <v>0</v>
      </c>
      <c r="H56" s="272">
        <v>0</v>
      </c>
      <c r="I56" s="272">
        <v>0</v>
      </c>
      <c r="J56" s="272">
        <v>0</v>
      </c>
      <c r="K56" s="272">
        <v>0</v>
      </c>
      <c r="L56" s="272">
        <v>0</v>
      </c>
      <c r="M56" s="272">
        <v>0</v>
      </c>
      <c r="N56" s="272">
        <v>0</v>
      </c>
      <c r="O56" s="272">
        <v>442.41311722714499</v>
      </c>
      <c r="P56" s="271"/>
    </row>
    <row r="57" spans="1:16" s="275" customFormat="1" ht="12.75" x14ac:dyDescent="0.2">
      <c r="A57" s="224" t="s">
        <v>737</v>
      </c>
      <c r="B57" s="225" t="s">
        <v>769</v>
      </c>
      <c r="C57" s="225"/>
      <c r="D57" s="274"/>
      <c r="E57" s="274"/>
      <c r="F57" s="269">
        <v>5253.1790057647204</v>
      </c>
      <c r="G57" s="269">
        <v>2.8868261349638402</v>
      </c>
      <c r="H57" s="269">
        <v>72.170653374096105</v>
      </c>
      <c r="I57" s="269">
        <v>3.6271016131235299</v>
      </c>
      <c r="J57" s="269">
        <v>1080.8762807108101</v>
      </c>
      <c r="K57" s="269">
        <v>0</v>
      </c>
      <c r="L57" s="269">
        <v>0</v>
      </c>
      <c r="M57" s="269">
        <v>0</v>
      </c>
      <c r="N57" s="269">
        <v>0</v>
      </c>
      <c r="O57" s="269">
        <v>6406.2259398496299</v>
      </c>
      <c r="P57" s="274"/>
    </row>
    <row r="58" spans="1:16" s="277" customFormat="1" ht="12" x14ac:dyDescent="0.2">
      <c r="A58" s="235"/>
      <c r="B58" s="270"/>
      <c r="C58" s="236" t="s">
        <v>192</v>
      </c>
      <c r="D58" s="276"/>
      <c r="E58" s="276"/>
      <c r="F58" s="272">
        <v>3002.3836115117401</v>
      </c>
      <c r="G58" s="272">
        <v>0</v>
      </c>
      <c r="H58" s="272">
        <v>0</v>
      </c>
      <c r="I58" s="272">
        <v>0</v>
      </c>
      <c r="J58" s="272">
        <v>0</v>
      </c>
      <c r="K58" s="272">
        <v>0</v>
      </c>
      <c r="L58" s="272">
        <v>0</v>
      </c>
      <c r="M58" s="272">
        <v>0</v>
      </c>
      <c r="N58" s="272">
        <v>0</v>
      </c>
      <c r="O58" s="272">
        <v>3002.3836115117401</v>
      </c>
      <c r="P58" s="276"/>
    </row>
    <row r="59" spans="1:16" s="277" customFormat="1" ht="12" x14ac:dyDescent="0.2">
      <c r="A59" s="235"/>
      <c r="B59" s="270"/>
      <c r="C59" s="236" t="s">
        <v>190</v>
      </c>
      <c r="D59" s="276"/>
      <c r="E59" s="276"/>
      <c r="F59" s="272">
        <v>0</v>
      </c>
      <c r="G59" s="272">
        <v>0</v>
      </c>
      <c r="H59" s="272">
        <v>0</v>
      </c>
      <c r="I59" s="272">
        <v>3.5894257860665801</v>
      </c>
      <c r="J59" s="272">
        <v>1069.64888424784</v>
      </c>
      <c r="K59" s="272">
        <v>0</v>
      </c>
      <c r="L59" s="272">
        <v>0</v>
      </c>
      <c r="M59" s="272">
        <v>0</v>
      </c>
      <c r="N59" s="272">
        <v>0</v>
      </c>
      <c r="O59" s="272">
        <v>1069.64888424784</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2250.7953942529798</v>
      </c>
      <c r="G61" s="272">
        <v>2.8868261349638402</v>
      </c>
      <c r="H61" s="272">
        <v>72.170653374096105</v>
      </c>
      <c r="I61" s="272">
        <v>3.7675827056943403E-2</v>
      </c>
      <c r="J61" s="272">
        <v>11.2273964629691</v>
      </c>
      <c r="K61" s="272">
        <v>0</v>
      </c>
      <c r="L61" s="272">
        <v>0</v>
      </c>
      <c r="M61" s="272">
        <v>0</v>
      </c>
      <c r="N61" s="272">
        <v>0</v>
      </c>
      <c r="O61" s="272">
        <v>2334.19344409004</v>
      </c>
      <c r="P61" s="276"/>
    </row>
    <row r="62" spans="1:16" s="240" customFormat="1" ht="12.75" x14ac:dyDescent="0.2">
      <c r="A62" s="224" t="s">
        <v>758</v>
      </c>
      <c r="B62" s="225" t="s">
        <v>772</v>
      </c>
      <c r="C62" s="225"/>
      <c r="D62" s="268"/>
      <c r="E62" s="268"/>
      <c r="F62" s="269">
        <v>14880.270512114101</v>
      </c>
      <c r="G62" s="269">
        <v>9.1161000000000006E-2</v>
      </c>
      <c r="H62" s="269">
        <v>2.2790249999999999</v>
      </c>
      <c r="I62" s="269">
        <v>0</v>
      </c>
      <c r="J62" s="269">
        <v>0</v>
      </c>
      <c r="K62" s="269">
        <v>0</v>
      </c>
      <c r="L62" s="269">
        <v>1757.8210097000001</v>
      </c>
      <c r="M62" s="269">
        <v>252.70195183599401</v>
      </c>
      <c r="N62" s="269">
        <v>0</v>
      </c>
      <c r="O62" s="269">
        <v>16893.072498650101</v>
      </c>
      <c r="P62" s="268"/>
    </row>
    <row r="63" spans="1:16" s="273" customFormat="1" ht="12" x14ac:dyDescent="0.2">
      <c r="A63" s="235"/>
      <c r="B63" s="230"/>
      <c r="C63" s="230" t="s">
        <v>773</v>
      </c>
      <c r="D63" s="271"/>
      <c r="E63" s="271"/>
      <c r="F63" s="272">
        <v>10173.3986357141</v>
      </c>
      <c r="G63" s="272">
        <v>9.1161000000000006E-2</v>
      </c>
      <c r="H63" s="272">
        <v>2.2790249999999999</v>
      </c>
      <c r="I63" s="272">
        <v>0</v>
      </c>
      <c r="J63" s="272">
        <v>0</v>
      </c>
      <c r="K63" s="272">
        <v>0</v>
      </c>
      <c r="L63" s="272">
        <v>0</v>
      </c>
      <c r="M63" s="272">
        <v>0</v>
      </c>
      <c r="N63" s="272">
        <v>0</v>
      </c>
      <c r="O63" s="272">
        <v>10175.6776607141</v>
      </c>
      <c r="P63" s="271"/>
    </row>
    <row r="64" spans="1:16" s="273" customFormat="1" ht="12" x14ac:dyDescent="0.2">
      <c r="A64" s="235"/>
      <c r="B64" s="230"/>
      <c r="C64" s="230" t="s">
        <v>252</v>
      </c>
      <c r="D64" s="271"/>
      <c r="E64" s="271"/>
      <c r="F64" s="272">
        <v>4706.8718763999996</v>
      </c>
      <c r="G64" s="272">
        <v>0</v>
      </c>
      <c r="H64" s="272">
        <v>0</v>
      </c>
      <c r="I64" s="272">
        <v>0</v>
      </c>
      <c r="J64" s="272">
        <v>0</v>
      </c>
      <c r="K64" s="272">
        <v>0</v>
      </c>
      <c r="L64" s="272">
        <v>1757.8210097000001</v>
      </c>
      <c r="M64" s="272">
        <v>4.7811599999999999</v>
      </c>
      <c r="N64" s="272">
        <v>0</v>
      </c>
      <c r="O64" s="272">
        <v>6469.4740461000001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247.92079183599401</v>
      </c>
      <c r="N65" s="272">
        <v>0</v>
      </c>
      <c r="O65" s="272">
        <v>247.92079183599401</v>
      </c>
      <c r="P65" s="271"/>
    </row>
    <row r="66" spans="1:16" s="234" customFormat="1" x14ac:dyDescent="0.25">
      <c r="A66" s="278" t="s">
        <v>764</v>
      </c>
      <c r="B66" s="279" t="s">
        <v>775</v>
      </c>
      <c r="C66" s="279"/>
      <c r="D66" s="251"/>
      <c r="E66" s="251"/>
      <c r="F66" s="252">
        <v>0</v>
      </c>
      <c r="G66" s="252">
        <v>0</v>
      </c>
      <c r="H66" s="252">
        <v>0</v>
      </c>
      <c r="I66" s="252">
        <v>0</v>
      </c>
      <c r="J66" s="252">
        <v>0</v>
      </c>
      <c r="K66" s="252">
        <v>9075.7871600548897</v>
      </c>
      <c r="L66" s="252">
        <v>4.4080201998923201</v>
      </c>
      <c r="M66" s="252">
        <v>1.2768909401752899</v>
      </c>
      <c r="N66" s="252">
        <v>0.15104489600000001</v>
      </c>
      <c r="O66" s="252">
        <v>9081.6231160909592</v>
      </c>
      <c r="P66" s="251"/>
    </row>
    <row r="67" spans="1:16" s="234" customFormat="1" ht="12.75" x14ac:dyDescent="0.2">
      <c r="A67" s="278" t="s">
        <v>776</v>
      </c>
      <c r="B67" s="279" t="s">
        <v>777</v>
      </c>
      <c r="C67" s="279"/>
      <c r="D67" s="251"/>
      <c r="E67" s="251"/>
      <c r="F67" s="252">
        <v>15166.498790269499</v>
      </c>
      <c r="G67" s="252">
        <v>0</v>
      </c>
      <c r="H67" s="252">
        <v>0</v>
      </c>
      <c r="I67" s="252">
        <v>0</v>
      </c>
      <c r="J67" s="252">
        <v>0</v>
      </c>
      <c r="K67" s="252">
        <v>0</v>
      </c>
      <c r="L67" s="252">
        <v>0</v>
      </c>
      <c r="M67" s="252">
        <v>0</v>
      </c>
      <c r="N67" s="252">
        <v>0</v>
      </c>
      <c r="O67" s="252">
        <v>15166.498790269499</v>
      </c>
      <c r="P67" s="251"/>
    </row>
    <row r="68" spans="1:16" s="234" customFormat="1" ht="12.75" x14ac:dyDescent="0.2">
      <c r="A68" s="259" t="s">
        <v>778</v>
      </c>
      <c r="B68" s="260" t="s">
        <v>779</v>
      </c>
      <c r="C68" s="260"/>
      <c r="D68" s="280"/>
      <c r="E68" s="280"/>
      <c r="F68" s="281">
        <v>13.2189631339751</v>
      </c>
      <c r="G68" s="281">
        <v>0</v>
      </c>
      <c r="H68" s="281">
        <v>0</v>
      </c>
      <c r="I68" s="281">
        <v>0.84444382863112499</v>
      </c>
      <c r="J68" s="281">
        <v>251.64426093207501</v>
      </c>
      <c r="K68" s="281">
        <v>0</v>
      </c>
      <c r="L68" s="281">
        <v>36.396441500992097</v>
      </c>
      <c r="M68" s="281">
        <v>185.65424400000001</v>
      </c>
      <c r="N68" s="281">
        <v>0</v>
      </c>
      <c r="O68" s="281">
        <v>486.91390956704203</v>
      </c>
      <c r="P68" s="251"/>
    </row>
    <row r="69" spans="1:16" s="267" customFormat="1" ht="12.75" x14ac:dyDescent="0.2">
      <c r="A69" s="282" t="s">
        <v>780</v>
      </c>
      <c r="B69" s="283"/>
      <c r="C69" s="283"/>
      <c r="D69" s="284"/>
      <c r="E69" s="284"/>
      <c r="F69" s="285">
        <v>2332.6338728000001</v>
      </c>
      <c r="G69" s="285">
        <v>1153.3239677955801</v>
      </c>
      <c r="H69" s="285">
        <v>28833.099194889499</v>
      </c>
      <c r="I69" s="285">
        <v>87.298528924892807</v>
      </c>
      <c r="J69" s="285">
        <v>26014.961619618</v>
      </c>
      <c r="K69" s="285">
        <v>0</v>
      </c>
      <c r="L69" s="285">
        <v>0</v>
      </c>
      <c r="M69" s="285">
        <v>0</v>
      </c>
      <c r="N69" s="285">
        <v>0</v>
      </c>
      <c r="O69" s="285">
        <v>57180.694687307499</v>
      </c>
      <c r="P69" s="265"/>
    </row>
    <row r="70" spans="1:16" s="234" customFormat="1" ht="12.75" x14ac:dyDescent="0.2">
      <c r="A70" s="278" t="s">
        <v>724</v>
      </c>
      <c r="B70" s="279" t="s">
        <v>27</v>
      </c>
      <c r="C70" s="279"/>
      <c r="D70" s="251"/>
      <c r="E70" s="251"/>
      <c r="F70" s="252">
        <v>0</v>
      </c>
      <c r="G70" s="252">
        <v>1006.26823565814</v>
      </c>
      <c r="H70" s="252">
        <v>25156.705891453399</v>
      </c>
      <c r="I70" s="252">
        <v>0</v>
      </c>
      <c r="J70" s="252">
        <v>0</v>
      </c>
      <c r="K70" s="252">
        <v>0</v>
      </c>
      <c r="L70" s="252">
        <v>0</v>
      </c>
      <c r="M70" s="252">
        <v>0</v>
      </c>
      <c r="N70" s="252">
        <v>0</v>
      </c>
      <c r="O70" s="252">
        <v>25156.705891453399</v>
      </c>
      <c r="P70" s="251"/>
    </row>
    <row r="71" spans="1:16" s="234" customFormat="1" ht="12.75" x14ac:dyDescent="0.2">
      <c r="A71" s="278" t="s">
        <v>737</v>
      </c>
      <c r="B71" s="279" t="s">
        <v>28</v>
      </c>
      <c r="C71" s="279"/>
      <c r="D71" s="251"/>
      <c r="E71" s="251"/>
      <c r="F71" s="252">
        <v>0</v>
      </c>
      <c r="G71" s="252">
        <v>145.86909811083899</v>
      </c>
      <c r="H71" s="252">
        <v>3646.7274527709701</v>
      </c>
      <c r="I71" s="252">
        <v>15.8848844675518</v>
      </c>
      <c r="J71" s="252">
        <v>4733.6955713304296</v>
      </c>
      <c r="K71" s="252">
        <v>0</v>
      </c>
      <c r="L71" s="252">
        <v>0</v>
      </c>
      <c r="M71" s="252">
        <v>0</v>
      </c>
      <c r="N71" s="252">
        <v>0</v>
      </c>
      <c r="O71" s="252">
        <v>8380.4230241013993</v>
      </c>
      <c r="P71" s="251"/>
    </row>
    <row r="72" spans="1:16" s="234" customFormat="1" ht="12.75" x14ac:dyDescent="0.2">
      <c r="A72" s="224" t="s">
        <v>758</v>
      </c>
      <c r="B72" s="225" t="s">
        <v>781</v>
      </c>
      <c r="C72" s="225"/>
      <c r="F72" s="231">
        <v>0</v>
      </c>
      <c r="G72" s="231">
        <v>0</v>
      </c>
      <c r="H72" s="231">
        <v>0</v>
      </c>
      <c r="I72" s="231">
        <v>71.382879871466102</v>
      </c>
      <c r="J72" s="231">
        <v>21272.098201696899</v>
      </c>
      <c r="K72" s="231">
        <v>0</v>
      </c>
      <c r="L72" s="231">
        <v>0</v>
      </c>
      <c r="M72" s="231">
        <v>0</v>
      </c>
      <c r="N72" s="231">
        <v>0</v>
      </c>
      <c r="O72" s="231">
        <v>21272.098201696899</v>
      </c>
    </row>
    <row r="73" spans="1:16" s="237" customFormat="1" ht="12" x14ac:dyDescent="0.2">
      <c r="A73" s="286"/>
      <c r="B73" s="258"/>
      <c r="C73" s="258" t="s">
        <v>782</v>
      </c>
      <c r="D73" s="243"/>
      <c r="E73" s="243"/>
      <c r="F73" s="244">
        <v>0</v>
      </c>
      <c r="G73" s="244">
        <v>0</v>
      </c>
      <c r="H73" s="244">
        <v>0</v>
      </c>
      <c r="I73" s="244">
        <v>58.856765067758701</v>
      </c>
      <c r="J73" s="244">
        <v>17539.315990192099</v>
      </c>
      <c r="K73" s="244">
        <v>0</v>
      </c>
      <c r="L73" s="244">
        <v>0</v>
      </c>
      <c r="M73" s="244">
        <v>0</v>
      </c>
      <c r="N73" s="244">
        <v>0</v>
      </c>
      <c r="O73" s="244">
        <v>17539.315990192099</v>
      </c>
    </row>
    <row r="74" spans="1:16" s="237" customFormat="1" ht="12" x14ac:dyDescent="0.2">
      <c r="A74" s="286"/>
      <c r="B74" s="258"/>
      <c r="C74" s="258" t="s">
        <v>783</v>
      </c>
      <c r="D74" s="243"/>
      <c r="E74" s="243"/>
      <c r="F74" s="244">
        <v>0</v>
      </c>
      <c r="G74" s="244">
        <v>0</v>
      </c>
      <c r="H74" s="244">
        <v>0</v>
      </c>
      <c r="I74" s="244">
        <v>12.5261148037073</v>
      </c>
      <c r="J74" s="244">
        <v>3732.7822115047902</v>
      </c>
      <c r="K74" s="244">
        <v>0</v>
      </c>
      <c r="L74" s="244">
        <v>0</v>
      </c>
      <c r="M74" s="244">
        <v>0</v>
      </c>
      <c r="N74" s="244">
        <v>0</v>
      </c>
      <c r="O74" s="244">
        <v>3732.7822115047902</v>
      </c>
    </row>
    <row r="75" spans="1:16" s="234" customFormat="1" ht="12.75" x14ac:dyDescent="0.2">
      <c r="A75" s="278" t="s">
        <v>764</v>
      </c>
      <c r="B75" s="279" t="s">
        <v>193</v>
      </c>
      <c r="C75" s="287"/>
      <c r="D75" s="251"/>
      <c r="E75" s="251"/>
      <c r="F75" s="252">
        <v>0</v>
      </c>
      <c r="G75" s="252">
        <v>1.18663402660324</v>
      </c>
      <c r="H75" s="252">
        <v>29.665850665080999</v>
      </c>
      <c r="I75" s="252">
        <v>3.07645858748988E-2</v>
      </c>
      <c r="J75" s="252">
        <v>9.1678465907198401</v>
      </c>
      <c r="K75" s="252">
        <v>0</v>
      </c>
      <c r="L75" s="252">
        <v>0</v>
      </c>
      <c r="M75" s="252">
        <v>0</v>
      </c>
      <c r="N75" s="252">
        <v>0</v>
      </c>
      <c r="O75" s="252">
        <v>38.8336972558008</v>
      </c>
    </row>
    <row r="76" spans="1:16" s="234" customFormat="1" ht="12.75" x14ac:dyDescent="0.2">
      <c r="A76" s="259" t="s">
        <v>776</v>
      </c>
      <c r="B76" s="260" t="s">
        <v>784</v>
      </c>
      <c r="C76" s="288"/>
      <c r="D76" s="280"/>
      <c r="E76" s="280"/>
      <c r="F76" s="281">
        <v>2332.6338728000001</v>
      </c>
      <c r="G76" s="281">
        <v>0</v>
      </c>
      <c r="H76" s="281">
        <v>0</v>
      </c>
      <c r="I76" s="281">
        <v>0</v>
      </c>
      <c r="J76" s="281">
        <v>0</v>
      </c>
      <c r="K76" s="281">
        <v>0</v>
      </c>
      <c r="L76" s="281">
        <v>0</v>
      </c>
      <c r="M76" s="281">
        <v>0</v>
      </c>
      <c r="N76" s="281">
        <v>0</v>
      </c>
      <c r="O76" s="281">
        <v>2332.6338728000001</v>
      </c>
    </row>
    <row r="77" spans="1:16" s="234" customFormat="1" ht="12.75" x14ac:dyDescent="0.2">
      <c r="A77" s="220" t="s">
        <v>785</v>
      </c>
      <c r="B77" s="289"/>
      <c r="C77" s="289"/>
      <c r="F77" s="223">
        <v>401.38812704999998</v>
      </c>
      <c r="G77" s="223">
        <v>908.45894053999996</v>
      </c>
      <c r="H77" s="223">
        <v>22711.473513500001</v>
      </c>
      <c r="I77" s="223">
        <v>3.9419702399999998</v>
      </c>
      <c r="J77" s="223">
        <v>1174.7071315200001</v>
      </c>
      <c r="K77" s="223">
        <v>0</v>
      </c>
      <c r="L77" s="223">
        <v>0</v>
      </c>
      <c r="M77" s="223">
        <v>0</v>
      </c>
      <c r="N77" s="223">
        <v>0</v>
      </c>
      <c r="O77" s="223">
        <v>24287.568772070001</v>
      </c>
    </row>
    <row r="78" spans="1:16" s="234" customFormat="1" ht="12.75" x14ac:dyDescent="0.2">
      <c r="A78" s="224" t="s">
        <v>724</v>
      </c>
      <c r="B78" s="225" t="s">
        <v>786</v>
      </c>
      <c r="C78" s="225"/>
      <c r="F78" s="231">
        <v>0</v>
      </c>
      <c r="G78" s="231">
        <v>870.80206385999998</v>
      </c>
      <c r="H78" s="231">
        <v>21770.051596500001</v>
      </c>
      <c r="I78" s="231">
        <v>0</v>
      </c>
      <c r="J78" s="231">
        <v>0</v>
      </c>
      <c r="K78" s="231">
        <v>0</v>
      </c>
      <c r="L78" s="231">
        <v>0</v>
      </c>
      <c r="M78" s="231">
        <v>0</v>
      </c>
      <c r="N78" s="231">
        <v>0</v>
      </c>
      <c r="O78" s="231">
        <v>21770.051596500001</v>
      </c>
    </row>
    <row r="79" spans="1:16" s="234" customFormat="1" ht="12.75" x14ac:dyDescent="0.2">
      <c r="A79" s="224" t="s">
        <v>737</v>
      </c>
      <c r="B79" s="225" t="s">
        <v>787</v>
      </c>
      <c r="C79" s="225"/>
      <c r="F79" s="231">
        <v>0</v>
      </c>
      <c r="G79" s="231">
        <v>21.916971270000001</v>
      </c>
      <c r="H79" s="231">
        <v>547.92428174999998</v>
      </c>
      <c r="I79" s="231">
        <v>1.3150182800000001</v>
      </c>
      <c r="J79" s="231">
        <v>391.87544744000002</v>
      </c>
      <c r="K79" s="231">
        <v>0</v>
      </c>
      <c r="L79" s="231">
        <v>0</v>
      </c>
      <c r="M79" s="231">
        <v>0</v>
      </c>
      <c r="N79" s="231">
        <v>0</v>
      </c>
      <c r="O79" s="231">
        <v>939.79972918999999</v>
      </c>
    </row>
    <row r="80" spans="1:16" s="234" customFormat="1" ht="12.75" x14ac:dyDescent="0.2">
      <c r="A80" s="278" t="s">
        <v>788</v>
      </c>
      <c r="B80" s="279" t="s">
        <v>789</v>
      </c>
      <c r="C80" s="279"/>
      <c r="D80" s="251"/>
      <c r="E80" s="251"/>
      <c r="F80" s="252">
        <v>0</v>
      </c>
      <c r="G80" s="252">
        <v>15.492839890000001</v>
      </c>
      <c r="H80" s="252">
        <v>387.32099725</v>
      </c>
      <c r="I80" s="252">
        <v>2.2032694899999998</v>
      </c>
      <c r="J80" s="252">
        <v>656.57430801999999</v>
      </c>
      <c r="K80" s="252">
        <v>0</v>
      </c>
      <c r="L80" s="252">
        <v>0</v>
      </c>
      <c r="M80" s="252">
        <v>0</v>
      </c>
      <c r="N80" s="252">
        <v>0</v>
      </c>
      <c r="O80" s="252">
        <v>1043.8953052700001</v>
      </c>
    </row>
    <row r="81" spans="1:30" s="234" customFormat="1" ht="12.75" x14ac:dyDescent="0.2">
      <c r="A81" s="259" t="s">
        <v>764</v>
      </c>
      <c r="B81" s="260" t="s">
        <v>790</v>
      </c>
      <c r="C81" s="260"/>
      <c r="D81" s="280"/>
      <c r="E81" s="280"/>
      <c r="F81" s="281">
        <v>401.38812704999998</v>
      </c>
      <c r="G81" s="281">
        <v>0.24706552000000001</v>
      </c>
      <c r="H81" s="281">
        <v>6.1766379999999996</v>
      </c>
      <c r="I81" s="281">
        <v>0.42368246999999998</v>
      </c>
      <c r="J81" s="281">
        <v>126.25737606</v>
      </c>
      <c r="K81" s="281">
        <v>0</v>
      </c>
      <c r="L81" s="281">
        <v>0</v>
      </c>
      <c r="M81" s="281">
        <v>0</v>
      </c>
      <c r="N81" s="281">
        <v>0</v>
      </c>
      <c r="O81" s="281">
        <v>533.82214110999996</v>
      </c>
    </row>
    <row r="82" spans="1:30" s="267" customFormat="1" ht="12.75" x14ac:dyDescent="0.2">
      <c r="A82" s="263" t="s">
        <v>791</v>
      </c>
      <c r="B82" s="264"/>
      <c r="C82" s="264"/>
      <c r="F82" s="223">
        <v>-31911.405825999998</v>
      </c>
      <c r="G82" s="223">
        <v>70.005784000000006</v>
      </c>
      <c r="H82" s="223">
        <v>1750.1446000000001</v>
      </c>
      <c r="I82" s="223">
        <v>2.155386</v>
      </c>
      <c r="J82" s="223">
        <v>642.30502799999999</v>
      </c>
      <c r="K82" s="223">
        <v>0</v>
      </c>
      <c r="L82" s="223">
        <v>0</v>
      </c>
      <c r="M82" s="223">
        <v>0</v>
      </c>
      <c r="N82" s="223">
        <v>0</v>
      </c>
      <c r="O82" s="223">
        <v>-29518.956198</v>
      </c>
    </row>
    <row r="83" spans="1:30" s="234" customFormat="1" ht="12.75" x14ac:dyDescent="0.2">
      <c r="A83" s="224" t="s">
        <v>724</v>
      </c>
      <c r="B83" s="225" t="s">
        <v>792</v>
      </c>
      <c r="C83" s="225"/>
      <c r="F83" s="231">
        <v>-164183.278739</v>
      </c>
      <c r="G83" s="231">
        <v>13.167247</v>
      </c>
      <c r="H83" s="231">
        <v>329.181175</v>
      </c>
      <c r="I83" s="231">
        <v>0.50746500000000005</v>
      </c>
      <c r="J83" s="231">
        <v>151.22457</v>
      </c>
      <c r="K83" s="231">
        <v>0</v>
      </c>
      <c r="L83" s="231">
        <v>0</v>
      </c>
      <c r="M83" s="231">
        <v>0</v>
      </c>
      <c r="N83" s="231">
        <v>0</v>
      </c>
      <c r="O83" s="231">
        <v>-163702.872994</v>
      </c>
    </row>
    <row r="84" spans="1:30" s="234" customFormat="1" ht="12.75" x14ac:dyDescent="0.2">
      <c r="A84" s="224" t="s">
        <v>737</v>
      </c>
      <c r="B84" s="225" t="s">
        <v>793</v>
      </c>
      <c r="C84" s="225"/>
      <c r="F84" s="231">
        <v>-11723.080742</v>
      </c>
      <c r="G84" s="231">
        <v>3.0477129999999999</v>
      </c>
      <c r="H84" s="231">
        <v>76.192824999999999</v>
      </c>
      <c r="I84" s="231">
        <v>0.16155800000000001</v>
      </c>
      <c r="J84" s="231">
        <v>48.144283999999999</v>
      </c>
      <c r="K84" s="231">
        <v>0</v>
      </c>
      <c r="L84" s="231">
        <v>0</v>
      </c>
      <c r="M84" s="231">
        <v>0</v>
      </c>
      <c r="N84" s="231">
        <v>0</v>
      </c>
      <c r="O84" s="231">
        <v>-11598.743633</v>
      </c>
    </row>
    <row r="85" spans="1:30" s="234" customFormat="1" ht="12.75" x14ac:dyDescent="0.2">
      <c r="A85" s="278" t="s">
        <v>758</v>
      </c>
      <c r="B85" s="279" t="s">
        <v>794</v>
      </c>
      <c r="C85" s="279"/>
      <c r="F85" s="231">
        <v>0</v>
      </c>
      <c r="G85" s="231">
        <v>47.460970000000003</v>
      </c>
      <c r="H85" s="231">
        <v>1186.5242499999999</v>
      </c>
      <c r="I85" s="231">
        <v>1.23045</v>
      </c>
      <c r="J85" s="231">
        <v>366.67410000000001</v>
      </c>
      <c r="K85" s="231">
        <v>0</v>
      </c>
      <c r="L85" s="231">
        <v>0</v>
      </c>
      <c r="M85" s="231">
        <v>0</v>
      </c>
      <c r="N85" s="231">
        <v>0</v>
      </c>
      <c r="O85" s="231">
        <v>1553.1983499999999</v>
      </c>
    </row>
    <row r="86" spans="1:30" s="234" customFormat="1" ht="12.75" x14ac:dyDescent="0.2">
      <c r="A86" s="278" t="s">
        <v>764</v>
      </c>
      <c r="B86" s="279" t="s">
        <v>795</v>
      </c>
      <c r="C86" s="279"/>
      <c r="F86" s="231">
        <v>2993.3810659999999</v>
      </c>
      <c r="G86" s="231">
        <v>1.546532</v>
      </c>
      <c r="H86" s="231">
        <v>38.6633</v>
      </c>
      <c r="I86" s="231">
        <v>7.1430999999999994E-2</v>
      </c>
      <c r="J86" s="231">
        <v>21.286438</v>
      </c>
      <c r="K86" s="231">
        <v>0</v>
      </c>
      <c r="L86" s="231">
        <v>0</v>
      </c>
      <c r="M86" s="231">
        <v>0</v>
      </c>
      <c r="N86" s="231">
        <v>0</v>
      </c>
      <c r="O86" s="231">
        <v>3053.3308040000002</v>
      </c>
    </row>
    <row r="87" spans="1:30" s="234" customFormat="1" ht="12.75" x14ac:dyDescent="0.2">
      <c r="A87" s="278" t="s">
        <v>776</v>
      </c>
      <c r="B87" s="279" t="s">
        <v>796</v>
      </c>
      <c r="C87" s="279"/>
      <c r="D87" s="251"/>
      <c r="E87" s="251"/>
      <c r="F87" s="252">
        <v>3676.8536760000002</v>
      </c>
      <c r="G87" s="252">
        <v>4.7833220000000001</v>
      </c>
      <c r="H87" s="252">
        <v>119.58305</v>
      </c>
      <c r="I87" s="252">
        <v>0.18448200000000001</v>
      </c>
      <c r="J87" s="252">
        <v>54.975636000000002</v>
      </c>
      <c r="K87" s="252">
        <v>0</v>
      </c>
      <c r="L87" s="252">
        <v>0</v>
      </c>
      <c r="M87" s="252">
        <v>0</v>
      </c>
      <c r="N87" s="252">
        <v>0</v>
      </c>
      <c r="O87" s="252">
        <v>3851.412362</v>
      </c>
    </row>
    <row r="88" spans="1:30" s="234" customFormat="1" ht="12.75" x14ac:dyDescent="0.2">
      <c r="A88" s="259" t="s">
        <v>778</v>
      </c>
      <c r="B88" s="260" t="s">
        <v>797</v>
      </c>
      <c r="C88" s="260"/>
      <c r="D88" s="280"/>
      <c r="E88" s="280"/>
      <c r="F88" s="281">
        <v>137324.71891299999</v>
      </c>
      <c r="G88" s="281">
        <v>0</v>
      </c>
      <c r="H88" s="281">
        <v>0</v>
      </c>
      <c r="I88" s="281">
        <v>0</v>
      </c>
      <c r="J88" s="281">
        <v>0</v>
      </c>
      <c r="K88" s="281">
        <v>0</v>
      </c>
      <c r="L88" s="281">
        <v>0</v>
      </c>
      <c r="M88" s="281">
        <v>0</v>
      </c>
      <c r="N88" s="281">
        <v>0</v>
      </c>
      <c r="O88" s="281">
        <v>137324.71891299999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813</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560003.13938661397</v>
      </c>
      <c r="G7" s="218">
        <v>3999.6627779565301</v>
      </c>
      <c r="H7" s="218">
        <v>99991.569448913302</v>
      </c>
      <c r="I7" s="218">
        <v>123.354008456686</v>
      </c>
      <c r="J7" s="218">
        <v>36759.494520092601</v>
      </c>
      <c r="K7" s="218">
        <v>8598.1870534749305</v>
      </c>
      <c r="L7" s="218">
        <v>1687.37155621242</v>
      </c>
      <c r="M7" s="218">
        <v>395.17834833094702</v>
      </c>
      <c r="N7" s="218">
        <v>0.15104489600000001</v>
      </c>
      <c r="O7" s="218">
        <v>707435.09135853394</v>
      </c>
    </row>
    <row r="8" spans="1:16" ht="15.75" thickTop="1" x14ac:dyDescent="0.2">
      <c r="A8" s="220" t="s">
        <v>723</v>
      </c>
      <c r="B8" s="221"/>
      <c r="C8" s="221"/>
      <c r="F8" s="223">
        <v>517530.26953903399</v>
      </c>
      <c r="G8" s="223">
        <v>1922.25690146443</v>
      </c>
      <c r="H8" s="223">
        <v>48056.4225366108</v>
      </c>
      <c r="I8" s="223">
        <v>32.5250868880509</v>
      </c>
      <c r="J8" s="223">
        <v>9692.4758926391805</v>
      </c>
      <c r="K8" s="223">
        <v>0</v>
      </c>
      <c r="L8" s="223">
        <v>0</v>
      </c>
      <c r="M8" s="223">
        <v>0</v>
      </c>
      <c r="N8" s="223">
        <v>0</v>
      </c>
      <c r="O8" s="223">
        <v>575279.16796828399</v>
      </c>
    </row>
    <row r="9" spans="1:16" x14ac:dyDescent="0.2">
      <c r="A9" s="224" t="s">
        <v>724</v>
      </c>
      <c r="B9" s="225" t="s">
        <v>725</v>
      </c>
      <c r="C9" s="225"/>
      <c r="F9" s="226">
        <v>312108.99152695597</v>
      </c>
      <c r="G9" s="226">
        <v>213.88930940677099</v>
      </c>
      <c r="H9" s="226">
        <v>5347.2327351692802</v>
      </c>
      <c r="I9" s="226">
        <v>8.6419651693695307</v>
      </c>
      <c r="J9" s="226">
        <v>2575.3056204721202</v>
      </c>
      <c r="K9" s="226">
        <v>0</v>
      </c>
      <c r="L9" s="226">
        <v>0</v>
      </c>
      <c r="M9" s="226">
        <v>0</v>
      </c>
      <c r="N9" s="226">
        <v>0</v>
      </c>
      <c r="O9" s="226">
        <v>320031.52988259698</v>
      </c>
      <c r="P9" s="227"/>
    </row>
    <row r="10" spans="1:16" x14ac:dyDescent="0.2">
      <c r="A10" s="228"/>
      <c r="B10" s="229" t="s">
        <v>726</v>
      </c>
      <c r="C10" s="230"/>
      <c r="F10" s="231">
        <v>93326.3244223285</v>
      </c>
      <c r="G10" s="231">
        <v>6.6167474117527103</v>
      </c>
      <c r="H10" s="231">
        <v>165.41868529381799</v>
      </c>
      <c r="I10" s="231">
        <v>1.97037695128194</v>
      </c>
      <c r="J10" s="231">
        <v>587.17233148201694</v>
      </c>
      <c r="K10" s="231">
        <v>0</v>
      </c>
      <c r="L10" s="231">
        <v>0</v>
      </c>
      <c r="M10" s="231">
        <v>0</v>
      </c>
      <c r="N10" s="231">
        <v>0</v>
      </c>
      <c r="O10" s="231">
        <v>94078.915439104298</v>
      </c>
    </row>
    <row r="11" spans="1:16" x14ac:dyDescent="0.2">
      <c r="A11" s="228"/>
      <c r="B11" s="232" t="s">
        <v>727</v>
      </c>
      <c r="C11" s="230"/>
      <c r="F11" s="231">
        <v>18489.232760756098</v>
      </c>
      <c r="G11" s="231">
        <v>0.41342132164957601</v>
      </c>
      <c r="H11" s="231">
        <v>10.335533041239399</v>
      </c>
      <c r="I11" s="231">
        <v>0.128683847220323</v>
      </c>
      <c r="J11" s="231">
        <v>38.3477864716562</v>
      </c>
      <c r="K11" s="231">
        <v>0</v>
      </c>
      <c r="L11" s="231">
        <v>0</v>
      </c>
      <c r="M11" s="231">
        <v>0</v>
      </c>
      <c r="N11" s="231">
        <v>0</v>
      </c>
      <c r="O11" s="231">
        <v>18537.916080268998</v>
      </c>
    </row>
    <row r="12" spans="1:16" s="234" customFormat="1" ht="12.75" x14ac:dyDescent="0.2">
      <c r="A12" s="228"/>
      <c r="B12" s="232" t="s">
        <v>728</v>
      </c>
      <c r="C12" s="233"/>
      <c r="F12" s="231">
        <v>79861.282616744298</v>
      </c>
      <c r="G12" s="231">
        <v>75.033042618790802</v>
      </c>
      <c r="H12" s="231">
        <v>1875.8260654697699</v>
      </c>
      <c r="I12" s="231">
        <v>1.71251440891712</v>
      </c>
      <c r="J12" s="231">
        <v>510.32929385730199</v>
      </c>
      <c r="K12" s="231">
        <v>0</v>
      </c>
      <c r="L12" s="231">
        <v>0</v>
      </c>
      <c r="M12" s="231">
        <v>0</v>
      </c>
      <c r="N12" s="231">
        <v>0</v>
      </c>
      <c r="O12" s="231">
        <v>82247.437976071393</v>
      </c>
    </row>
    <row r="13" spans="1:16" s="234" customFormat="1" ht="12.75" x14ac:dyDescent="0.2">
      <c r="A13" s="228"/>
      <c r="B13" s="229" t="s">
        <v>729</v>
      </c>
      <c r="C13" s="229"/>
      <c r="F13" s="231">
        <v>43547.010014462699</v>
      </c>
      <c r="G13" s="231">
        <v>2.3231020706793601</v>
      </c>
      <c r="H13" s="231">
        <v>58.077551766983902</v>
      </c>
      <c r="I13" s="231">
        <v>1.7530419796978001</v>
      </c>
      <c r="J13" s="231">
        <v>522.40650994994598</v>
      </c>
      <c r="K13" s="231">
        <v>0</v>
      </c>
      <c r="L13" s="231">
        <v>0</v>
      </c>
      <c r="M13" s="231">
        <v>0</v>
      </c>
      <c r="N13" s="231">
        <v>0</v>
      </c>
      <c r="O13" s="231">
        <v>44127.494076179602</v>
      </c>
    </row>
    <row r="14" spans="1:16" s="237" customFormat="1" ht="12" x14ac:dyDescent="0.2">
      <c r="A14" s="235"/>
      <c r="B14" s="230"/>
      <c r="C14" s="236" t="s">
        <v>2</v>
      </c>
      <c r="F14" s="238">
        <v>5255.48466489371</v>
      </c>
      <c r="G14" s="238">
        <v>0.12949601578234499</v>
      </c>
      <c r="H14" s="238">
        <v>3.2374003945586201</v>
      </c>
      <c r="I14" s="238">
        <v>0.11593034654176899</v>
      </c>
      <c r="J14" s="238">
        <v>34.547243269447101</v>
      </c>
      <c r="K14" s="238">
        <v>0</v>
      </c>
      <c r="L14" s="238">
        <v>0</v>
      </c>
      <c r="M14" s="238">
        <v>0</v>
      </c>
      <c r="N14" s="238">
        <v>0</v>
      </c>
      <c r="O14" s="238">
        <v>5293.2693085577102</v>
      </c>
    </row>
    <row r="15" spans="1:16" s="237" customFormat="1" ht="12" x14ac:dyDescent="0.2">
      <c r="A15" s="235"/>
      <c r="B15" s="230"/>
      <c r="C15" s="236" t="s">
        <v>730</v>
      </c>
      <c r="F15" s="238">
        <v>3341.67592985589</v>
      </c>
      <c r="G15" s="238">
        <v>6.0410534813421998E-2</v>
      </c>
      <c r="H15" s="238">
        <v>1.5102633703355499</v>
      </c>
      <c r="I15" s="238">
        <v>4.7625031651463798E-2</v>
      </c>
      <c r="J15" s="238">
        <v>14.192259432136201</v>
      </c>
      <c r="K15" s="238">
        <v>0</v>
      </c>
      <c r="L15" s="238">
        <v>0</v>
      </c>
      <c r="M15" s="238">
        <v>0</v>
      </c>
      <c r="N15" s="238">
        <v>0</v>
      </c>
      <c r="O15" s="238">
        <v>3357.37845265837</v>
      </c>
    </row>
    <row r="16" spans="1:16" s="237" customFormat="1" ht="12" x14ac:dyDescent="0.2">
      <c r="A16" s="235"/>
      <c r="B16" s="230"/>
      <c r="C16" s="236" t="s">
        <v>731</v>
      </c>
      <c r="F16" s="238">
        <v>11061.9514215664</v>
      </c>
      <c r="G16" s="238">
        <v>0.21389621637573</v>
      </c>
      <c r="H16" s="238">
        <v>5.3474054093932404</v>
      </c>
      <c r="I16" s="238">
        <v>0.189995660733393</v>
      </c>
      <c r="J16" s="238">
        <v>56.618706898550997</v>
      </c>
      <c r="K16" s="238">
        <v>0</v>
      </c>
      <c r="L16" s="238">
        <v>0</v>
      </c>
      <c r="M16" s="238">
        <v>0</v>
      </c>
      <c r="N16" s="238">
        <v>0</v>
      </c>
      <c r="O16" s="238">
        <v>11123.917533874401</v>
      </c>
    </row>
    <row r="17" spans="1:16" s="237" customFormat="1" ht="12" x14ac:dyDescent="0.2">
      <c r="A17" s="235"/>
      <c r="B17" s="230"/>
      <c r="C17" s="236" t="s">
        <v>732</v>
      </c>
      <c r="F17" s="238">
        <v>5972.7983913485896</v>
      </c>
      <c r="G17" s="238">
        <v>1.14481788575664</v>
      </c>
      <c r="H17" s="238">
        <v>28.6204471439159</v>
      </c>
      <c r="I17" s="238">
        <v>0.89767872920806502</v>
      </c>
      <c r="J17" s="238">
        <v>267.50826130400299</v>
      </c>
      <c r="K17" s="238">
        <v>0</v>
      </c>
      <c r="L17" s="238">
        <v>0</v>
      </c>
      <c r="M17" s="238">
        <v>0</v>
      </c>
      <c r="N17" s="238">
        <v>0</v>
      </c>
      <c r="O17" s="238">
        <v>6268.9270997965104</v>
      </c>
    </row>
    <row r="18" spans="1:16" s="237" customFormat="1" ht="12" x14ac:dyDescent="0.2">
      <c r="A18" s="235"/>
      <c r="B18" s="230"/>
      <c r="C18" s="236" t="s">
        <v>35</v>
      </c>
      <c r="F18" s="238">
        <v>4281.8831917999996</v>
      </c>
      <c r="G18" s="238">
        <v>0.19576325541220799</v>
      </c>
      <c r="H18" s="238">
        <v>4.8940813853051903</v>
      </c>
      <c r="I18" s="238">
        <v>5.0994787491306703E-2</v>
      </c>
      <c r="J18" s="238">
        <v>15.196446672409399</v>
      </c>
      <c r="K18" s="238">
        <v>0</v>
      </c>
      <c r="L18" s="238">
        <v>0</v>
      </c>
      <c r="M18" s="238">
        <v>0</v>
      </c>
      <c r="N18" s="238">
        <v>0</v>
      </c>
      <c r="O18" s="238">
        <v>4301.9737198577104</v>
      </c>
    </row>
    <row r="19" spans="1:16" s="237" customFormat="1" ht="12" x14ac:dyDescent="0.2">
      <c r="A19" s="235"/>
      <c r="B19" s="230"/>
      <c r="C19" s="236" t="s">
        <v>733</v>
      </c>
      <c r="F19" s="238">
        <v>13633.216414998</v>
      </c>
      <c r="G19" s="238">
        <v>0.57871816253901698</v>
      </c>
      <c r="H19" s="238">
        <v>14.4679540634754</v>
      </c>
      <c r="I19" s="238">
        <v>0.45081742407180703</v>
      </c>
      <c r="J19" s="238">
        <v>134.34359237339899</v>
      </c>
      <c r="K19" s="238">
        <v>0</v>
      </c>
      <c r="L19" s="238">
        <v>0</v>
      </c>
      <c r="M19" s="238">
        <v>0</v>
      </c>
      <c r="N19" s="238">
        <v>0</v>
      </c>
      <c r="O19" s="238">
        <v>13782.0279614349</v>
      </c>
    </row>
    <row r="20" spans="1:16" s="234" customFormat="1" ht="12.75" x14ac:dyDescent="0.2">
      <c r="A20" s="228"/>
      <c r="B20" s="229" t="s">
        <v>734</v>
      </c>
      <c r="C20" s="239"/>
      <c r="F20" s="231">
        <v>1354.50703</v>
      </c>
      <c r="G20" s="231">
        <v>2.3426099999999998E-2</v>
      </c>
      <c r="H20" s="231">
        <v>0.58565250000000002</v>
      </c>
      <c r="I20" s="231">
        <v>3.6027200000000002E-2</v>
      </c>
      <c r="J20" s="231">
        <v>10.7361056</v>
      </c>
      <c r="K20" s="231">
        <v>0</v>
      </c>
      <c r="L20" s="231">
        <v>0</v>
      </c>
      <c r="M20" s="231">
        <v>0</v>
      </c>
      <c r="N20" s="231">
        <v>0</v>
      </c>
      <c r="O20" s="231">
        <v>1365.8287881000001</v>
      </c>
    </row>
    <row r="21" spans="1:16" s="234" customFormat="1" ht="12.75" x14ac:dyDescent="0.2">
      <c r="A21" s="228"/>
      <c r="B21" s="229" t="s">
        <v>735</v>
      </c>
      <c r="C21" s="229"/>
      <c r="F21" s="231">
        <v>30092.032951084799</v>
      </c>
      <c r="G21" s="231">
        <v>0.56953627382271599</v>
      </c>
      <c r="H21" s="231">
        <v>14.2384068455679</v>
      </c>
      <c r="I21" s="231">
        <v>0.67170068370576996</v>
      </c>
      <c r="J21" s="231">
        <v>200.166803744319</v>
      </c>
      <c r="K21" s="231">
        <v>0</v>
      </c>
      <c r="L21" s="231">
        <v>0</v>
      </c>
      <c r="M21" s="231">
        <v>0</v>
      </c>
      <c r="N21" s="231">
        <v>0</v>
      </c>
      <c r="O21" s="231">
        <v>30306.438161674701</v>
      </c>
    </row>
    <row r="22" spans="1:16" s="234" customFormat="1" ht="12.75" x14ac:dyDescent="0.2">
      <c r="A22" s="228"/>
      <c r="B22" s="229" t="s">
        <v>181</v>
      </c>
      <c r="C22" s="229"/>
      <c r="F22" s="231">
        <v>41936.45018</v>
      </c>
      <c r="G22" s="231">
        <v>128.84820930549</v>
      </c>
      <c r="H22" s="231">
        <v>3221.20523263725</v>
      </c>
      <c r="I22" s="231">
        <v>2.2751173123906199</v>
      </c>
      <c r="J22" s="231">
        <v>677.98495909240398</v>
      </c>
      <c r="K22" s="231">
        <v>0</v>
      </c>
      <c r="L22" s="231">
        <v>0</v>
      </c>
      <c r="M22" s="231">
        <v>0</v>
      </c>
      <c r="N22" s="231">
        <v>0</v>
      </c>
      <c r="O22" s="231">
        <v>45835.6403717297</v>
      </c>
    </row>
    <row r="23" spans="1:16" s="234" customFormat="1" ht="12.75" x14ac:dyDescent="0.2">
      <c r="A23" s="228"/>
      <c r="B23" s="229" t="s">
        <v>736</v>
      </c>
      <c r="C23" s="229"/>
      <c r="F23" s="231">
        <v>3502.1515515793799</v>
      </c>
      <c r="G23" s="231">
        <v>6.1824304586036501E-2</v>
      </c>
      <c r="H23" s="231">
        <v>1.5456076146509099</v>
      </c>
      <c r="I23" s="231">
        <v>9.4502786155954893E-2</v>
      </c>
      <c r="J23" s="231">
        <v>28.1618302744746</v>
      </c>
      <c r="K23" s="231">
        <v>0</v>
      </c>
      <c r="L23" s="231">
        <v>0</v>
      </c>
      <c r="M23" s="231">
        <v>0</v>
      </c>
      <c r="N23" s="231">
        <v>0</v>
      </c>
      <c r="O23" s="231">
        <v>3531.8589894685001</v>
      </c>
    </row>
    <row r="24" spans="1:16" s="240" customFormat="1" ht="14.25" x14ac:dyDescent="0.2">
      <c r="A24" s="224" t="s">
        <v>737</v>
      </c>
      <c r="B24" s="225" t="s">
        <v>738</v>
      </c>
      <c r="C24" s="225"/>
      <c r="F24" s="226">
        <v>192202.57624278599</v>
      </c>
      <c r="G24" s="226">
        <v>23.066186477691598</v>
      </c>
      <c r="H24" s="226">
        <v>576.65466194228895</v>
      </c>
      <c r="I24" s="226">
        <v>23.745342448649701</v>
      </c>
      <c r="J24" s="226">
        <v>7076.11204969762</v>
      </c>
      <c r="K24" s="226">
        <v>0</v>
      </c>
      <c r="L24" s="226">
        <v>0</v>
      </c>
      <c r="M24" s="226">
        <v>0</v>
      </c>
      <c r="N24" s="226">
        <v>0</v>
      </c>
      <c r="O24" s="226">
        <v>199855.34295442601</v>
      </c>
      <c r="P24" s="241"/>
    </row>
    <row r="25" spans="1:16" s="234" customFormat="1" ht="12.75" x14ac:dyDescent="0.2">
      <c r="A25" s="228"/>
      <c r="B25" s="232" t="s">
        <v>739</v>
      </c>
      <c r="C25" s="229"/>
      <c r="F25" s="231">
        <v>6247.3804141675901</v>
      </c>
      <c r="G25" s="231">
        <v>0.31535464318596501</v>
      </c>
      <c r="H25" s="231">
        <v>7.8838660796491302</v>
      </c>
      <c r="I25" s="231">
        <v>0.183381686349018</v>
      </c>
      <c r="J25" s="231">
        <v>54.6477425320073</v>
      </c>
      <c r="K25" s="231">
        <v>0</v>
      </c>
      <c r="L25" s="231">
        <v>0</v>
      </c>
      <c r="M25" s="231">
        <v>0</v>
      </c>
      <c r="N25" s="231">
        <v>0</v>
      </c>
      <c r="O25" s="231">
        <v>6309.91202277924</v>
      </c>
    </row>
    <row r="26" spans="1:16" s="234" customFormat="1" ht="12.75" x14ac:dyDescent="0.2">
      <c r="A26" s="228"/>
      <c r="B26" s="229" t="s">
        <v>740</v>
      </c>
      <c r="C26" s="229"/>
      <c r="F26" s="231">
        <v>139240.74049822</v>
      </c>
      <c r="G26" s="231">
        <v>9.6598219435482893</v>
      </c>
      <c r="H26" s="231">
        <v>241.49554858870701</v>
      </c>
      <c r="I26" s="231">
        <v>10.9451369219673</v>
      </c>
      <c r="J26" s="231">
        <v>3261.6508027462401</v>
      </c>
      <c r="K26" s="231">
        <v>0</v>
      </c>
      <c r="L26" s="231">
        <v>0</v>
      </c>
      <c r="M26" s="231">
        <v>0</v>
      </c>
      <c r="N26" s="231">
        <v>0</v>
      </c>
      <c r="O26" s="231">
        <v>142743.88684955501</v>
      </c>
    </row>
    <row r="27" spans="1:16" s="237" customFormat="1" ht="12" x14ac:dyDescent="0.2">
      <c r="A27" s="235"/>
      <c r="B27" s="230"/>
      <c r="C27" s="236" t="s">
        <v>741</v>
      </c>
      <c r="F27" s="238">
        <v>36595.532685108701</v>
      </c>
      <c r="G27" s="238">
        <v>3.2729104206309598</v>
      </c>
      <c r="H27" s="238">
        <v>81.822760515773894</v>
      </c>
      <c r="I27" s="238">
        <v>3.2490646856662901</v>
      </c>
      <c r="J27" s="238">
        <v>968.22127632855597</v>
      </c>
      <c r="K27" s="238">
        <v>0</v>
      </c>
      <c r="L27" s="238">
        <v>0</v>
      </c>
      <c r="M27" s="238">
        <v>0</v>
      </c>
      <c r="N27" s="238">
        <v>0</v>
      </c>
      <c r="O27" s="238">
        <v>37645.576721953003</v>
      </c>
    </row>
    <row r="28" spans="1:16" s="237" customFormat="1" ht="12" x14ac:dyDescent="0.2">
      <c r="A28" s="235"/>
      <c r="B28" s="230"/>
      <c r="C28" s="236" t="s">
        <v>742</v>
      </c>
      <c r="F28" s="238">
        <v>41283.375424037797</v>
      </c>
      <c r="G28" s="238">
        <v>3.6963001365853501</v>
      </c>
      <c r="H28" s="238">
        <v>92.407503414633695</v>
      </c>
      <c r="I28" s="238">
        <v>3.9442712651966398</v>
      </c>
      <c r="J28" s="238">
        <v>1175.3928370286001</v>
      </c>
      <c r="K28" s="238">
        <v>0</v>
      </c>
      <c r="L28" s="238">
        <v>0</v>
      </c>
      <c r="M28" s="238">
        <v>0</v>
      </c>
      <c r="N28" s="238">
        <v>0</v>
      </c>
      <c r="O28" s="238">
        <v>42551.175764480999</v>
      </c>
    </row>
    <row r="29" spans="1:16" s="237" customFormat="1" ht="12" x14ac:dyDescent="0.2">
      <c r="A29" s="235"/>
      <c r="B29" s="230"/>
      <c r="C29" s="236" t="s">
        <v>743</v>
      </c>
      <c r="F29" s="238">
        <v>12107.0214144909</v>
      </c>
      <c r="G29" s="238">
        <v>0.516946155125108</v>
      </c>
      <c r="H29" s="238">
        <v>12.9236538781277</v>
      </c>
      <c r="I29" s="238">
        <v>0.99621413403151504</v>
      </c>
      <c r="J29" s="238">
        <v>296.87181194139202</v>
      </c>
      <c r="K29" s="238">
        <v>0</v>
      </c>
      <c r="L29" s="238">
        <v>0</v>
      </c>
      <c r="M29" s="238">
        <v>0</v>
      </c>
      <c r="N29" s="238">
        <v>0</v>
      </c>
      <c r="O29" s="238">
        <v>12416.8168803105</v>
      </c>
    </row>
    <row r="30" spans="1:16" s="237" customFormat="1" ht="12" x14ac:dyDescent="0.2">
      <c r="A30" s="235"/>
      <c r="B30" s="230"/>
      <c r="C30" s="236" t="s">
        <v>744</v>
      </c>
      <c r="F30" s="238">
        <v>252.99407333077099</v>
      </c>
      <c r="G30" s="238">
        <v>0.10578669325534799</v>
      </c>
      <c r="H30" s="238">
        <v>2.6446673313837099</v>
      </c>
      <c r="I30" s="238">
        <v>4.7968650471616201E-3</v>
      </c>
      <c r="J30" s="238">
        <v>1.42946578405416</v>
      </c>
      <c r="K30" s="238">
        <v>0</v>
      </c>
      <c r="L30" s="238">
        <v>0</v>
      </c>
      <c r="M30" s="238">
        <v>0</v>
      </c>
      <c r="N30" s="238">
        <v>0</v>
      </c>
      <c r="O30" s="238">
        <v>257.06820644620899</v>
      </c>
      <c r="P30" s="242"/>
    </row>
    <row r="31" spans="1:16" s="237" customFormat="1" ht="12" x14ac:dyDescent="0.2">
      <c r="A31" s="235"/>
      <c r="B31" s="230"/>
      <c r="C31" s="236" t="s">
        <v>745</v>
      </c>
      <c r="F31" s="238">
        <v>782.32201195246898</v>
      </c>
      <c r="G31" s="238">
        <v>1.5392803028550599E-2</v>
      </c>
      <c r="H31" s="238">
        <v>0.38482007571376597</v>
      </c>
      <c r="I31" s="238">
        <v>6.43010762542751E-2</v>
      </c>
      <c r="J31" s="238">
        <v>19.161720723774</v>
      </c>
      <c r="K31" s="238">
        <v>0</v>
      </c>
      <c r="L31" s="238">
        <v>0</v>
      </c>
      <c r="M31" s="238">
        <v>0</v>
      </c>
      <c r="N31" s="238">
        <v>0</v>
      </c>
      <c r="O31" s="238">
        <v>801.86855275195603</v>
      </c>
    </row>
    <row r="32" spans="1:16" s="237" customFormat="1" ht="12" x14ac:dyDescent="0.2">
      <c r="A32" s="235"/>
      <c r="B32" s="230"/>
      <c r="C32" s="236" t="s">
        <v>746</v>
      </c>
      <c r="D32" s="243"/>
      <c r="E32" s="243"/>
      <c r="F32" s="244">
        <v>452.31532679746698</v>
      </c>
      <c r="G32" s="244">
        <v>1.16505115290863E-2</v>
      </c>
      <c r="H32" s="244">
        <v>0.29126278822715901</v>
      </c>
      <c r="I32" s="244">
        <v>3.6932688991426002E-2</v>
      </c>
      <c r="J32" s="244">
        <v>11.005941319445</v>
      </c>
      <c r="K32" s="244">
        <v>0</v>
      </c>
      <c r="L32" s="244">
        <v>0</v>
      </c>
      <c r="M32" s="244">
        <v>0</v>
      </c>
      <c r="N32" s="244">
        <v>0</v>
      </c>
      <c r="O32" s="244">
        <v>463.61253090513998</v>
      </c>
    </row>
    <row r="33" spans="1:15" s="237" customFormat="1" ht="12" x14ac:dyDescent="0.2">
      <c r="A33" s="235"/>
      <c r="B33" s="230"/>
      <c r="C33" s="236" t="s">
        <v>747</v>
      </c>
      <c r="D33" s="243"/>
      <c r="E33" s="243"/>
      <c r="F33" s="244">
        <v>47709.039667493897</v>
      </c>
      <c r="G33" s="244">
        <v>2.0160126292124101</v>
      </c>
      <c r="H33" s="244">
        <v>50.400315730310197</v>
      </c>
      <c r="I33" s="244">
        <v>2.6484811576332401</v>
      </c>
      <c r="J33" s="244">
        <v>789.247384974704</v>
      </c>
      <c r="K33" s="244">
        <v>0</v>
      </c>
      <c r="L33" s="244">
        <v>0</v>
      </c>
      <c r="M33" s="244">
        <v>0</v>
      </c>
      <c r="N33" s="244">
        <v>0</v>
      </c>
      <c r="O33" s="244">
        <v>48548.687368198902</v>
      </c>
    </row>
    <row r="34" spans="1:15" s="237" customFormat="1" ht="12" x14ac:dyDescent="0.2">
      <c r="A34" s="235"/>
      <c r="B34" s="230"/>
      <c r="C34" s="245" t="s">
        <v>748</v>
      </c>
      <c r="D34" s="243"/>
      <c r="E34" s="243"/>
      <c r="F34" s="244">
        <v>58.139895008094598</v>
      </c>
      <c r="G34" s="244">
        <v>2.48225941814878E-2</v>
      </c>
      <c r="H34" s="244">
        <v>0.62056485453719401</v>
      </c>
      <c r="I34" s="244">
        <v>1.0750491467085999E-3</v>
      </c>
      <c r="J34" s="244">
        <v>0.32036464571916301</v>
      </c>
      <c r="K34" s="244">
        <v>0</v>
      </c>
      <c r="L34" s="244">
        <v>0</v>
      </c>
      <c r="M34" s="244">
        <v>0</v>
      </c>
      <c r="N34" s="244">
        <v>0</v>
      </c>
      <c r="O34" s="244">
        <v>59.080824508351</v>
      </c>
    </row>
    <row r="35" spans="1:15" s="249" customFormat="1" ht="12.75" x14ac:dyDescent="0.2">
      <c r="A35" s="228"/>
      <c r="B35" s="229" t="s">
        <v>749</v>
      </c>
      <c r="C35" s="246"/>
      <c r="D35" s="247"/>
      <c r="E35" s="247"/>
      <c r="F35" s="248">
        <v>6733.2627135907296</v>
      </c>
      <c r="G35" s="248">
        <v>0.38476685191753801</v>
      </c>
      <c r="H35" s="248">
        <v>9.6191712979384505</v>
      </c>
      <c r="I35" s="248">
        <v>2.6525979658685901</v>
      </c>
      <c r="J35" s="248">
        <v>790.47419382883902</v>
      </c>
      <c r="K35" s="248">
        <v>0</v>
      </c>
      <c r="L35" s="248">
        <v>0</v>
      </c>
      <c r="M35" s="248">
        <v>0</v>
      </c>
      <c r="N35" s="248">
        <v>0</v>
      </c>
      <c r="O35" s="248">
        <v>7533.3560787175002</v>
      </c>
    </row>
    <row r="36" spans="1:15" s="249" customFormat="1" ht="12.75" x14ac:dyDescent="0.2">
      <c r="A36" s="228"/>
      <c r="B36" s="232" t="s">
        <v>750</v>
      </c>
      <c r="C36" s="246"/>
      <c r="D36" s="247"/>
      <c r="E36" s="247"/>
      <c r="F36" s="248">
        <v>5542.25087665512</v>
      </c>
      <c r="G36" s="248">
        <v>0.51514511083235603</v>
      </c>
      <c r="H36" s="248">
        <v>12.878627770808899</v>
      </c>
      <c r="I36" s="248">
        <v>0.14718004548076699</v>
      </c>
      <c r="J36" s="248">
        <v>43.859653553268501</v>
      </c>
      <c r="K36" s="248">
        <v>0</v>
      </c>
      <c r="L36" s="248">
        <v>0</v>
      </c>
      <c r="M36" s="248">
        <v>0</v>
      </c>
      <c r="N36" s="248">
        <v>0</v>
      </c>
      <c r="O36" s="248">
        <v>5598.9891579791902</v>
      </c>
    </row>
    <row r="37" spans="1:15" s="234" customFormat="1" ht="12.75" x14ac:dyDescent="0.2">
      <c r="A37" s="228"/>
      <c r="B37" s="229" t="s">
        <v>751</v>
      </c>
      <c r="C37" s="250"/>
      <c r="D37" s="251"/>
      <c r="E37" s="251"/>
      <c r="F37" s="252">
        <v>34438.941740152899</v>
      </c>
      <c r="G37" s="252">
        <v>12.1910979282074</v>
      </c>
      <c r="H37" s="252">
        <v>304.77744820518501</v>
      </c>
      <c r="I37" s="252">
        <v>9.8170458289840994</v>
      </c>
      <c r="J37" s="252">
        <v>2925.47965703726</v>
      </c>
      <c r="K37" s="252">
        <v>0</v>
      </c>
      <c r="L37" s="252">
        <v>0</v>
      </c>
      <c r="M37" s="252">
        <v>0</v>
      </c>
      <c r="N37" s="252">
        <v>0</v>
      </c>
      <c r="O37" s="252">
        <v>37669.198845395302</v>
      </c>
    </row>
    <row r="38" spans="1:15" s="237" customFormat="1" ht="12" x14ac:dyDescent="0.2">
      <c r="A38" s="235"/>
      <c r="B38" s="230"/>
      <c r="C38" s="236" t="s">
        <v>752</v>
      </c>
      <c r="F38" s="238">
        <v>11238.4275683877</v>
      </c>
      <c r="G38" s="238">
        <v>0.69474538084411297</v>
      </c>
      <c r="H38" s="238">
        <v>17.368634521102798</v>
      </c>
      <c r="I38" s="238">
        <v>4.3888711896114501</v>
      </c>
      <c r="J38" s="238">
        <v>1307.8836145042101</v>
      </c>
      <c r="K38" s="238">
        <v>0</v>
      </c>
      <c r="L38" s="238">
        <v>0</v>
      </c>
      <c r="M38" s="238">
        <v>0</v>
      </c>
      <c r="N38" s="238">
        <v>0</v>
      </c>
      <c r="O38" s="238">
        <v>12563.679817413</v>
      </c>
    </row>
    <row r="39" spans="1:15" s="237" customFormat="1" ht="12" x14ac:dyDescent="0.2">
      <c r="A39" s="235"/>
      <c r="B39" s="230"/>
      <c r="C39" s="236" t="s">
        <v>753</v>
      </c>
      <c r="F39" s="238">
        <v>1848.4423125999199</v>
      </c>
      <c r="G39" s="238">
        <v>1.1763548161169199</v>
      </c>
      <c r="H39" s="238">
        <v>29.408870402922901</v>
      </c>
      <c r="I39" s="238">
        <v>0.43550936402408702</v>
      </c>
      <c r="J39" s="238">
        <v>129.781790479178</v>
      </c>
      <c r="K39" s="238">
        <v>0</v>
      </c>
      <c r="L39" s="238">
        <v>0</v>
      </c>
      <c r="M39" s="238">
        <v>0</v>
      </c>
      <c r="N39" s="238">
        <v>0</v>
      </c>
      <c r="O39" s="238">
        <v>2007.6329734820199</v>
      </c>
    </row>
    <row r="40" spans="1:15" s="237" customFormat="1" ht="12" x14ac:dyDescent="0.2">
      <c r="A40" s="235"/>
      <c r="B40" s="230"/>
      <c r="C40" s="236" t="s">
        <v>754</v>
      </c>
      <c r="F40" s="238">
        <v>11913.725762632201</v>
      </c>
      <c r="G40" s="238">
        <v>1.17251820539477</v>
      </c>
      <c r="H40" s="238">
        <v>29.312955134869199</v>
      </c>
      <c r="I40" s="238">
        <v>4.38237447522505</v>
      </c>
      <c r="J40" s="238">
        <v>1305.94759361707</v>
      </c>
      <c r="K40" s="238">
        <v>0</v>
      </c>
      <c r="L40" s="238">
        <v>0</v>
      </c>
      <c r="M40" s="238">
        <v>0</v>
      </c>
      <c r="N40" s="238">
        <v>0</v>
      </c>
      <c r="O40" s="238">
        <v>13248.9863113842</v>
      </c>
    </row>
    <row r="41" spans="1:15" s="237" customFormat="1" ht="12" x14ac:dyDescent="0.2">
      <c r="A41" s="235"/>
      <c r="B41" s="230"/>
      <c r="C41" s="236" t="s">
        <v>755</v>
      </c>
      <c r="F41" s="238">
        <v>646.14292386228897</v>
      </c>
      <c r="G41" s="238">
        <v>0.557721497255531</v>
      </c>
      <c r="H41" s="238">
        <v>13.9430374313883</v>
      </c>
      <c r="I41" s="238">
        <v>8.7713126064730307E-2</v>
      </c>
      <c r="J41" s="238">
        <v>26.138511567289601</v>
      </c>
      <c r="K41" s="238">
        <v>0</v>
      </c>
      <c r="L41" s="238">
        <v>0</v>
      </c>
      <c r="M41" s="238">
        <v>0</v>
      </c>
      <c r="N41" s="238">
        <v>0</v>
      </c>
      <c r="O41" s="238">
        <v>686.22447286096701</v>
      </c>
    </row>
    <row r="42" spans="1:15" s="237" customFormat="1" ht="12" x14ac:dyDescent="0.2">
      <c r="A42" s="235"/>
      <c r="B42" s="230"/>
      <c r="C42" s="236" t="s">
        <v>756</v>
      </c>
      <c r="F42" s="238">
        <v>3324.0081726707299</v>
      </c>
      <c r="G42" s="238">
        <v>3.08350625359608</v>
      </c>
      <c r="H42" s="238">
        <v>77.087656339902097</v>
      </c>
      <c r="I42" s="238">
        <v>0.37585067405877798</v>
      </c>
      <c r="J42" s="238">
        <v>112.003500869516</v>
      </c>
      <c r="K42" s="238">
        <v>0</v>
      </c>
      <c r="L42" s="238">
        <v>0</v>
      </c>
      <c r="M42" s="238">
        <v>0</v>
      </c>
      <c r="N42" s="238">
        <v>0</v>
      </c>
      <c r="O42" s="238">
        <v>3513.09932988015</v>
      </c>
    </row>
    <row r="43" spans="1:15" s="237" customFormat="1" ht="12" x14ac:dyDescent="0.2">
      <c r="A43" s="235"/>
      <c r="B43" s="230"/>
      <c r="C43" s="253" t="s">
        <v>757</v>
      </c>
      <c r="F43" s="238">
        <v>5468.1949999999997</v>
      </c>
      <c r="G43" s="238">
        <v>5.506251775</v>
      </c>
      <c r="H43" s="238">
        <v>137.65629437499999</v>
      </c>
      <c r="I43" s="238">
        <v>0.146727</v>
      </c>
      <c r="J43" s="238">
        <v>43.724646</v>
      </c>
      <c r="K43" s="238">
        <v>0</v>
      </c>
      <c r="L43" s="238">
        <v>0</v>
      </c>
      <c r="M43" s="238">
        <v>0</v>
      </c>
      <c r="N43" s="238">
        <v>0</v>
      </c>
      <c r="O43" s="238">
        <v>5649.5759403749998</v>
      </c>
    </row>
    <row r="44" spans="1:15" s="240" customFormat="1" ht="12.75" x14ac:dyDescent="0.2">
      <c r="A44" s="224" t="s">
        <v>758</v>
      </c>
      <c r="B44" s="225" t="s">
        <v>759</v>
      </c>
      <c r="C44" s="225"/>
      <c r="F44" s="226">
        <v>13218.6163692916</v>
      </c>
      <c r="G44" s="226">
        <v>1685.3014055799699</v>
      </c>
      <c r="H44" s="226">
        <v>42132.535139499298</v>
      </c>
      <c r="I44" s="226">
        <v>0.137779270031679</v>
      </c>
      <c r="J44" s="226">
        <v>41.058222469440302</v>
      </c>
      <c r="K44" s="226">
        <v>0</v>
      </c>
      <c r="L44" s="226">
        <v>0</v>
      </c>
      <c r="M44" s="226">
        <v>0</v>
      </c>
      <c r="N44" s="226">
        <v>0</v>
      </c>
      <c r="O44" s="226">
        <v>55392.209731260402</v>
      </c>
    </row>
    <row r="45" spans="1:15" s="234" customFormat="1" ht="12.75" x14ac:dyDescent="0.2">
      <c r="A45" s="228"/>
      <c r="B45" s="229" t="s">
        <v>760</v>
      </c>
      <c r="C45" s="229"/>
      <c r="F45" s="231">
        <v>0</v>
      </c>
      <c r="G45" s="231">
        <v>54.856954029665403</v>
      </c>
      <c r="H45" s="231">
        <v>1371.4238507416401</v>
      </c>
      <c r="I45" s="231">
        <v>0</v>
      </c>
      <c r="J45" s="231">
        <v>0</v>
      </c>
      <c r="K45" s="231">
        <v>0</v>
      </c>
      <c r="L45" s="231">
        <v>0</v>
      </c>
      <c r="M45" s="231">
        <v>0</v>
      </c>
      <c r="N45" s="231">
        <v>0</v>
      </c>
      <c r="O45" s="231">
        <v>1371.4238507416401</v>
      </c>
    </row>
    <row r="46" spans="1:15" s="234" customFormat="1" ht="12.75" x14ac:dyDescent="0.2">
      <c r="A46" s="228"/>
      <c r="B46" s="229" t="s">
        <v>761</v>
      </c>
      <c r="C46" s="229"/>
      <c r="F46" s="231">
        <v>13218.6163692916</v>
      </c>
      <c r="G46" s="231">
        <v>1630.4444515503101</v>
      </c>
      <c r="H46" s="231">
        <v>40761.111288757602</v>
      </c>
      <c r="I46" s="231">
        <v>0.137779270031679</v>
      </c>
      <c r="J46" s="231">
        <v>41.058222469440302</v>
      </c>
      <c r="K46" s="231">
        <v>0</v>
      </c>
      <c r="L46" s="231">
        <v>0</v>
      </c>
      <c r="M46" s="231">
        <v>0</v>
      </c>
      <c r="N46" s="231">
        <v>0</v>
      </c>
      <c r="O46" s="231">
        <v>54020.785880518699</v>
      </c>
    </row>
    <row r="47" spans="1:15" s="237" customFormat="1" ht="12" x14ac:dyDescent="0.2">
      <c r="A47" s="254"/>
      <c r="B47" s="255"/>
      <c r="C47" s="230" t="s">
        <v>762</v>
      </c>
      <c r="F47" s="238">
        <v>213.291502999382</v>
      </c>
      <c r="G47" s="238">
        <v>237.44244316470099</v>
      </c>
      <c r="H47" s="238">
        <v>5936.0610791175204</v>
      </c>
      <c r="I47" s="238">
        <v>0.11276265254499999</v>
      </c>
      <c r="J47" s="238">
        <v>33.603270458410002</v>
      </c>
      <c r="K47" s="238">
        <v>0</v>
      </c>
      <c r="L47" s="238">
        <v>0</v>
      </c>
      <c r="M47" s="238">
        <v>0</v>
      </c>
      <c r="N47" s="238">
        <v>0</v>
      </c>
      <c r="O47" s="238">
        <v>6182.95585257531</v>
      </c>
    </row>
    <row r="48" spans="1:15" s="237" customFormat="1" ht="12" x14ac:dyDescent="0.2">
      <c r="A48" s="254"/>
      <c r="B48" s="255"/>
      <c r="C48" s="230" t="s">
        <v>763</v>
      </c>
      <c r="F48" s="238">
        <v>69.962815223083297</v>
      </c>
      <c r="G48" s="238">
        <v>479.889396656153</v>
      </c>
      <c r="H48" s="238">
        <v>11997.234916403801</v>
      </c>
      <c r="I48" s="238">
        <v>0</v>
      </c>
      <c r="J48" s="238">
        <v>0</v>
      </c>
      <c r="K48" s="238">
        <v>0</v>
      </c>
      <c r="L48" s="238">
        <v>0</v>
      </c>
      <c r="M48" s="238">
        <v>0</v>
      </c>
      <c r="N48" s="238">
        <v>0</v>
      </c>
      <c r="O48" s="238">
        <v>12067.1977316269</v>
      </c>
    </row>
    <row r="49" spans="1:16" s="237" customFormat="1" ht="12" x14ac:dyDescent="0.2">
      <c r="A49" s="256"/>
      <c r="B49" s="257"/>
      <c r="C49" s="258" t="s">
        <v>380</v>
      </c>
      <c r="D49" s="243"/>
      <c r="E49" s="243"/>
      <c r="F49" s="244">
        <v>8446.0220687124001</v>
      </c>
      <c r="G49" s="244">
        <v>895.09244829243698</v>
      </c>
      <c r="H49" s="244">
        <v>22377.3112073109</v>
      </c>
      <c r="I49" s="244">
        <v>0</v>
      </c>
      <c r="J49" s="244">
        <v>0</v>
      </c>
      <c r="K49" s="244">
        <v>0</v>
      </c>
      <c r="L49" s="244">
        <v>0</v>
      </c>
      <c r="M49" s="244">
        <v>0</v>
      </c>
      <c r="N49" s="244">
        <v>0</v>
      </c>
      <c r="O49" s="244">
        <v>30823.333276023299</v>
      </c>
    </row>
    <row r="50" spans="1:16" s="237" customFormat="1" ht="12" x14ac:dyDescent="0.2">
      <c r="A50" s="256"/>
      <c r="B50" s="257"/>
      <c r="C50" s="258" t="s">
        <v>381</v>
      </c>
      <c r="D50" s="243"/>
      <c r="E50" s="243"/>
      <c r="F50" s="244">
        <v>4489.3399823567797</v>
      </c>
      <c r="G50" s="244">
        <v>18.020163437015601</v>
      </c>
      <c r="H50" s="244">
        <v>450.50408592538997</v>
      </c>
      <c r="I50" s="244">
        <v>2.50166174866789E-2</v>
      </c>
      <c r="J50" s="244">
        <v>7.45495201103033</v>
      </c>
      <c r="K50" s="244">
        <v>0</v>
      </c>
      <c r="L50" s="244">
        <v>0</v>
      </c>
      <c r="M50" s="244">
        <v>0</v>
      </c>
      <c r="N50" s="244">
        <v>0</v>
      </c>
      <c r="O50" s="244">
        <v>4947.2990202931996</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39995.846296046599</v>
      </c>
      <c r="G52" s="266">
        <v>2.8972866582054002</v>
      </c>
      <c r="H52" s="266">
        <v>72.432166455135004</v>
      </c>
      <c r="I52" s="266">
        <v>4.5835602212725703</v>
      </c>
      <c r="J52" s="266">
        <v>1365.90094593923</v>
      </c>
      <c r="K52" s="266">
        <v>8598.1870534749305</v>
      </c>
      <c r="L52" s="266">
        <v>1687.37155621242</v>
      </c>
      <c r="M52" s="266">
        <v>395.17834833094702</v>
      </c>
      <c r="N52" s="266">
        <v>0.15104489600000001</v>
      </c>
      <c r="O52" s="266">
        <v>52115.067411355303</v>
      </c>
    </row>
    <row r="53" spans="1:16" s="240" customFormat="1" ht="12.75" x14ac:dyDescent="0.2">
      <c r="A53" s="224" t="s">
        <v>724</v>
      </c>
      <c r="B53" s="225" t="s">
        <v>767</v>
      </c>
      <c r="C53" s="225"/>
      <c r="D53" s="268"/>
      <c r="E53" s="268"/>
      <c r="F53" s="269">
        <v>7938.1001264494998</v>
      </c>
      <c r="G53" s="269">
        <v>0</v>
      </c>
      <c r="H53" s="269">
        <v>0</v>
      </c>
      <c r="I53" s="269">
        <v>0</v>
      </c>
      <c r="J53" s="269">
        <v>0</v>
      </c>
      <c r="K53" s="269">
        <v>0</v>
      </c>
      <c r="L53" s="269">
        <v>0</v>
      </c>
      <c r="M53" s="269">
        <v>0</v>
      </c>
      <c r="N53" s="269">
        <v>0</v>
      </c>
      <c r="O53" s="269">
        <v>7938.1001264494998</v>
      </c>
    </row>
    <row r="54" spans="1:16" s="273" customFormat="1" ht="12" x14ac:dyDescent="0.2">
      <c r="A54" s="235"/>
      <c r="B54" s="270"/>
      <c r="C54" s="236" t="s">
        <v>560</v>
      </c>
      <c r="D54" s="271"/>
      <c r="E54" s="271"/>
      <c r="F54" s="272">
        <v>6057.45232181551</v>
      </c>
      <c r="G54" s="272">
        <v>0</v>
      </c>
      <c r="H54" s="272">
        <v>0</v>
      </c>
      <c r="I54" s="272">
        <v>0</v>
      </c>
      <c r="J54" s="272">
        <v>0</v>
      </c>
      <c r="K54" s="272">
        <v>0</v>
      </c>
      <c r="L54" s="272">
        <v>0</v>
      </c>
      <c r="M54" s="272">
        <v>0</v>
      </c>
      <c r="N54" s="272">
        <v>0</v>
      </c>
      <c r="O54" s="272">
        <v>6057.45232181551</v>
      </c>
      <c r="P54" s="271"/>
    </row>
    <row r="55" spans="1:16" s="273" customFormat="1" ht="12" x14ac:dyDescent="0.2">
      <c r="A55" s="235"/>
      <c r="B55" s="270"/>
      <c r="C55" s="236" t="s">
        <v>191</v>
      </c>
      <c r="D55" s="271"/>
      <c r="E55" s="271"/>
      <c r="F55" s="272">
        <v>1430.2820811793199</v>
      </c>
      <c r="G55" s="272">
        <v>0</v>
      </c>
      <c r="H55" s="272">
        <v>0</v>
      </c>
      <c r="I55" s="272">
        <v>0</v>
      </c>
      <c r="J55" s="272">
        <v>0</v>
      </c>
      <c r="K55" s="272">
        <v>0</v>
      </c>
      <c r="L55" s="272">
        <v>0</v>
      </c>
      <c r="M55" s="272">
        <v>0</v>
      </c>
      <c r="N55" s="272">
        <v>0</v>
      </c>
      <c r="O55" s="272">
        <v>1430.2820811793199</v>
      </c>
      <c r="P55" s="271"/>
    </row>
    <row r="56" spans="1:16" s="273" customFormat="1" ht="12" x14ac:dyDescent="0.2">
      <c r="A56" s="235"/>
      <c r="B56" s="270"/>
      <c r="C56" s="236" t="s">
        <v>768</v>
      </c>
      <c r="D56" s="271"/>
      <c r="E56" s="271"/>
      <c r="F56" s="272">
        <v>450.365723454663</v>
      </c>
      <c r="G56" s="272">
        <v>0</v>
      </c>
      <c r="H56" s="272">
        <v>0</v>
      </c>
      <c r="I56" s="272">
        <v>0</v>
      </c>
      <c r="J56" s="272">
        <v>0</v>
      </c>
      <c r="K56" s="272">
        <v>0</v>
      </c>
      <c r="L56" s="272">
        <v>0</v>
      </c>
      <c r="M56" s="272">
        <v>0</v>
      </c>
      <c r="N56" s="272">
        <v>0</v>
      </c>
      <c r="O56" s="272">
        <v>450.365723454663</v>
      </c>
      <c r="P56" s="271"/>
    </row>
    <row r="57" spans="1:16" s="275" customFormat="1" ht="12.75" x14ac:dyDescent="0.2">
      <c r="A57" s="224" t="s">
        <v>737</v>
      </c>
      <c r="B57" s="225" t="s">
        <v>769</v>
      </c>
      <c r="C57" s="225"/>
      <c r="D57" s="274"/>
      <c r="E57" s="274"/>
      <c r="F57" s="269">
        <v>4893.4534509919004</v>
      </c>
      <c r="G57" s="269">
        <v>2.8059876582054</v>
      </c>
      <c r="H57" s="269">
        <v>70.149691455134999</v>
      </c>
      <c r="I57" s="269">
        <v>3.78549748642099</v>
      </c>
      <c r="J57" s="269">
        <v>1128.0782509534599</v>
      </c>
      <c r="K57" s="269">
        <v>0</v>
      </c>
      <c r="L57" s="269">
        <v>0</v>
      </c>
      <c r="M57" s="269">
        <v>0</v>
      </c>
      <c r="N57" s="269">
        <v>0</v>
      </c>
      <c r="O57" s="269">
        <v>6091.6813934004904</v>
      </c>
      <c r="P57" s="274"/>
    </row>
    <row r="58" spans="1:16" s="277" customFormat="1" ht="12" x14ac:dyDescent="0.2">
      <c r="A58" s="235"/>
      <c r="B58" s="270"/>
      <c r="C58" s="236" t="s">
        <v>192</v>
      </c>
      <c r="D58" s="276"/>
      <c r="E58" s="276"/>
      <c r="F58" s="272">
        <v>2881.1580168077799</v>
      </c>
      <c r="G58" s="272">
        <v>0</v>
      </c>
      <c r="H58" s="272">
        <v>0</v>
      </c>
      <c r="I58" s="272">
        <v>0</v>
      </c>
      <c r="J58" s="272">
        <v>0</v>
      </c>
      <c r="K58" s="272">
        <v>0</v>
      </c>
      <c r="L58" s="272">
        <v>0</v>
      </c>
      <c r="M58" s="272">
        <v>0</v>
      </c>
      <c r="N58" s="272">
        <v>0</v>
      </c>
      <c r="O58" s="272">
        <v>2881.1580168077799</v>
      </c>
      <c r="P58" s="276"/>
    </row>
    <row r="59" spans="1:16" s="277" customFormat="1" ht="12" x14ac:dyDescent="0.2">
      <c r="A59" s="235"/>
      <c r="B59" s="270"/>
      <c r="C59" s="236" t="s">
        <v>190</v>
      </c>
      <c r="D59" s="276"/>
      <c r="E59" s="276"/>
      <c r="F59" s="272">
        <v>0</v>
      </c>
      <c r="G59" s="272">
        <v>0</v>
      </c>
      <c r="H59" s="272">
        <v>0</v>
      </c>
      <c r="I59" s="272">
        <v>3.7514720399999999</v>
      </c>
      <c r="J59" s="272">
        <v>1117.9386679199999</v>
      </c>
      <c r="K59" s="272">
        <v>0</v>
      </c>
      <c r="L59" s="272">
        <v>0</v>
      </c>
      <c r="M59" s="272">
        <v>0</v>
      </c>
      <c r="N59" s="272">
        <v>0</v>
      </c>
      <c r="O59" s="272">
        <v>1117.9386679199999</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2012.29543418412</v>
      </c>
      <c r="G61" s="272">
        <v>2.8059876582054</v>
      </c>
      <c r="H61" s="272">
        <v>70.149691455134999</v>
      </c>
      <c r="I61" s="272">
        <v>3.4025446420994802E-2</v>
      </c>
      <c r="J61" s="272">
        <v>10.1395830334564</v>
      </c>
      <c r="K61" s="272">
        <v>0</v>
      </c>
      <c r="L61" s="272">
        <v>0</v>
      </c>
      <c r="M61" s="272">
        <v>0</v>
      </c>
      <c r="N61" s="272">
        <v>0</v>
      </c>
      <c r="O61" s="272">
        <v>2092.5847086727099</v>
      </c>
      <c r="P61" s="276"/>
    </row>
    <row r="62" spans="1:16" s="240" customFormat="1" ht="12.75" x14ac:dyDescent="0.2">
      <c r="A62" s="224" t="s">
        <v>758</v>
      </c>
      <c r="B62" s="225" t="s">
        <v>772</v>
      </c>
      <c r="C62" s="225"/>
      <c r="D62" s="268"/>
      <c r="E62" s="268"/>
      <c r="F62" s="269">
        <v>15143.778839270801</v>
      </c>
      <c r="G62" s="269">
        <v>9.1299000000000005E-2</v>
      </c>
      <c r="H62" s="269">
        <v>2.2824749999999998</v>
      </c>
      <c r="I62" s="269">
        <v>0</v>
      </c>
      <c r="J62" s="269">
        <v>0</v>
      </c>
      <c r="K62" s="269">
        <v>0</v>
      </c>
      <c r="L62" s="269">
        <v>1666.98600214047</v>
      </c>
      <c r="M62" s="269">
        <v>256.127848594272</v>
      </c>
      <c r="N62" s="269">
        <v>0</v>
      </c>
      <c r="O62" s="269">
        <v>17069.175165005599</v>
      </c>
      <c r="P62" s="268"/>
    </row>
    <row r="63" spans="1:16" s="273" customFormat="1" ht="12" x14ac:dyDescent="0.2">
      <c r="A63" s="235"/>
      <c r="B63" s="230"/>
      <c r="C63" s="230" t="s">
        <v>773</v>
      </c>
      <c r="D63" s="271"/>
      <c r="E63" s="271"/>
      <c r="F63" s="272">
        <v>10077.5902692708</v>
      </c>
      <c r="G63" s="272">
        <v>9.1299000000000005E-2</v>
      </c>
      <c r="H63" s="272">
        <v>2.2824749999999998</v>
      </c>
      <c r="I63" s="272">
        <v>0</v>
      </c>
      <c r="J63" s="272">
        <v>0</v>
      </c>
      <c r="K63" s="272">
        <v>0</v>
      </c>
      <c r="L63" s="272">
        <v>0</v>
      </c>
      <c r="M63" s="272">
        <v>0</v>
      </c>
      <c r="N63" s="272">
        <v>0</v>
      </c>
      <c r="O63" s="272">
        <v>10079.8727442708</v>
      </c>
      <c r="P63" s="271"/>
    </row>
    <row r="64" spans="1:16" s="273" customFormat="1" ht="12" x14ac:dyDescent="0.2">
      <c r="A64" s="235"/>
      <c r="B64" s="230"/>
      <c r="C64" s="230" t="s">
        <v>252</v>
      </c>
      <c r="D64" s="271"/>
      <c r="E64" s="271"/>
      <c r="F64" s="272">
        <v>5066.1885700000003</v>
      </c>
      <c r="G64" s="272">
        <v>0</v>
      </c>
      <c r="H64" s="272">
        <v>0</v>
      </c>
      <c r="I64" s="272">
        <v>0</v>
      </c>
      <c r="J64" s="272">
        <v>0</v>
      </c>
      <c r="K64" s="272">
        <v>0</v>
      </c>
      <c r="L64" s="272">
        <v>1666.98600214047</v>
      </c>
      <c r="M64" s="272">
        <v>73.230967029288706</v>
      </c>
      <c r="N64" s="272">
        <v>0</v>
      </c>
      <c r="O64" s="272">
        <v>6806.4055391697602</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182.896881564983</v>
      </c>
      <c r="N65" s="272">
        <v>0</v>
      </c>
      <c r="O65" s="272">
        <v>182.896881564983</v>
      </c>
      <c r="P65" s="271"/>
    </row>
    <row r="66" spans="1:16" s="234" customFormat="1" x14ac:dyDescent="0.25">
      <c r="A66" s="278" t="s">
        <v>764</v>
      </c>
      <c r="B66" s="279" t="s">
        <v>775</v>
      </c>
      <c r="C66" s="279"/>
      <c r="D66" s="251"/>
      <c r="E66" s="251"/>
      <c r="F66" s="252">
        <v>0</v>
      </c>
      <c r="G66" s="252">
        <v>0</v>
      </c>
      <c r="H66" s="252">
        <v>0</v>
      </c>
      <c r="I66" s="252">
        <v>0</v>
      </c>
      <c r="J66" s="252">
        <v>0</v>
      </c>
      <c r="K66" s="252">
        <v>8598.1870534749305</v>
      </c>
      <c r="L66" s="252">
        <v>5.3592450085852903</v>
      </c>
      <c r="M66" s="252">
        <v>1.65934133667479</v>
      </c>
      <c r="N66" s="252">
        <v>0.15104489600000001</v>
      </c>
      <c r="O66" s="252">
        <v>8605.3566847161892</v>
      </c>
      <c r="P66" s="251"/>
    </row>
    <row r="67" spans="1:16" s="234" customFormat="1" ht="12.75" x14ac:dyDescent="0.2">
      <c r="A67" s="278" t="s">
        <v>776</v>
      </c>
      <c r="B67" s="279" t="s">
        <v>777</v>
      </c>
      <c r="C67" s="279"/>
      <c r="D67" s="251"/>
      <c r="E67" s="251"/>
      <c r="F67" s="252">
        <v>12012.5704480963</v>
      </c>
      <c r="G67" s="252">
        <v>0</v>
      </c>
      <c r="H67" s="252">
        <v>0</v>
      </c>
      <c r="I67" s="252">
        <v>0</v>
      </c>
      <c r="J67" s="252">
        <v>0</v>
      </c>
      <c r="K67" s="252">
        <v>0</v>
      </c>
      <c r="L67" s="252">
        <v>0</v>
      </c>
      <c r="M67" s="252">
        <v>0</v>
      </c>
      <c r="N67" s="252">
        <v>0</v>
      </c>
      <c r="O67" s="252">
        <v>12012.5704480963</v>
      </c>
      <c r="P67" s="251"/>
    </row>
    <row r="68" spans="1:16" s="234" customFormat="1" ht="12.75" x14ac:dyDescent="0.2">
      <c r="A68" s="259" t="s">
        <v>778</v>
      </c>
      <c r="B68" s="260" t="s">
        <v>779</v>
      </c>
      <c r="C68" s="260"/>
      <c r="D68" s="280"/>
      <c r="E68" s="280"/>
      <c r="F68" s="281">
        <v>7.9434312381582401</v>
      </c>
      <c r="G68" s="281">
        <v>0</v>
      </c>
      <c r="H68" s="281">
        <v>0</v>
      </c>
      <c r="I68" s="281">
        <v>0.79806273485157497</v>
      </c>
      <c r="J68" s="281">
        <v>237.822694985769</v>
      </c>
      <c r="K68" s="281">
        <v>0</v>
      </c>
      <c r="L68" s="281">
        <v>15.026309063362699</v>
      </c>
      <c r="M68" s="281">
        <v>137.39115839999999</v>
      </c>
      <c r="N68" s="281">
        <v>0</v>
      </c>
      <c r="O68" s="281">
        <v>398.18359368729</v>
      </c>
      <c r="P68" s="251"/>
    </row>
    <row r="69" spans="1:16" s="267" customFormat="1" ht="12.75" x14ac:dyDescent="0.2">
      <c r="A69" s="282" t="s">
        <v>780</v>
      </c>
      <c r="B69" s="283"/>
      <c r="C69" s="283"/>
      <c r="D69" s="284"/>
      <c r="E69" s="284"/>
      <c r="F69" s="285">
        <v>2004.4332205333301</v>
      </c>
      <c r="G69" s="285">
        <v>1151.6130787238901</v>
      </c>
      <c r="H69" s="285">
        <v>28790.326968097299</v>
      </c>
      <c r="I69" s="285">
        <v>82.193100567363004</v>
      </c>
      <c r="J69" s="285">
        <v>24493.543969074199</v>
      </c>
      <c r="K69" s="285">
        <v>0</v>
      </c>
      <c r="L69" s="285">
        <v>0</v>
      </c>
      <c r="M69" s="285">
        <v>0</v>
      </c>
      <c r="N69" s="285">
        <v>0</v>
      </c>
      <c r="O69" s="285">
        <v>55288.304157704799</v>
      </c>
      <c r="P69" s="265"/>
    </row>
    <row r="70" spans="1:16" s="234" customFormat="1" ht="12.75" x14ac:dyDescent="0.2">
      <c r="A70" s="278" t="s">
        <v>724</v>
      </c>
      <c r="B70" s="279" t="s">
        <v>27</v>
      </c>
      <c r="C70" s="279"/>
      <c r="D70" s="251"/>
      <c r="E70" s="251"/>
      <c r="F70" s="252">
        <v>0</v>
      </c>
      <c r="G70" s="252">
        <v>1004.52322390184</v>
      </c>
      <c r="H70" s="252">
        <v>25113.080597546101</v>
      </c>
      <c r="I70" s="252">
        <v>0</v>
      </c>
      <c r="J70" s="252">
        <v>0</v>
      </c>
      <c r="K70" s="252">
        <v>0</v>
      </c>
      <c r="L70" s="252">
        <v>0</v>
      </c>
      <c r="M70" s="252">
        <v>0</v>
      </c>
      <c r="N70" s="252">
        <v>0</v>
      </c>
      <c r="O70" s="252">
        <v>25113.080597546101</v>
      </c>
      <c r="P70" s="251"/>
    </row>
    <row r="71" spans="1:16" s="234" customFormat="1" ht="12.75" x14ac:dyDescent="0.2">
      <c r="A71" s="278" t="s">
        <v>737</v>
      </c>
      <c r="B71" s="279" t="s">
        <v>28</v>
      </c>
      <c r="C71" s="279"/>
      <c r="D71" s="251"/>
      <c r="E71" s="251"/>
      <c r="F71" s="252">
        <v>0</v>
      </c>
      <c r="G71" s="252">
        <v>146.160009230913</v>
      </c>
      <c r="H71" s="252">
        <v>3654.00023077282</v>
      </c>
      <c r="I71" s="252">
        <v>15.7917032185564</v>
      </c>
      <c r="J71" s="252">
        <v>4705.9275591298001</v>
      </c>
      <c r="K71" s="252">
        <v>0</v>
      </c>
      <c r="L71" s="252">
        <v>0</v>
      </c>
      <c r="M71" s="252">
        <v>0</v>
      </c>
      <c r="N71" s="252">
        <v>0</v>
      </c>
      <c r="O71" s="252">
        <v>8359.9277899026201</v>
      </c>
      <c r="P71" s="251"/>
    </row>
    <row r="72" spans="1:16" s="234" customFormat="1" ht="12.75" x14ac:dyDescent="0.2">
      <c r="A72" s="224" t="s">
        <v>758</v>
      </c>
      <c r="B72" s="225" t="s">
        <v>781</v>
      </c>
      <c r="C72" s="225"/>
      <c r="F72" s="231">
        <v>0</v>
      </c>
      <c r="G72" s="231">
        <v>0</v>
      </c>
      <c r="H72" s="231">
        <v>0</v>
      </c>
      <c r="I72" s="231">
        <v>66.3772902408883</v>
      </c>
      <c r="J72" s="231">
        <v>19780.432491784701</v>
      </c>
      <c r="K72" s="231">
        <v>0</v>
      </c>
      <c r="L72" s="231">
        <v>0</v>
      </c>
      <c r="M72" s="231">
        <v>0</v>
      </c>
      <c r="N72" s="231">
        <v>0</v>
      </c>
      <c r="O72" s="231">
        <v>19780.432491784701</v>
      </c>
    </row>
    <row r="73" spans="1:16" s="237" customFormat="1" ht="12" x14ac:dyDescent="0.2">
      <c r="A73" s="286"/>
      <c r="B73" s="258"/>
      <c r="C73" s="258" t="s">
        <v>782</v>
      </c>
      <c r="D73" s="243"/>
      <c r="E73" s="243"/>
      <c r="F73" s="244">
        <v>0</v>
      </c>
      <c r="G73" s="244">
        <v>0</v>
      </c>
      <c r="H73" s="244">
        <v>0</v>
      </c>
      <c r="I73" s="244">
        <v>54.725516463547102</v>
      </c>
      <c r="J73" s="244">
        <v>16308.203906137</v>
      </c>
      <c r="K73" s="244">
        <v>0</v>
      </c>
      <c r="L73" s="244">
        <v>0</v>
      </c>
      <c r="M73" s="244">
        <v>0</v>
      </c>
      <c r="N73" s="244">
        <v>0</v>
      </c>
      <c r="O73" s="244">
        <v>16308.203906137</v>
      </c>
    </row>
    <row r="74" spans="1:16" s="237" customFormat="1" ht="12" x14ac:dyDescent="0.2">
      <c r="A74" s="286"/>
      <c r="B74" s="258"/>
      <c r="C74" s="258" t="s">
        <v>783</v>
      </c>
      <c r="D74" s="243"/>
      <c r="E74" s="243"/>
      <c r="F74" s="244">
        <v>0</v>
      </c>
      <c r="G74" s="244">
        <v>0</v>
      </c>
      <c r="H74" s="244">
        <v>0</v>
      </c>
      <c r="I74" s="244">
        <v>11.6517737773412</v>
      </c>
      <c r="J74" s="244">
        <v>3472.2285856476801</v>
      </c>
      <c r="K74" s="244">
        <v>0</v>
      </c>
      <c r="L74" s="244">
        <v>0</v>
      </c>
      <c r="M74" s="244">
        <v>0</v>
      </c>
      <c r="N74" s="244">
        <v>0</v>
      </c>
      <c r="O74" s="244">
        <v>3472.2285856476801</v>
      </c>
    </row>
    <row r="75" spans="1:16" s="234" customFormat="1" ht="12.75" x14ac:dyDescent="0.2">
      <c r="A75" s="278" t="s">
        <v>764</v>
      </c>
      <c r="B75" s="279" t="s">
        <v>193</v>
      </c>
      <c r="C75" s="287"/>
      <c r="D75" s="251"/>
      <c r="E75" s="251"/>
      <c r="F75" s="252">
        <v>0</v>
      </c>
      <c r="G75" s="252">
        <v>0.92984559113441301</v>
      </c>
      <c r="H75" s="252">
        <v>23.246139778360298</v>
      </c>
      <c r="I75" s="252">
        <v>2.4107107918299599E-2</v>
      </c>
      <c r="J75" s="252">
        <v>7.1839181596532802</v>
      </c>
      <c r="K75" s="252">
        <v>0</v>
      </c>
      <c r="L75" s="252">
        <v>0</v>
      </c>
      <c r="M75" s="252">
        <v>0</v>
      </c>
      <c r="N75" s="252">
        <v>0</v>
      </c>
      <c r="O75" s="252">
        <v>30.430057938013601</v>
      </c>
    </row>
    <row r="76" spans="1:16" s="234" customFormat="1" ht="12.75" x14ac:dyDescent="0.2">
      <c r="A76" s="259" t="s">
        <v>776</v>
      </c>
      <c r="B76" s="260" t="s">
        <v>784</v>
      </c>
      <c r="C76" s="288"/>
      <c r="D76" s="280"/>
      <c r="E76" s="280"/>
      <c r="F76" s="281">
        <v>2004.4332205333301</v>
      </c>
      <c r="G76" s="281">
        <v>0</v>
      </c>
      <c r="H76" s="281">
        <v>0</v>
      </c>
      <c r="I76" s="281">
        <v>0</v>
      </c>
      <c r="J76" s="281">
        <v>0</v>
      </c>
      <c r="K76" s="281">
        <v>0</v>
      </c>
      <c r="L76" s="281">
        <v>0</v>
      </c>
      <c r="M76" s="281">
        <v>0</v>
      </c>
      <c r="N76" s="281">
        <v>0</v>
      </c>
      <c r="O76" s="281">
        <v>2004.4332205333301</v>
      </c>
    </row>
    <row r="77" spans="1:16" s="234" customFormat="1" ht="12.75" x14ac:dyDescent="0.2">
      <c r="A77" s="220" t="s">
        <v>785</v>
      </c>
      <c r="B77" s="289"/>
      <c r="C77" s="289"/>
      <c r="F77" s="223">
        <v>472.59033099999999</v>
      </c>
      <c r="G77" s="223">
        <v>922.89551111000003</v>
      </c>
      <c r="H77" s="223">
        <v>23072.387777749998</v>
      </c>
      <c r="I77" s="223">
        <v>4.0522607800000001</v>
      </c>
      <c r="J77" s="223">
        <v>1207.57371244</v>
      </c>
      <c r="K77" s="223">
        <v>0</v>
      </c>
      <c r="L77" s="223">
        <v>0</v>
      </c>
      <c r="M77" s="223">
        <v>0</v>
      </c>
      <c r="N77" s="223">
        <v>0</v>
      </c>
      <c r="O77" s="223">
        <v>24752.551821190002</v>
      </c>
    </row>
    <row r="78" spans="1:16" s="234" customFormat="1" ht="12.75" x14ac:dyDescent="0.2">
      <c r="A78" s="224" t="s">
        <v>724</v>
      </c>
      <c r="B78" s="225" t="s">
        <v>786</v>
      </c>
      <c r="C78" s="225"/>
      <c r="F78" s="231">
        <v>0</v>
      </c>
      <c r="G78" s="231">
        <v>885.65976527999999</v>
      </c>
      <c r="H78" s="231">
        <v>22141.494132</v>
      </c>
      <c r="I78" s="231">
        <v>0</v>
      </c>
      <c r="J78" s="231">
        <v>0</v>
      </c>
      <c r="K78" s="231">
        <v>0</v>
      </c>
      <c r="L78" s="231">
        <v>0</v>
      </c>
      <c r="M78" s="231">
        <v>0</v>
      </c>
      <c r="N78" s="231">
        <v>0</v>
      </c>
      <c r="O78" s="231">
        <v>22141.494132</v>
      </c>
    </row>
    <row r="79" spans="1:16" s="234" customFormat="1" ht="12.75" x14ac:dyDescent="0.2">
      <c r="A79" s="224" t="s">
        <v>737</v>
      </c>
      <c r="B79" s="225" t="s">
        <v>787</v>
      </c>
      <c r="C79" s="225"/>
      <c r="F79" s="231">
        <v>0</v>
      </c>
      <c r="G79" s="231">
        <v>21.654830950000001</v>
      </c>
      <c r="H79" s="231">
        <v>541.37077375000001</v>
      </c>
      <c r="I79" s="231">
        <v>1.29928986</v>
      </c>
      <c r="J79" s="231">
        <v>387.18837827999999</v>
      </c>
      <c r="K79" s="231">
        <v>0</v>
      </c>
      <c r="L79" s="231">
        <v>0</v>
      </c>
      <c r="M79" s="231">
        <v>0</v>
      </c>
      <c r="N79" s="231">
        <v>0</v>
      </c>
      <c r="O79" s="231">
        <v>928.55915202999995</v>
      </c>
    </row>
    <row r="80" spans="1:16" s="234" customFormat="1" ht="12.75" x14ac:dyDescent="0.2">
      <c r="A80" s="278" t="s">
        <v>788</v>
      </c>
      <c r="B80" s="279" t="s">
        <v>789</v>
      </c>
      <c r="C80" s="279"/>
      <c r="D80" s="251"/>
      <c r="E80" s="251"/>
      <c r="F80" s="252">
        <v>0</v>
      </c>
      <c r="G80" s="252">
        <v>15.330976850000001</v>
      </c>
      <c r="H80" s="252">
        <v>383.27442124999999</v>
      </c>
      <c r="I80" s="252">
        <v>2.18816693</v>
      </c>
      <c r="J80" s="252">
        <v>652.07374514000003</v>
      </c>
      <c r="K80" s="252">
        <v>0</v>
      </c>
      <c r="L80" s="252">
        <v>0</v>
      </c>
      <c r="M80" s="252">
        <v>0</v>
      </c>
      <c r="N80" s="252">
        <v>0</v>
      </c>
      <c r="O80" s="252">
        <v>1035.34816639</v>
      </c>
    </row>
    <row r="81" spans="1:30" s="234" customFormat="1" ht="12.75" x14ac:dyDescent="0.2">
      <c r="A81" s="259" t="s">
        <v>764</v>
      </c>
      <c r="B81" s="260" t="s">
        <v>790</v>
      </c>
      <c r="C81" s="260"/>
      <c r="D81" s="280"/>
      <c r="E81" s="280"/>
      <c r="F81" s="281">
        <v>472.59033099999999</v>
      </c>
      <c r="G81" s="281">
        <v>0.24993803000000001</v>
      </c>
      <c r="H81" s="281">
        <v>6.2484507499999999</v>
      </c>
      <c r="I81" s="281">
        <v>0.56480399000000003</v>
      </c>
      <c r="J81" s="281">
        <v>168.31158902000001</v>
      </c>
      <c r="K81" s="281">
        <v>0</v>
      </c>
      <c r="L81" s="281">
        <v>0</v>
      </c>
      <c r="M81" s="281">
        <v>0</v>
      </c>
      <c r="N81" s="281">
        <v>0</v>
      </c>
      <c r="O81" s="281">
        <v>647.15037076999999</v>
      </c>
    </row>
    <row r="82" spans="1:30" s="267" customFormat="1" ht="12.75" x14ac:dyDescent="0.2">
      <c r="A82" s="263" t="s">
        <v>791</v>
      </c>
      <c r="B82" s="264"/>
      <c r="C82" s="264"/>
      <c r="F82" s="223">
        <v>-27430.812642000001</v>
      </c>
      <c r="G82" s="223">
        <v>39.142113999999999</v>
      </c>
      <c r="H82" s="223">
        <v>978.55285000000003</v>
      </c>
      <c r="I82" s="223">
        <v>1.3463510000000001</v>
      </c>
      <c r="J82" s="223">
        <v>401.21259800000001</v>
      </c>
      <c r="K82" s="223">
        <v>0</v>
      </c>
      <c r="L82" s="223">
        <v>0</v>
      </c>
      <c r="M82" s="223">
        <v>0</v>
      </c>
      <c r="N82" s="223">
        <v>0</v>
      </c>
      <c r="O82" s="223">
        <v>-26051.047193999999</v>
      </c>
    </row>
    <row r="83" spans="1:30" s="234" customFormat="1" ht="12.75" x14ac:dyDescent="0.2">
      <c r="A83" s="224" t="s">
        <v>724</v>
      </c>
      <c r="B83" s="225" t="s">
        <v>792</v>
      </c>
      <c r="C83" s="225"/>
      <c r="F83" s="231">
        <v>-160101.45773299999</v>
      </c>
      <c r="G83" s="231">
        <v>11.487983</v>
      </c>
      <c r="H83" s="231">
        <v>287.19957499999998</v>
      </c>
      <c r="I83" s="231">
        <v>0.46854499999999999</v>
      </c>
      <c r="J83" s="231">
        <v>139.62640999999999</v>
      </c>
      <c r="K83" s="231">
        <v>0</v>
      </c>
      <c r="L83" s="231">
        <v>0</v>
      </c>
      <c r="M83" s="231">
        <v>0</v>
      </c>
      <c r="N83" s="231">
        <v>0</v>
      </c>
      <c r="O83" s="231">
        <v>-159674.63174800001</v>
      </c>
    </row>
    <row r="84" spans="1:30" s="234" customFormat="1" ht="12.75" x14ac:dyDescent="0.2">
      <c r="A84" s="224" t="s">
        <v>737</v>
      </c>
      <c r="B84" s="225" t="s">
        <v>793</v>
      </c>
      <c r="C84" s="225"/>
      <c r="F84" s="231">
        <v>-11725.805044000001</v>
      </c>
      <c r="G84" s="231">
        <v>3.2674729999999998</v>
      </c>
      <c r="H84" s="231">
        <v>81.686824999999999</v>
      </c>
      <c r="I84" s="231">
        <v>0.172407</v>
      </c>
      <c r="J84" s="231">
        <v>51.377285999999998</v>
      </c>
      <c r="K84" s="231">
        <v>0</v>
      </c>
      <c r="L84" s="231">
        <v>0</v>
      </c>
      <c r="M84" s="231">
        <v>0</v>
      </c>
      <c r="N84" s="231">
        <v>0</v>
      </c>
      <c r="O84" s="231">
        <v>-11592.740932999999</v>
      </c>
    </row>
    <row r="85" spans="1:30" s="234" customFormat="1" ht="12.75" x14ac:dyDescent="0.2">
      <c r="A85" s="278" t="s">
        <v>758</v>
      </c>
      <c r="B85" s="279" t="s">
        <v>794</v>
      </c>
      <c r="C85" s="279"/>
      <c r="F85" s="231">
        <v>0</v>
      </c>
      <c r="G85" s="231">
        <v>19.28096</v>
      </c>
      <c r="H85" s="231">
        <v>482.024</v>
      </c>
      <c r="I85" s="231">
        <v>0.49986000000000003</v>
      </c>
      <c r="J85" s="231">
        <v>148.95828</v>
      </c>
      <c r="K85" s="231">
        <v>0</v>
      </c>
      <c r="L85" s="231">
        <v>0</v>
      </c>
      <c r="M85" s="231">
        <v>0</v>
      </c>
      <c r="N85" s="231">
        <v>0</v>
      </c>
      <c r="O85" s="231">
        <v>630.98227999999995</v>
      </c>
    </row>
    <row r="86" spans="1:30" s="234" customFormat="1" ht="12.75" x14ac:dyDescent="0.2">
      <c r="A86" s="278" t="s">
        <v>764</v>
      </c>
      <c r="B86" s="279" t="s">
        <v>795</v>
      </c>
      <c r="C86" s="279"/>
      <c r="F86" s="231">
        <v>2685.7604030000002</v>
      </c>
      <c r="G86" s="231">
        <v>0.65620900000000004</v>
      </c>
      <c r="H86" s="231">
        <v>16.405225000000002</v>
      </c>
      <c r="I86" s="231">
        <v>3.3916000000000002E-2</v>
      </c>
      <c r="J86" s="231">
        <v>10.106968</v>
      </c>
      <c r="K86" s="231">
        <v>0</v>
      </c>
      <c r="L86" s="231">
        <v>0</v>
      </c>
      <c r="M86" s="231">
        <v>0</v>
      </c>
      <c r="N86" s="231">
        <v>0</v>
      </c>
      <c r="O86" s="231">
        <v>2712.2725959999998</v>
      </c>
    </row>
    <row r="87" spans="1:30" s="234" customFormat="1" ht="12.75" x14ac:dyDescent="0.2">
      <c r="A87" s="278" t="s">
        <v>776</v>
      </c>
      <c r="B87" s="279" t="s">
        <v>796</v>
      </c>
      <c r="C87" s="279"/>
      <c r="D87" s="251"/>
      <c r="E87" s="251"/>
      <c r="F87" s="252">
        <v>3623.2857730000001</v>
      </c>
      <c r="G87" s="252">
        <v>4.4494889999999998</v>
      </c>
      <c r="H87" s="252">
        <v>111.237225</v>
      </c>
      <c r="I87" s="252">
        <v>0.171623</v>
      </c>
      <c r="J87" s="252">
        <v>51.143653999999998</v>
      </c>
      <c r="K87" s="252">
        <v>0</v>
      </c>
      <c r="L87" s="252">
        <v>0</v>
      </c>
      <c r="M87" s="252">
        <v>0</v>
      </c>
      <c r="N87" s="252">
        <v>0</v>
      </c>
      <c r="O87" s="252">
        <v>3785.6666519999999</v>
      </c>
    </row>
    <row r="88" spans="1:30" s="234" customFormat="1" ht="12.75" x14ac:dyDescent="0.2">
      <c r="A88" s="259" t="s">
        <v>778</v>
      </c>
      <c r="B88" s="260" t="s">
        <v>797</v>
      </c>
      <c r="C88" s="260"/>
      <c r="D88" s="280"/>
      <c r="E88" s="280"/>
      <c r="F88" s="281">
        <v>138087.40395899999</v>
      </c>
      <c r="G88" s="281">
        <v>0</v>
      </c>
      <c r="H88" s="281">
        <v>0</v>
      </c>
      <c r="I88" s="281">
        <v>0</v>
      </c>
      <c r="J88" s="281">
        <v>0</v>
      </c>
      <c r="K88" s="281">
        <v>0</v>
      </c>
      <c r="L88" s="281">
        <v>0</v>
      </c>
      <c r="M88" s="281">
        <v>0</v>
      </c>
      <c r="N88" s="281">
        <v>0</v>
      </c>
      <c r="O88" s="281">
        <v>138087.40395899999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814</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553720.58718559402</v>
      </c>
      <c r="G7" s="218">
        <v>3990.0014684637999</v>
      </c>
      <c r="H7" s="218">
        <v>99750.036711595094</v>
      </c>
      <c r="I7" s="218">
        <v>125.110618051757</v>
      </c>
      <c r="J7" s="218">
        <v>37282.964179423601</v>
      </c>
      <c r="K7" s="218">
        <v>7774.5001433343396</v>
      </c>
      <c r="L7" s="218">
        <v>1859.1719730181201</v>
      </c>
      <c r="M7" s="218">
        <v>440.421343627103</v>
      </c>
      <c r="N7" s="218">
        <v>0.15104489600000001</v>
      </c>
      <c r="O7" s="218">
        <v>700827.83258148795</v>
      </c>
    </row>
    <row r="8" spans="1:16" ht="15.75" thickTop="1" x14ac:dyDescent="0.2">
      <c r="A8" s="220" t="s">
        <v>723</v>
      </c>
      <c r="B8" s="221"/>
      <c r="C8" s="221"/>
      <c r="F8" s="223">
        <v>514426.36833052302</v>
      </c>
      <c r="G8" s="223">
        <v>1883.8992701142899</v>
      </c>
      <c r="H8" s="223">
        <v>47097.481752857399</v>
      </c>
      <c r="I8" s="223">
        <v>33.058115791167999</v>
      </c>
      <c r="J8" s="223">
        <v>9851.3185057680694</v>
      </c>
      <c r="K8" s="223">
        <v>0</v>
      </c>
      <c r="L8" s="223">
        <v>0</v>
      </c>
      <c r="M8" s="223">
        <v>0</v>
      </c>
      <c r="N8" s="223">
        <v>0</v>
      </c>
      <c r="O8" s="223">
        <v>571375.16858914797</v>
      </c>
    </row>
    <row r="9" spans="1:16" x14ac:dyDescent="0.2">
      <c r="A9" s="224" t="s">
        <v>724</v>
      </c>
      <c r="B9" s="225" t="s">
        <v>725</v>
      </c>
      <c r="C9" s="225"/>
      <c r="F9" s="226">
        <v>309826.866826793</v>
      </c>
      <c r="G9" s="226">
        <v>210.086542632114</v>
      </c>
      <c r="H9" s="226">
        <v>5252.1635658028499</v>
      </c>
      <c r="I9" s="226">
        <v>8.5487540123533705</v>
      </c>
      <c r="J9" s="226">
        <v>2547.5286956813102</v>
      </c>
      <c r="K9" s="226">
        <v>0</v>
      </c>
      <c r="L9" s="226">
        <v>0</v>
      </c>
      <c r="M9" s="226">
        <v>0</v>
      </c>
      <c r="N9" s="226">
        <v>0</v>
      </c>
      <c r="O9" s="226">
        <v>317626.55908827699</v>
      </c>
      <c r="P9" s="227"/>
    </row>
    <row r="10" spans="1:16" x14ac:dyDescent="0.2">
      <c r="A10" s="228"/>
      <c r="B10" s="229" t="s">
        <v>726</v>
      </c>
      <c r="C10" s="230"/>
      <c r="F10" s="231">
        <v>100023.50587684099</v>
      </c>
      <c r="G10" s="231">
        <v>5.9288110267233796</v>
      </c>
      <c r="H10" s="231">
        <v>148.22027566808401</v>
      </c>
      <c r="I10" s="231">
        <v>2.0572672627276098</v>
      </c>
      <c r="J10" s="231">
        <v>613.06564429282696</v>
      </c>
      <c r="K10" s="231">
        <v>0</v>
      </c>
      <c r="L10" s="231">
        <v>0</v>
      </c>
      <c r="M10" s="231">
        <v>0</v>
      </c>
      <c r="N10" s="231">
        <v>0</v>
      </c>
      <c r="O10" s="231">
        <v>100784.791796802</v>
      </c>
    </row>
    <row r="11" spans="1:16" x14ac:dyDescent="0.2">
      <c r="A11" s="228"/>
      <c r="B11" s="232" t="s">
        <v>727</v>
      </c>
      <c r="C11" s="230"/>
      <c r="F11" s="231">
        <v>19265.140997896098</v>
      </c>
      <c r="G11" s="231">
        <v>0.42786557873470299</v>
      </c>
      <c r="H11" s="231">
        <v>10.6966394683676</v>
      </c>
      <c r="I11" s="231">
        <v>0.13789875863251599</v>
      </c>
      <c r="J11" s="231">
        <v>41.093830072489702</v>
      </c>
      <c r="K11" s="231">
        <v>0</v>
      </c>
      <c r="L11" s="231">
        <v>0</v>
      </c>
      <c r="M11" s="231">
        <v>0</v>
      </c>
      <c r="N11" s="231">
        <v>0</v>
      </c>
      <c r="O11" s="231">
        <v>19316.931467437</v>
      </c>
    </row>
    <row r="12" spans="1:16" s="234" customFormat="1" ht="12.75" x14ac:dyDescent="0.2">
      <c r="A12" s="228"/>
      <c r="B12" s="232" t="s">
        <v>728</v>
      </c>
      <c r="C12" s="233"/>
      <c r="F12" s="231">
        <v>78408.298364350296</v>
      </c>
      <c r="G12" s="231">
        <v>74.206276841015907</v>
      </c>
      <c r="H12" s="231">
        <v>1855.1569210253999</v>
      </c>
      <c r="I12" s="231">
        <v>1.6677759472019</v>
      </c>
      <c r="J12" s="231">
        <v>496.99723226616698</v>
      </c>
      <c r="K12" s="231">
        <v>0</v>
      </c>
      <c r="L12" s="231">
        <v>0</v>
      </c>
      <c r="M12" s="231">
        <v>0</v>
      </c>
      <c r="N12" s="231">
        <v>0</v>
      </c>
      <c r="O12" s="231">
        <v>80760.452517641796</v>
      </c>
    </row>
    <row r="13" spans="1:16" s="234" customFormat="1" ht="12.75" x14ac:dyDescent="0.2">
      <c r="A13" s="228"/>
      <c r="B13" s="229" t="s">
        <v>729</v>
      </c>
      <c r="C13" s="229"/>
      <c r="F13" s="231">
        <v>40641.761119631599</v>
      </c>
      <c r="G13" s="231">
        <v>2.3525511033795699</v>
      </c>
      <c r="H13" s="231">
        <v>58.813777584489202</v>
      </c>
      <c r="I13" s="231">
        <v>1.7568048435839301</v>
      </c>
      <c r="J13" s="231">
        <v>523.52784338800996</v>
      </c>
      <c r="K13" s="231">
        <v>0</v>
      </c>
      <c r="L13" s="231">
        <v>0</v>
      </c>
      <c r="M13" s="231">
        <v>0</v>
      </c>
      <c r="N13" s="231">
        <v>0</v>
      </c>
      <c r="O13" s="231">
        <v>41224.102740604103</v>
      </c>
    </row>
    <row r="14" spans="1:16" s="237" customFormat="1" ht="12" x14ac:dyDescent="0.2">
      <c r="A14" s="235"/>
      <c r="B14" s="230"/>
      <c r="C14" s="236" t="s">
        <v>2</v>
      </c>
      <c r="F14" s="238">
        <v>4945.0534025273</v>
      </c>
      <c r="G14" s="238">
        <v>0.120732882322829</v>
      </c>
      <c r="H14" s="238">
        <v>3.01832205807071</v>
      </c>
      <c r="I14" s="238">
        <v>0.10702704488111101</v>
      </c>
      <c r="J14" s="238">
        <v>31.894059374571199</v>
      </c>
      <c r="K14" s="238">
        <v>0</v>
      </c>
      <c r="L14" s="238">
        <v>0</v>
      </c>
      <c r="M14" s="238">
        <v>0</v>
      </c>
      <c r="N14" s="238">
        <v>0</v>
      </c>
      <c r="O14" s="238">
        <v>4979.9657839599404</v>
      </c>
    </row>
    <row r="15" spans="1:16" s="237" customFormat="1" ht="12" x14ac:dyDescent="0.2">
      <c r="A15" s="235"/>
      <c r="B15" s="230"/>
      <c r="C15" s="236" t="s">
        <v>730</v>
      </c>
      <c r="F15" s="238">
        <v>3055.48549396614</v>
      </c>
      <c r="G15" s="238">
        <v>6.6875591716286903E-2</v>
      </c>
      <c r="H15" s="238">
        <v>1.6718897929071701</v>
      </c>
      <c r="I15" s="238">
        <v>5.63065653514754E-2</v>
      </c>
      <c r="J15" s="238">
        <v>16.7793564747397</v>
      </c>
      <c r="K15" s="238">
        <v>0</v>
      </c>
      <c r="L15" s="238">
        <v>0</v>
      </c>
      <c r="M15" s="238">
        <v>0</v>
      </c>
      <c r="N15" s="238">
        <v>0</v>
      </c>
      <c r="O15" s="238">
        <v>3073.9367402337798</v>
      </c>
    </row>
    <row r="16" spans="1:16" s="237" customFormat="1" ht="12" x14ac:dyDescent="0.2">
      <c r="A16" s="235"/>
      <c r="B16" s="230"/>
      <c r="C16" s="236" t="s">
        <v>731</v>
      </c>
      <c r="F16" s="238">
        <v>9864.9707129681792</v>
      </c>
      <c r="G16" s="238">
        <v>0.19179181157015601</v>
      </c>
      <c r="H16" s="238">
        <v>4.7947952892538996</v>
      </c>
      <c r="I16" s="238">
        <v>0.16975597434248199</v>
      </c>
      <c r="J16" s="238">
        <v>50.5872803540597</v>
      </c>
      <c r="K16" s="238">
        <v>0</v>
      </c>
      <c r="L16" s="238">
        <v>0</v>
      </c>
      <c r="M16" s="238">
        <v>0</v>
      </c>
      <c r="N16" s="238">
        <v>0</v>
      </c>
      <c r="O16" s="238">
        <v>9920.3527886114898</v>
      </c>
    </row>
    <row r="17" spans="1:16" s="237" customFormat="1" ht="12" x14ac:dyDescent="0.2">
      <c r="A17" s="235"/>
      <c r="B17" s="230"/>
      <c r="C17" s="236" t="s">
        <v>732</v>
      </c>
      <c r="F17" s="238">
        <v>5713.4833959369898</v>
      </c>
      <c r="G17" s="238">
        <v>1.17382734804093</v>
      </c>
      <c r="H17" s="238">
        <v>29.345683701023201</v>
      </c>
      <c r="I17" s="238">
        <v>0.91474939222969298</v>
      </c>
      <c r="J17" s="238">
        <v>272.595318884449</v>
      </c>
      <c r="K17" s="238">
        <v>0</v>
      </c>
      <c r="L17" s="238">
        <v>0</v>
      </c>
      <c r="M17" s="238">
        <v>0</v>
      </c>
      <c r="N17" s="238">
        <v>0</v>
      </c>
      <c r="O17" s="238">
        <v>6015.4243985224603</v>
      </c>
    </row>
    <row r="18" spans="1:16" s="237" customFormat="1" ht="12" x14ac:dyDescent="0.2">
      <c r="A18" s="235"/>
      <c r="B18" s="230"/>
      <c r="C18" s="236" t="s">
        <v>35</v>
      </c>
      <c r="F18" s="238">
        <v>4049.9505101999998</v>
      </c>
      <c r="G18" s="238">
        <v>0.201128546608974</v>
      </c>
      <c r="H18" s="238">
        <v>5.0282136652243601</v>
      </c>
      <c r="I18" s="238">
        <v>4.8632724833011703E-2</v>
      </c>
      <c r="J18" s="238">
        <v>14.492552000237501</v>
      </c>
      <c r="K18" s="238">
        <v>0</v>
      </c>
      <c r="L18" s="238">
        <v>0</v>
      </c>
      <c r="M18" s="238">
        <v>0</v>
      </c>
      <c r="N18" s="238">
        <v>0</v>
      </c>
      <c r="O18" s="238">
        <v>4069.47127586546</v>
      </c>
    </row>
    <row r="19" spans="1:16" s="237" customFormat="1" ht="12" x14ac:dyDescent="0.2">
      <c r="A19" s="235"/>
      <c r="B19" s="230"/>
      <c r="C19" s="236" t="s">
        <v>733</v>
      </c>
      <c r="F19" s="238">
        <v>13012.817604033</v>
      </c>
      <c r="G19" s="238">
        <v>0.59819492312039502</v>
      </c>
      <c r="H19" s="238">
        <v>14.9548730780099</v>
      </c>
      <c r="I19" s="238">
        <v>0.46033314194615299</v>
      </c>
      <c r="J19" s="238">
        <v>137.17927629995401</v>
      </c>
      <c r="K19" s="238">
        <v>0</v>
      </c>
      <c r="L19" s="238">
        <v>0</v>
      </c>
      <c r="M19" s="238">
        <v>0</v>
      </c>
      <c r="N19" s="238">
        <v>0</v>
      </c>
      <c r="O19" s="238">
        <v>13164.9517534109</v>
      </c>
    </row>
    <row r="20" spans="1:16" s="234" customFormat="1" ht="12.75" x14ac:dyDescent="0.2">
      <c r="A20" s="228"/>
      <c r="B20" s="229" t="s">
        <v>734</v>
      </c>
      <c r="C20" s="239"/>
      <c r="F20" s="231">
        <v>1511.4905200000001</v>
      </c>
      <c r="G20" s="231">
        <v>2.61985E-2</v>
      </c>
      <c r="H20" s="231">
        <v>0.6549625</v>
      </c>
      <c r="I20" s="231">
        <v>3.7248200000000002E-2</v>
      </c>
      <c r="J20" s="231">
        <v>11.099963600000001</v>
      </c>
      <c r="K20" s="231">
        <v>0</v>
      </c>
      <c r="L20" s="231">
        <v>0</v>
      </c>
      <c r="M20" s="231">
        <v>0</v>
      </c>
      <c r="N20" s="231">
        <v>0</v>
      </c>
      <c r="O20" s="231">
        <v>1523.2454461</v>
      </c>
    </row>
    <row r="21" spans="1:16" s="234" customFormat="1" ht="12.75" x14ac:dyDescent="0.2">
      <c r="A21" s="228"/>
      <c r="B21" s="229" t="s">
        <v>735</v>
      </c>
      <c r="C21" s="229"/>
      <c r="F21" s="231">
        <v>28168.1181701614</v>
      </c>
      <c r="G21" s="231">
        <v>0.53479583814902198</v>
      </c>
      <c r="H21" s="231">
        <v>13.3698959537255</v>
      </c>
      <c r="I21" s="231">
        <v>0.62622125585504596</v>
      </c>
      <c r="J21" s="231">
        <v>186.613934244804</v>
      </c>
      <c r="K21" s="231">
        <v>0</v>
      </c>
      <c r="L21" s="231">
        <v>0</v>
      </c>
      <c r="M21" s="231">
        <v>0</v>
      </c>
      <c r="N21" s="231">
        <v>0</v>
      </c>
      <c r="O21" s="231">
        <v>28368.102000359901</v>
      </c>
    </row>
    <row r="22" spans="1:16" s="234" customFormat="1" ht="12.75" x14ac:dyDescent="0.2">
      <c r="A22" s="228"/>
      <c r="B22" s="229" t="s">
        <v>181</v>
      </c>
      <c r="C22" s="229"/>
      <c r="F22" s="231">
        <v>38866.155599999998</v>
      </c>
      <c r="G22" s="231">
        <v>126.558115096382</v>
      </c>
      <c r="H22" s="231">
        <v>3163.9528774095602</v>
      </c>
      <c r="I22" s="231">
        <v>2.18378465772799</v>
      </c>
      <c r="J22" s="231">
        <v>650.76782800293995</v>
      </c>
      <c r="K22" s="231">
        <v>0</v>
      </c>
      <c r="L22" s="231">
        <v>0</v>
      </c>
      <c r="M22" s="231">
        <v>0</v>
      </c>
      <c r="N22" s="231">
        <v>0</v>
      </c>
      <c r="O22" s="231">
        <v>42680.876305412501</v>
      </c>
    </row>
    <row r="23" spans="1:16" s="234" customFormat="1" ht="12.75" x14ac:dyDescent="0.2">
      <c r="A23" s="228"/>
      <c r="B23" s="229" t="s">
        <v>736</v>
      </c>
      <c r="C23" s="229"/>
      <c r="F23" s="231">
        <v>2942.3961779118499</v>
      </c>
      <c r="G23" s="231">
        <v>5.1928647729204802E-2</v>
      </c>
      <c r="H23" s="231">
        <v>1.2982161932301199</v>
      </c>
      <c r="I23" s="231">
        <v>8.1753086624390306E-2</v>
      </c>
      <c r="J23" s="231">
        <v>24.3624198140683</v>
      </c>
      <c r="K23" s="231">
        <v>0</v>
      </c>
      <c r="L23" s="231">
        <v>0</v>
      </c>
      <c r="M23" s="231">
        <v>0</v>
      </c>
      <c r="N23" s="231">
        <v>0</v>
      </c>
      <c r="O23" s="231">
        <v>2968.05681391915</v>
      </c>
    </row>
    <row r="24" spans="1:16" s="240" customFormat="1" ht="14.25" x14ac:dyDescent="0.2">
      <c r="A24" s="224" t="s">
        <v>737</v>
      </c>
      <c r="B24" s="225" t="s">
        <v>738</v>
      </c>
      <c r="C24" s="225"/>
      <c r="F24" s="226">
        <v>191495.06793799301</v>
      </c>
      <c r="G24" s="226">
        <v>23.683496313530899</v>
      </c>
      <c r="H24" s="226">
        <v>592.08740783827295</v>
      </c>
      <c r="I24" s="226">
        <v>24.365828079797499</v>
      </c>
      <c r="J24" s="226">
        <v>7261.0167677796499</v>
      </c>
      <c r="K24" s="226">
        <v>0</v>
      </c>
      <c r="L24" s="226">
        <v>0</v>
      </c>
      <c r="M24" s="226">
        <v>0</v>
      </c>
      <c r="N24" s="226">
        <v>0</v>
      </c>
      <c r="O24" s="226">
        <v>199348.17211361101</v>
      </c>
      <c r="P24" s="241"/>
    </row>
    <row r="25" spans="1:16" s="234" customFormat="1" ht="12.75" x14ac:dyDescent="0.2">
      <c r="A25" s="228"/>
      <c r="B25" s="232" t="s">
        <v>739</v>
      </c>
      <c r="C25" s="229"/>
      <c r="F25" s="231">
        <v>6344.6598823822696</v>
      </c>
      <c r="G25" s="231">
        <v>0.33770192505511298</v>
      </c>
      <c r="H25" s="231">
        <v>8.4425481263778401</v>
      </c>
      <c r="I25" s="231">
        <v>0.188273156408991</v>
      </c>
      <c r="J25" s="231">
        <v>56.105400609879197</v>
      </c>
      <c r="K25" s="231">
        <v>0</v>
      </c>
      <c r="L25" s="231">
        <v>0</v>
      </c>
      <c r="M25" s="231">
        <v>0</v>
      </c>
      <c r="N25" s="231">
        <v>0</v>
      </c>
      <c r="O25" s="231">
        <v>6409.2078311185296</v>
      </c>
    </row>
    <row r="26" spans="1:16" s="234" customFormat="1" ht="12.75" x14ac:dyDescent="0.2">
      <c r="A26" s="228"/>
      <c r="B26" s="229" t="s">
        <v>740</v>
      </c>
      <c r="C26" s="229"/>
      <c r="F26" s="231">
        <v>137710.74271887899</v>
      </c>
      <c r="G26" s="231">
        <v>9.8212286552604198</v>
      </c>
      <c r="H26" s="231">
        <v>245.53071638150999</v>
      </c>
      <c r="I26" s="231">
        <v>11.947577804638801</v>
      </c>
      <c r="J26" s="231">
        <v>3560.3781857823601</v>
      </c>
      <c r="K26" s="231">
        <v>0</v>
      </c>
      <c r="L26" s="231">
        <v>0</v>
      </c>
      <c r="M26" s="231">
        <v>0</v>
      </c>
      <c r="N26" s="231">
        <v>0</v>
      </c>
      <c r="O26" s="231">
        <v>141516.65162104301</v>
      </c>
    </row>
    <row r="27" spans="1:16" s="237" customFormat="1" ht="12" x14ac:dyDescent="0.2">
      <c r="A27" s="235"/>
      <c r="B27" s="230"/>
      <c r="C27" s="236" t="s">
        <v>741</v>
      </c>
      <c r="F27" s="238">
        <v>38129.423827891696</v>
      </c>
      <c r="G27" s="238">
        <v>3.46993256542914</v>
      </c>
      <c r="H27" s="238">
        <v>86.748314135728407</v>
      </c>
      <c r="I27" s="238">
        <v>3.8253485597547399</v>
      </c>
      <c r="J27" s="238">
        <v>1139.9538708069099</v>
      </c>
      <c r="K27" s="238">
        <v>0</v>
      </c>
      <c r="L27" s="238">
        <v>0</v>
      </c>
      <c r="M27" s="238">
        <v>0</v>
      </c>
      <c r="N27" s="238">
        <v>0</v>
      </c>
      <c r="O27" s="238">
        <v>39356.1260128344</v>
      </c>
    </row>
    <row r="28" spans="1:16" s="237" customFormat="1" ht="12" x14ac:dyDescent="0.2">
      <c r="A28" s="235"/>
      <c r="B28" s="230"/>
      <c r="C28" s="236" t="s">
        <v>742</v>
      </c>
      <c r="F28" s="238">
        <v>41322.357772499701</v>
      </c>
      <c r="G28" s="238">
        <v>3.78084997645704</v>
      </c>
      <c r="H28" s="238">
        <v>94.521249411426098</v>
      </c>
      <c r="I28" s="238">
        <v>4.6214442608128401</v>
      </c>
      <c r="J28" s="238">
        <v>1377.1903897222301</v>
      </c>
      <c r="K28" s="238">
        <v>0</v>
      </c>
      <c r="L28" s="238">
        <v>0</v>
      </c>
      <c r="M28" s="238">
        <v>0</v>
      </c>
      <c r="N28" s="238">
        <v>0</v>
      </c>
      <c r="O28" s="238">
        <v>42794.069411633398</v>
      </c>
    </row>
    <row r="29" spans="1:16" s="237" customFormat="1" ht="12" x14ac:dyDescent="0.2">
      <c r="A29" s="235"/>
      <c r="B29" s="230"/>
      <c r="C29" s="236" t="s">
        <v>743</v>
      </c>
      <c r="F29" s="238">
        <v>12631.585557799301</v>
      </c>
      <c r="G29" s="238">
        <v>0.56399315005755002</v>
      </c>
      <c r="H29" s="238">
        <v>14.0998287514388</v>
      </c>
      <c r="I29" s="238">
        <v>0.99920294531361797</v>
      </c>
      <c r="J29" s="238">
        <v>297.76247770345799</v>
      </c>
      <c r="K29" s="238">
        <v>0</v>
      </c>
      <c r="L29" s="238">
        <v>0</v>
      </c>
      <c r="M29" s="238">
        <v>0</v>
      </c>
      <c r="N29" s="238">
        <v>0</v>
      </c>
      <c r="O29" s="238">
        <v>12943.4478642542</v>
      </c>
    </row>
    <row r="30" spans="1:16" s="237" customFormat="1" ht="12" x14ac:dyDescent="0.2">
      <c r="A30" s="235"/>
      <c r="B30" s="230"/>
      <c r="C30" s="236" t="s">
        <v>744</v>
      </c>
      <c r="F30" s="238">
        <v>252.95670933926499</v>
      </c>
      <c r="G30" s="238">
        <v>0.10643325055439801</v>
      </c>
      <c r="H30" s="238">
        <v>2.66083126385996</v>
      </c>
      <c r="I30" s="238">
        <v>4.7265490463822002E-3</v>
      </c>
      <c r="J30" s="238">
        <v>1.4085116158219</v>
      </c>
      <c r="K30" s="238">
        <v>0</v>
      </c>
      <c r="L30" s="238">
        <v>0</v>
      </c>
      <c r="M30" s="238">
        <v>0</v>
      </c>
      <c r="N30" s="238">
        <v>0</v>
      </c>
      <c r="O30" s="238">
        <v>257.02605221894697</v>
      </c>
      <c r="P30" s="242"/>
    </row>
    <row r="31" spans="1:16" s="237" customFormat="1" ht="12" x14ac:dyDescent="0.2">
      <c r="A31" s="235"/>
      <c r="B31" s="230"/>
      <c r="C31" s="236" t="s">
        <v>745</v>
      </c>
      <c r="F31" s="238">
        <v>656.78549277678405</v>
      </c>
      <c r="G31" s="238">
        <v>1.28746778927851E-2</v>
      </c>
      <c r="H31" s="238">
        <v>0.32186694731962801</v>
      </c>
      <c r="I31" s="238">
        <v>5.3251749284571402E-2</v>
      </c>
      <c r="J31" s="238">
        <v>15.869021286802299</v>
      </c>
      <c r="K31" s="238">
        <v>0</v>
      </c>
      <c r="L31" s="238">
        <v>0</v>
      </c>
      <c r="M31" s="238">
        <v>0</v>
      </c>
      <c r="N31" s="238">
        <v>0</v>
      </c>
      <c r="O31" s="238">
        <v>672.97638101090604</v>
      </c>
    </row>
    <row r="32" spans="1:16" s="237" customFormat="1" ht="12" x14ac:dyDescent="0.2">
      <c r="A32" s="235"/>
      <c r="B32" s="230"/>
      <c r="C32" s="236" t="s">
        <v>746</v>
      </c>
      <c r="D32" s="243"/>
      <c r="E32" s="243"/>
      <c r="F32" s="244">
        <v>394.90636966527398</v>
      </c>
      <c r="G32" s="244">
        <v>1.00398476881771E-2</v>
      </c>
      <c r="H32" s="244">
        <v>0.25099619220442698</v>
      </c>
      <c r="I32" s="244">
        <v>3.1771805367401498E-2</v>
      </c>
      <c r="J32" s="244">
        <v>9.4679979994856396</v>
      </c>
      <c r="K32" s="244">
        <v>0</v>
      </c>
      <c r="L32" s="244">
        <v>0</v>
      </c>
      <c r="M32" s="244">
        <v>0</v>
      </c>
      <c r="N32" s="244">
        <v>0</v>
      </c>
      <c r="O32" s="244">
        <v>404.62536385696399</v>
      </c>
    </row>
    <row r="33" spans="1:15" s="237" customFormat="1" ht="12" x14ac:dyDescent="0.2">
      <c r="A33" s="235"/>
      <c r="B33" s="230"/>
      <c r="C33" s="236" t="s">
        <v>747</v>
      </c>
      <c r="D33" s="243"/>
      <c r="E33" s="243"/>
      <c r="F33" s="244">
        <v>44266.692500957397</v>
      </c>
      <c r="G33" s="244">
        <v>1.8523333341886501</v>
      </c>
      <c r="H33" s="244">
        <v>46.308333354716403</v>
      </c>
      <c r="I33" s="244">
        <v>2.4107931762871901</v>
      </c>
      <c r="J33" s="244">
        <v>718.41636653358296</v>
      </c>
      <c r="K33" s="244">
        <v>0</v>
      </c>
      <c r="L33" s="244">
        <v>0</v>
      </c>
      <c r="M33" s="244">
        <v>0</v>
      </c>
      <c r="N33" s="244">
        <v>0</v>
      </c>
      <c r="O33" s="244">
        <v>45031.417200845703</v>
      </c>
    </row>
    <row r="34" spans="1:15" s="237" customFormat="1" ht="12" x14ac:dyDescent="0.2">
      <c r="A34" s="235"/>
      <c r="B34" s="230"/>
      <c r="C34" s="245" t="s">
        <v>748</v>
      </c>
      <c r="D34" s="243"/>
      <c r="E34" s="243"/>
      <c r="F34" s="244">
        <v>56.034487949595103</v>
      </c>
      <c r="G34" s="244">
        <v>2.47718529926741E-2</v>
      </c>
      <c r="H34" s="244">
        <v>0.61929632481685204</v>
      </c>
      <c r="I34" s="244">
        <v>1.0387587720629299E-3</v>
      </c>
      <c r="J34" s="244">
        <v>0.30955011407475302</v>
      </c>
      <c r="K34" s="244">
        <v>0</v>
      </c>
      <c r="L34" s="244">
        <v>0</v>
      </c>
      <c r="M34" s="244">
        <v>0</v>
      </c>
      <c r="N34" s="244">
        <v>0</v>
      </c>
      <c r="O34" s="244">
        <v>56.9633343884867</v>
      </c>
    </row>
    <row r="35" spans="1:15" s="249" customFormat="1" ht="12.75" x14ac:dyDescent="0.2">
      <c r="A35" s="228"/>
      <c r="B35" s="229" t="s">
        <v>749</v>
      </c>
      <c r="C35" s="246"/>
      <c r="D35" s="247"/>
      <c r="E35" s="247"/>
      <c r="F35" s="248">
        <v>5879.8071623104497</v>
      </c>
      <c r="G35" s="248">
        <v>0.33382130581146202</v>
      </c>
      <c r="H35" s="248">
        <v>8.3455326452865606</v>
      </c>
      <c r="I35" s="248">
        <v>2.3013773466869698</v>
      </c>
      <c r="J35" s="248">
        <v>685.81044931271697</v>
      </c>
      <c r="K35" s="248">
        <v>0</v>
      </c>
      <c r="L35" s="248">
        <v>0</v>
      </c>
      <c r="M35" s="248">
        <v>0</v>
      </c>
      <c r="N35" s="248">
        <v>0</v>
      </c>
      <c r="O35" s="248">
        <v>6573.9631442684504</v>
      </c>
    </row>
    <row r="36" spans="1:15" s="249" customFormat="1" ht="12.75" x14ac:dyDescent="0.2">
      <c r="A36" s="228"/>
      <c r="B36" s="232" t="s">
        <v>750</v>
      </c>
      <c r="C36" s="246"/>
      <c r="D36" s="247"/>
      <c r="E36" s="247"/>
      <c r="F36" s="248">
        <v>6704.1230180518196</v>
      </c>
      <c r="G36" s="248">
        <v>0.61658939277473501</v>
      </c>
      <c r="H36" s="248">
        <v>15.4147348193684</v>
      </c>
      <c r="I36" s="248">
        <v>0.17619140199215999</v>
      </c>
      <c r="J36" s="248">
        <v>52.505037793663597</v>
      </c>
      <c r="K36" s="248">
        <v>0</v>
      </c>
      <c r="L36" s="248">
        <v>0</v>
      </c>
      <c r="M36" s="248">
        <v>0</v>
      </c>
      <c r="N36" s="248">
        <v>0</v>
      </c>
      <c r="O36" s="248">
        <v>6772.0427906648501</v>
      </c>
    </row>
    <row r="37" spans="1:15" s="234" customFormat="1" ht="12.75" x14ac:dyDescent="0.2">
      <c r="A37" s="228"/>
      <c r="B37" s="229" t="s">
        <v>751</v>
      </c>
      <c r="C37" s="250"/>
      <c r="D37" s="251"/>
      <c r="E37" s="251"/>
      <c r="F37" s="252">
        <v>34855.735156369403</v>
      </c>
      <c r="G37" s="252">
        <v>12.5741550346292</v>
      </c>
      <c r="H37" s="252">
        <v>314.35387586572898</v>
      </c>
      <c r="I37" s="252">
        <v>9.7524083700705599</v>
      </c>
      <c r="J37" s="252">
        <v>2906.2176942810302</v>
      </c>
      <c r="K37" s="252">
        <v>0</v>
      </c>
      <c r="L37" s="252">
        <v>0</v>
      </c>
      <c r="M37" s="252">
        <v>0</v>
      </c>
      <c r="N37" s="252">
        <v>0</v>
      </c>
      <c r="O37" s="252">
        <v>38076.306726516203</v>
      </c>
    </row>
    <row r="38" spans="1:15" s="237" customFormat="1" ht="12" x14ac:dyDescent="0.2">
      <c r="A38" s="235"/>
      <c r="B38" s="230"/>
      <c r="C38" s="236" t="s">
        <v>752</v>
      </c>
      <c r="F38" s="238">
        <v>11187.3721975484</v>
      </c>
      <c r="G38" s="238">
        <v>0.69766344432330296</v>
      </c>
      <c r="H38" s="238">
        <v>17.4415861080826</v>
      </c>
      <c r="I38" s="238">
        <v>4.3246000580080404</v>
      </c>
      <c r="J38" s="238">
        <v>1288.73081728639</v>
      </c>
      <c r="K38" s="238">
        <v>0</v>
      </c>
      <c r="L38" s="238">
        <v>0</v>
      </c>
      <c r="M38" s="238">
        <v>0</v>
      </c>
      <c r="N38" s="238">
        <v>0</v>
      </c>
      <c r="O38" s="238">
        <v>12493.5446009429</v>
      </c>
    </row>
    <row r="39" spans="1:15" s="237" customFormat="1" ht="12" x14ac:dyDescent="0.2">
      <c r="A39" s="235"/>
      <c r="B39" s="230"/>
      <c r="C39" s="236" t="s">
        <v>753</v>
      </c>
      <c r="F39" s="238">
        <v>1911.0987480246599</v>
      </c>
      <c r="G39" s="238">
        <v>1.02318376967158</v>
      </c>
      <c r="H39" s="238">
        <v>25.579594241789501</v>
      </c>
      <c r="I39" s="238">
        <v>0.51371027648842105</v>
      </c>
      <c r="J39" s="238">
        <v>153.085662393549</v>
      </c>
      <c r="K39" s="238">
        <v>0</v>
      </c>
      <c r="L39" s="238">
        <v>0</v>
      </c>
      <c r="M39" s="238">
        <v>0</v>
      </c>
      <c r="N39" s="238">
        <v>0</v>
      </c>
      <c r="O39" s="238">
        <v>2089.76400466</v>
      </c>
    </row>
    <row r="40" spans="1:15" s="237" customFormat="1" ht="12" x14ac:dyDescent="0.2">
      <c r="A40" s="235"/>
      <c r="B40" s="230"/>
      <c r="C40" s="236" t="s">
        <v>754</v>
      </c>
      <c r="F40" s="238">
        <v>11451.2863182276</v>
      </c>
      <c r="G40" s="238">
        <v>1.1324418904098501</v>
      </c>
      <c r="H40" s="238">
        <v>28.311047260246301</v>
      </c>
      <c r="I40" s="238">
        <v>4.1528594760883601</v>
      </c>
      <c r="J40" s="238">
        <v>1237.5521238743299</v>
      </c>
      <c r="K40" s="238">
        <v>0</v>
      </c>
      <c r="L40" s="238">
        <v>0</v>
      </c>
      <c r="M40" s="238">
        <v>0</v>
      </c>
      <c r="N40" s="238">
        <v>0</v>
      </c>
      <c r="O40" s="238">
        <v>12717.1494893622</v>
      </c>
    </row>
    <row r="41" spans="1:15" s="237" customFormat="1" ht="12" x14ac:dyDescent="0.2">
      <c r="A41" s="235"/>
      <c r="B41" s="230"/>
      <c r="C41" s="236" t="s">
        <v>755</v>
      </c>
      <c r="F41" s="238">
        <v>570.75851378742198</v>
      </c>
      <c r="G41" s="238">
        <v>0.49336452073690201</v>
      </c>
      <c r="H41" s="238">
        <v>12.334113018422601</v>
      </c>
      <c r="I41" s="238">
        <v>7.3327191168433101E-2</v>
      </c>
      <c r="J41" s="238">
        <v>21.851502968193099</v>
      </c>
      <c r="K41" s="238">
        <v>0</v>
      </c>
      <c r="L41" s="238">
        <v>0</v>
      </c>
      <c r="M41" s="238">
        <v>0</v>
      </c>
      <c r="N41" s="238">
        <v>0</v>
      </c>
      <c r="O41" s="238">
        <v>604.94412977403704</v>
      </c>
    </row>
    <row r="42" spans="1:15" s="237" customFormat="1" ht="12" x14ac:dyDescent="0.2">
      <c r="A42" s="235"/>
      <c r="B42" s="230"/>
      <c r="C42" s="236" t="s">
        <v>756</v>
      </c>
      <c r="F42" s="238">
        <v>4202.4576787813703</v>
      </c>
      <c r="G42" s="238">
        <v>3.66561478448754</v>
      </c>
      <c r="H42" s="238">
        <v>91.640369612188493</v>
      </c>
      <c r="I42" s="238">
        <v>0.53761536831730805</v>
      </c>
      <c r="J42" s="238">
        <v>160.20937975855799</v>
      </c>
      <c r="K42" s="238">
        <v>0</v>
      </c>
      <c r="L42" s="238">
        <v>0</v>
      </c>
      <c r="M42" s="238">
        <v>0</v>
      </c>
      <c r="N42" s="238">
        <v>0</v>
      </c>
      <c r="O42" s="238">
        <v>4454.3074281521103</v>
      </c>
    </row>
    <row r="43" spans="1:15" s="237" customFormat="1" ht="12" x14ac:dyDescent="0.2">
      <c r="A43" s="235"/>
      <c r="B43" s="230"/>
      <c r="C43" s="253" t="s">
        <v>757</v>
      </c>
      <c r="F43" s="238">
        <v>5532.7617</v>
      </c>
      <c r="G43" s="238">
        <v>5.5618866249999996</v>
      </c>
      <c r="H43" s="238">
        <v>139.04716562499999</v>
      </c>
      <c r="I43" s="238">
        <v>0.15029600000000001</v>
      </c>
      <c r="J43" s="238">
        <v>44.788207999999997</v>
      </c>
      <c r="K43" s="238">
        <v>0</v>
      </c>
      <c r="L43" s="238">
        <v>0</v>
      </c>
      <c r="M43" s="238">
        <v>0</v>
      </c>
      <c r="N43" s="238">
        <v>0</v>
      </c>
      <c r="O43" s="238">
        <v>5716.5970736250001</v>
      </c>
    </row>
    <row r="44" spans="1:15" s="240" customFormat="1" ht="12.75" x14ac:dyDescent="0.2">
      <c r="A44" s="224" t="s">
        <v>758</v>
      </c>
      <c r="B44" s="225" t="s">
        <v>759</v>
      </c>
      <c r="C44" s="225"/>
      <c r="F44" s="226">
        <v>13104.3481657376</v>
      </c>
      <c r="G44" s="226">
        <v>1650.12923116865</v>
      </c>
      <c r="H44" s="226">
        <v>41253.230779216203</v>
      </c>
      <c r="I44" s="226">
        <v>0.14353369901714899</v>
      </c>
      <c r="J44" s="226">
        <v>42.773042307110302</v>
      </c>
      <c r="K44" s="226">
        <v>0</v>
      </c>
      <c r="L44" s="226">
        <v>0</v>
      </c>
      <c r="M44" s="226">
        <v>0</v>
      </c>
      <c r="N44" s="226">
        <v>0</v>
      </c>
      <c r="O44" s="226">
        <v>54400.351987260903</v>
      </c>
    </row>
    <row r="45" spans="1:15" s="234" customFormat="1" ht="12.75" x14ac:dyDescent="0.2">
      <c r="A45" s="228"/>
      <c r="B45" s="229" t="s">
        <v>760</v>
      </c>
      <c r="C45" s="229"/>
      <c r="F45" s="231">
        <v>0</v>
      </c>
      <c r="G45" s="231">
        <v>55.208621307315802</v>
      </c>
      <c r="H45" s="231">
        <v>1380.2155326828899</v>
      </c>
      <c r="I45" s="231">
        <v>0</v>
      </c>
      <c r="J45" s="231">
        <v>0</v>
      </c>
      <c r="K45" s="231">
        <v>0</v>
      </c>
      <c r="L45" s="231">
        <v>0</v>
      </c>
      <c r="M45" s="231">
        <v>0</v>
      </c>
      <c r="N45" s="231">
        <v>0</v>
      </c>
      <c r="O45" s="231">
        <v>1380.2155326828899</v>
      </c>
    </row>
    <row r="46" spans="1:15" s="234" customFormat="1" ht="12.75" x14ac:dyDescent="0.2">
      <c r="A46" s="228"/>
      <c r="B46" s="229" t="s">
        <v>761</v>
      </c>
      <c r="C46" s="229"/>
      <c r="F46" s="231">
        <v>13104.3481657376</v>
      </c>
      <c r="G46" s="231">
        <v>1594.9206098613299</v>
      </c>
      <c r="H46" s="231">
        <v>39873.015246533301</v>
      </c>
      <c r="I46" s="231">
        <v>0.14353369901714899</v>
      </c>
      <c r="J46" s="231">
        <v>42.773042307110302</v>
      </c>
      <c r="K46" s="231">
        <v>0</v>
      </c>
      <c r="L46" s="231">
        <v>0</v>
      </c>
      <c r="M46" s="231">
        <v>0</v>
      </c>
      <c r="N46" s="231">
        <v>0</v>
      </c>
      <c r="O46" s="231">
        <v>53020.136454578002</v>
      </c>
    </row>
    <row r="47" spans="1:15" s="237" customFormat="1" ht="12" x14ac:dyDescent="0.2">
      <c r="A47" s="254"/>
      <c r="B47" s="255"/>
      <c r="C47" s="230" t="s">
        <v>762</v>
      </c>
      <c r="F47" s="238">
        <v>215.32644963477401</v>
      </c>
      <c r="G47" s="238">
        <v>230.182019312861</v>
      </c>
      <c r="H47" s="238">
        <v>5754.5504828215298</v>
      </c>
      <c r="I47" s="238">
        <v>0.11265386511981999</v>
      </c>
      <c r="J47" s="238">
        <v>33.570851805706397</v>
      </c>
      <c r="K47" s="238">
        <v>0</v>
      </c>
      <c r="L47" s="238">
        <v>0</v>
      </c>
      <c r="M47" s="238">
        <v>0</v>
      </c>
      <c r="N47" s="238">
        <v>0</v>
      </c>
      <c r="O47" s="238">
        <v>6003.4477842620099</v>
      </c>
    </row>
    <row r="48" spans="1:15" s="237" customFormat="1" ht="12" x14ac:dyDescent="0.2">
      <c r="A48" s="254"/>
      <c r="B48" s="255"/>
      <c r="C48" s="230" t="s">
        <v>763</v>
      </c>
      <c r="F48" s="238">
        <v>68.232381625643399</v>
      </c>
      <c r="G48" s="238">
        <v>492.79028849352397</v>
      </c>
      <c r="H48" s="238">
        <v>12319.7572123381</v>
      </c>
      <c r="I48" s="238">
        <v>0</v>
      </c>
      <c r="J48" s="238">
        <v>0</v>
      </c>
      <c r="K48" s="238">
        <v>0</v>
      </c>
      <c r="L48" s="238">
        <v>0</v>
      </c>
      <c r="M48" s="238">
        <v>0</v>
      </c>
      <c r="N48" s="238">
        <v>0</v>
      </c>
      <c r="O48" s="238">
        <v>12387.989593963701</v>
      </c>
    </row>
    <row r="49" spans="1:16" s="237" customFormat="1" ht="12" x14ac:dyDescent="0.2">
      <c r="A49" s="256"/>
      <c r="B49" s="257"/>
      <c r="C49" s="258" t="s">
        <v>380</v>
      </c>
      <c r="D49" s="243"/>
      <c r="E49" s="243"/>
      <c r="F49" s="244">
        <v>8574.5662093657502</v>
      </c>
      <c r="G49" s="244">
        <v>854.51407982941896</v>
      </c>
      <c r="H49" s="244">
        <v>21362.851995735498</v>
      </c>
      <c r="I49" s="244">
        <v>0</v>
      </c>
      <c r="J49" s="244">
        <v>0</v>
      </c>
      <c r="K49" s="244">
        <v>0</v>
      </c>
      <c r="L49" s="244">
        <v>0</v>
      </c>
      <c r="M49" s="244">
        <v>0</v>
      </c>
      <c r="N49" s="244">
        <v>0</v>
      </c>
      <c r="O49" s="244">
        <v>29937.418205101199</v>
      </c>
    </row>
    <row r="50" spans="1:16" s="237" customFormat="1" ht="12" x14ac:dyDescent="0.2">
      <c r="A50" s="256"/>
      <c r="B50" s="257"/>
      <c r="C50" s="258" t="s">
        <v>381</v>
      </c>
      <c r="D50" s="243"/>
      <c r="E50" s="243"/>
      <c r="F50" s="244">
        <v>4246.2231251113999</v>
      </c>
      <c r="G50" s="244">
        <v>17.434222225529599</v>
      </c>
      <c r="H50" s="244">
        <v>435.85555563823999</v>
      </c>
      <c r="I50" s="244">
        <v>3.08798338973288E-2</v>
      </c>
      <c r="J50" s="244">
        <v>9.2021905014039795</v>
      </c>
      <c r="K50" s="244">
        <v>0</v>
      </c>
      <c r="L50" s="244">
        <v>0</v>
      </c>
      <c r="M50" s="244">
        <v>0</v>
      </c>
      <c r="N50" s="244">
        <v>0</v>
      </c>
      <c r="O50" s="244">
        <v>4691.2808712510396</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37026.661011950899</v>
      </c>
      <c r="G52" s="266">
        <v>2.8563510212043601</v>
      </c>
      <c r="H52" s="266">
        <v>71.408775530108997</v>
      </c>
      <c r="I52" s="266">
        <v>4.3702703177034596</v>
      </c>
      <c r="J52" s="266">
        <v>1302.3405546756301</v>
      </c>
      <c r="K52" s="266">
        <v>7774.5001433343396</v>
      </c>
      <c r="L52" s="266">
        <v>1859.1719730181201</v>
      </c>
      <c r="M52" s="266">
        <v>440.421343627103</v>
      </c>
      <c r="N52" s="266">
        <v>0.15104489600000001</v>
      </c>
      <c r="O52" s="266">
        <v>48474.654847032201</v>
      </c>
    </row>
    <row r="53" spans="1:16" s="240" customFormat="1" ht="12.75" x14ac:dyDescent="0.2">
      <c r="A53" s="224" t="s">
        <v>724</v>
      </c>
      <c r="B53" s="225" t="s">
        <v>767</v>
      </c>
      <c r="C53" s="225"/>
      <c r="D53" s="268"/>
      <c r="E53" s="268"/>
      <c r="F53" s="269">
        <v>7817.8838829372899</v>
      </c>
      <c r="G53" s="269">
        <v>0</v>
      </c>
      <c r="H53" s="269">
        <v>0</v>
      </c>
      <c r="I53" s="269">
        <v>0</v>
      </c>
      <c r="J53" s="269">
        <v>0</v>
      </c>
      <c r="K53" s="269">
        <v>0</v>
      </c>
      <c r="L53" s="269">
        <v>0</v>
      </c>
      <c r="M53" s="269">
        <v>0</v>
      </c>
      <c r="N53" s="269">
        <v>0</v>
      </c>
      <c r="O53" s="269">
        <v>7817.8838829372899</v>
      </c>
    </row>
    <row r="54" spans="1:16" s="273" customFormat="1" ht="12" x14ac:dyDescent="0.2">
      <c r="A54" s="235"/>
      <c r="B54" s="270"/>
      <c r="C54" s="236" t="s">
        <v>560</v>
      </c>
      <c r="D54" s="271"/>
      <c r="E54" s="271"/>
      <c r="F54" s="272">
        <v>6039.28044025073</v>
      </c>
      <c r="G54" s="272">
        <v>0</v>
      </c>
      <c r="H54" s="272">
        <v>0</v>
      </c>
      <c r="I54" s="272">
        <v>0</v>
      </c>
      <c r="J54" s="272">
        <v>0</v>
      </c>
      <c r="K54" s="272">
        <v>0</v>
      </c>
      <c r="L54" s="272">
        <v>0</v>
      </c>
      <c r="M54" s="272">
        <v>0</v>
      </c>
      <c r="N54" s="272">
        <v>0</v>
      </c>
      <c r="O54" s="272">
        <v>6039.28044025073</v>
      </c>
      <c r="P54" s="271"/>
    </row>
    <row r="55" spans="1:16" s="273" customFormat="1" ht="12" x14ac:dyDescent="0.2">
      <c r="A55" s="235"/>
      <c r="B55" s="270"/>
      <c r="C55" s="236" t="s">
        <v>191</v>
      </c>
      <c r="D55" s="271"/>
      <c r="E55" s="271"/>
      <c r="F55" s="272">
        <v>1372.4274742888799</v>
      </c>
      <c r="G55" s="272">
        <v>0</v>
      </c>
      <c r="H55" s="272">
        <v>0</v>
      </c>
      <c r="I55" s="272">
        <v>0</v>
      </c>
      <c r="J55" s="272">
        <v>0</v>
      </c>
      <c r="K55" s="272">
        <v>0</v>
      </c>
      <c r="L55" s="272">
        <v>0</v>
      </c>
      <c r="M55" s="272">
        <v>0</v>
      </c>
      <c r="N55" s="272">
        <v>0</v>
      </c>
      <c r="O55" s="272">
        <v>1372.4274742888799</v>
      </c>
      <c r="P55" s="271"/>
    </row>
    <row r="56" spans="1:16" s="273" customFormat="1" ht="12" x14ac:dyDescent="0.2">
      <c r="A56" s="235"/>
      <c r="B56" s="270"/>
      <c r="C56" s="236" t="s">
        <v>768</v>
      </c>
      <c r="D56" s="271"/>
      <c r="E56" s="271"/>
      <c r="F56" s="272">
        <v>406.17596839768299</v>
      </c>
      <c r="G56" s="272">
        <v>0</v>
      </c>
      <c r="H56" s="272">
        <v>0</v>
      </c>
      <c r="I56" s="272">
        <v>0</v>
      </c>
      <c r="J56" s="272">
        <v>0</v>
      </c>
      <c r="K56" s="272">
        <v>0</v>
      </c>
      <c r="L56" s="272">
        <v>0</v>
      </c>
      <c r="M56" s="272">
        <v>0</v>
      </c>
      <c r="N56" s="272">
        <v>0</v>
      </c>
      <c r="O56" s="272">
        <v>406.17596839768299</v>
      </c>
      <c r="P56" s="271"/>
    </row>
    <row r="57" spans="1:16" s="275" customFormat="1" ht="12.75" x14ac:dyDescent="0.2">
      <c r="A57" s="224" t="s">
        <v>737</v>
      </c>
      <c r="B57" s="225" t="s">
        <v>769</v>
      </c>
      <c r="C57" s="225"/>
      <c r="D57" s="274"/>
      <c r="E57" s="274"/>
      <c r="F57" s="269">
        <v>4331.1218440342</v>
      </c>
      <c r="G57" s="269">
        <v>2.7722220212043598</v>
      </c>
      <c r="H57" s="269">
        <v>69.305550530109002</v>
      </c>
      <c r="I57" s="269">
        <v>3.5897378601210699</v>
      </c>
      <c r="J57" s="269">
        <v>1069.7418823160799</v>
      </c>
      <c r="K57" s="269">
        <v>0</v>
      </c>
      <c r="L57" s="269">
        <v>0</v>
      </c>
      <c r="M57" s="269">
        <v>0</v>
      </c>
      <c r="N57" s="269">
        <v>0</v>
      </c>
      <c r="O57" s="269">
        <v>5470.1692768803896</v>
      </c>
      <c r="P57" s="274"/>
    </row>
    <row r="58" spans="1:16" s="277" customFormat="1" ht="12" x14ac:dyDescent="0.2">
      <c r="A58" s="235"/>
      <c r="B58" s="270"/>
      <c r="C58" s="236" t="s">
        <v>192</v>
      </c>
      <c r="D58" s="276"/>
      <c r="E58" s="276"/>
      <c r="F58" s="272">
        <v>2491.2036086005501</v>
      </c>
      <c r="G58" s="272">
        <v>0</v>
      </c>
      <c r="H58" s="272">
        <v>0</v>
      </c>
      <c r="I58" s="272">
        <v>0</v>
      </c>
      <c r="J58" s="272">
        <v>0</v>
      </c>
      <c r="K58" s="272">
        <v>0</v>
      </c>
      <c r="L58" s="272">
        <v>0</v>
      </c>
      <c r="M58" s="272">
        <v>0</v>
      </c>
      <c r="N58" s="272">
        <v>0</v>
      </c>
      <c r="O58" s="272">
        <v>2491.2036086005501</v>
      </c>
      <c r="P58" s="276"/>
    </row>
    <row r="59" spans="1:16" s="277" customFormat="1" ht="12" x14ac:dyDescent="0.2">
      <c r="A59" s="235"/>
      <c r="B59" s="270"/>
      <c r="C59" s="236" t="s">
        <v>190</v>
      </c>
      <c r="D59" s="276"/>
      <c r="E59" s="276"/>
      <c r="F59" s="272">
        <v>0</v>
      </c>
      <c r="G59" s="272">
        <v>0</v>
      </c>
      <c r="H59" s="272">
        <v>0</v>
      </c>
      <c r="I59" s="272">
        <v>3.5568846999999999</v>
      </c>
      <c r="J59" s="272">
        <v>1059.9516406</v>
      </c>
      <c r="K59" s="272">
        <v>0</v>
      </c>
      <c r="L59" s="272">
        <v>0</v>
      </c>
      <c r="M59" s="272">
        <v>0</v>
      </c>
      <c r="N59" s="272">
        <v>0</v>
      </c>
      <c r="O59" s="272">
        <v>1059.9516406</v>
      </c>
      <c r="P59" s="276"/>
    </row>
    <row r="60" spans="1:16" s="277" customFormat="1" ht="12" x14ac:dyDescent="0.2">
      <c r="A60" s="235"/>
      <c r="B60" s="270"/>
      <c r="C60" s="236" t="s">
        <v>770</v>
      </c>
      <c r="D60" s="276"/>
      <c r="E60" s="276"/>
      <c r="F60" s="272">
        <v>0</v>
      </c>
      <c r="G60" s="272">
        <v>0</v>
      </c>
      <c r="H60" s="272">
        <v>0</v>
      </c>
      <c r="I60" s="272">
        <v>0</v>
      </c>
      <c r="J60" s="272">
        <v>0</v>
      </c>
      <c r="K60" s="272">
        <v>0</v>
      </c>
      <c r="L60" s="272">
        <v>0</v>
      </c>
      <c r="M60" s="272">
        <v>0</v>
      </c>
      <c r="N60" s="272">
        <v>0</v>
      </c>
      <c r="O60" s="272">
        <v>0</v>
      </c>
      <c r="P60" s="276"/>
    </row>
    <row r="61" spans="1:16" s="277" customFormat="1" ht="12" x14ac:dyDescent="0.2">
      <c r="A61" s="235"/>
      <c r="B61" s="270"/>
      <c r="C61" s="236" t="s">
        <v>771</v>
      </c>
      <c r="D61" s="276"/>
      <c r="E61" s="276"/>
      <c r="F61" s="272">
        <v>1839.9182354336499</v>
      </c>
      <c r="G61" s="272">
        <v>2.7722220212043598</v>
      </c>
      <c r="H61" s="272">
        <v>69.305550530109002</v>
      </c>
      <c r="I61" s="272">
        <v>3.2853160121067503E-2</v>
      </c>
      <c r="J61" s="272">
        <v>9.7902417160781106</v>
      </c>
      <c r="K61" s="272">
        <v>0</v>
      </c>
      <c r="L61" s="272">
        <v>0</v>
      </c>
      <c r="M61" s="272">
        <v>0</v>
      </c>
      <c r="N61" s="272">
        <v>0</v>
      </c>
      <c r="O61" s="272">
        <v>1919.01402767983</v>
      </c>
      <c r="P61" s="276"/>
    </row>
    <row r="62" spans="1:16" s="240" customFormat="1" ht="12.75" x14ac:dyDescent="0.2">
      <c r="A62" s="224" t="s">
        <v>758</v>
      </c>
      <c r="B62" s="225" t="s">
        <v>772</v>
      </c>
      <c r="C62" s="225"/>
      <c r="D62" s="268"/>
      <c r="E62" s="268"/>
      <c r="F62" s="269">
        <v>14109.9262853655</v>
      </c>
      <c r="G62" s="269">
        <v>8.4128999999999995E-2</v>
      </c>
      <c r="H62" s="269">
        <v>2.1032250000000001</v>
      </c>
      <c r="I62" s="269">
        <v>0</v>
      </c>
      <c r="J62" s="269">
        <v>0</v>
      </c>
      <c r="K62" s="269">
        <v>0</v>
      </c>
      <c r="L62" s="269">
        <v>1846.81254971873</v>
      </c>
      <c r="M62" s="269">
        <v>256.04586397702002</v>
      </c>
      <c r="N62" s="269">
        <v>0</v>
      </c>
      <c r="O62" s="269">
        <v>16214.8879240612</v>
      </c>
      <c r="P62" s="268"/>
    </row>
    <row r="63" spans="1:16" s="273" customFormat="1" ht="12" x14ac:dyDescent="0.2">
      <c r="A63" s="235"/>
      <c r="B63" s="230"/>
      <c r="C63" s="230" t="s">
        <v>773</v>
      </c>
      <c r="D63" s="271"/>
      <c r="E63" s="271"/>
      <c r="F63" s="272">
        <v>9163.1897153654609</v>
      </c>
      <c r="G63" s="272">
        <v>8.4128999999999995E-2</v>
      </c>
      <c r="H63" s="272">
        <v>2.1032250000000001</v>
      </c>
      <c r="I63" s="272">
        <v>0</v>
      </c>
      <c r="J63" s="272">
        <v>0</v>
      </c>
      <c r="K63" s="272">
        <v>0</v>
      </c>
      <c r="L63" s="272">
        <v>0</v>
      </c>
      <c r="M63" s="272">
        <v>0</v>
      </c>
      <c r="N63" s="272">
        <v>0</v>
      </c>
      <c r="O63" s="272">
        <v>9165.2929403654598</v>
      </c>
      <c r="P63" s="271"/>
    </row>
    <row r="64" spans="1:16" s="273" customFormat="1" ht="12" x14ac:dyDescent="0.2">
      <c r="A64" s="235"/>
      <c r="B64" s="230"/>
      <c r="C64" s="230" t="s">
        <v>252</v>
      </c>
      <c r="D64" s="271"/>
      <c r="E64" s="271"/>
      <c r="F64" s="272">
        <v>4946.73657</v>
      </c>
      <c r="G64" s="272">
        <v>0</v>
      </c>
      <c r="H64" s="272">
        <v>0</v>
      </c>
      <c r="I64" s="272">
        <v>0</v>
      </c>
      <c r="J64" s="272">
        <v>0</v>
      </c>
      <c r="K64" s="272">
        <v>0</v>
      </c>
      <c r="L64" s="272">
        <v>1846.81254971873</v>
      </c>
      <c r="M64" s="272">
        <v>72.663600000000002</v>
      </c>
      <c r="N64" s="272">
        <v>0</v>
      </c>
      <c r="O64" s="272">
        <v>6866.2127197187301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183.38226397701999</v>
      </c>
      <c r="N65" s="272">
        <v>0</v>
      </c>
      <c r="O65" s="272">
        <v>183.38226397701999</v>
      </c>
      <c r="P65" s="271"/>
    </row>
    <row r="66" spans="1:16" s="234" customFormat="1" x14ac:dyDescent="0.25">
      <c r="A66" s="278" t="s">
        <v>764</v>
      </c>
      <c r="B66" s="279" t="s">
        <v>775</v>
      </c>
      <c r="C66" s="279"/>
      <c r="D66" s="251"/>
      <c r="E66" s="251"/>
      <c r="F66" s="252">
        <v>0</v>
      </c>
      <c r="G66" s="252">
        <v>0</v>
      </c>
      <c r="H66" s="252">
        <v>0</v>
      </c>
      <c r="I66" s="252">
        <v>0</v>
      </c>
      <c r="J66" s="252">
        <v>0</v>
      </c>
      <c r="K66" s="252">
        <v>7774.5001433343396</v>
      </c>
      <c r="L66" s="252">
        <v>5.0759851772432798</v>
      </c>
      <c r="M66" s="252">
        <v>1.6432836500826999</v>
      </c>
      <c r="N66" s="252">
        <v>0.15104489600000001</v>
      </c>
      <c r="O66" s="252">
        <v>7781.3704570576701</v>
      </c>
      <c r="P66" s="251"/>
    </row>
    <row r="67" spans="1:16" s="234" customFormat="1" ht="12.75" x14ac:dyDescent="0.2">
      <c r="A67" s="278" t="s">
        <v>776</v>
      </c>
      <c r="B67" s="279" t="s">
        <v>777</v>
      </c>
      <c r="C67" s="279"/>
      <c r="D67" s="251"/>
      <c r="E67" s="251"/>
      <c r="F67" s="252">
        <v>10764.7105639969</v>
      </c>
      <c r="G67" s="252">
        <v>0</v>
      </c>
      <c r="H67" s="252">
        <v>0</v>
      </c>
      <c r="I67" s="252">
        <v>0</v>
      </c>
      <c r="J67" s="252">
        <v>0</v>
      </c>
      <c r="K67" s="252">
        <v>0</v>
      </c>
      <c r="L67" s="252">
        <v>0</v>
      </c>
      <c r="M67" s="252">
        <v>0</v>
      </c>
      <c r="N67" s="252">
        <v>0</v>
      </c>
      <c r="O67" s="252">
        <v>10764.7105639969</v>
      </c>
      <c r="P67" s="251"/>
    </row>
    <row r="68" spans="1:16" s="234" customFormat="1" ht="12.75" x14ac:dyDescent="0.2">
      <c r="A68" s="259" t="s">
        <v>778</v>
      </c>
      <c r="B68" s="260" t="s">
        <v>779</v>
      </c>
      <c r="C68" s="260"/>
      <c r="D68" s="280"/>
      <c r="E68" s="280"/>
      <c r="F68" s="281">
        <v>3.0184356170623698</v>
      </c>
      <c r="G68" s="281">
        <v>0</v>
      </c>
      <c r="H68" s="281">
        <v>0</v>
      </c>
      <c r="I68" s="281">
        <v>0.78053245758239298</v>
      </c>
      <c r="J68" s="281">
        <v>232.59867235955301</v>
      </c>
      <c r="K68" s="281">
        <v>0</v>
      </c>
      <c r="L68" s="281">
        <v>7.2834381221483202</v>
      </c>
      <c r="M68" s="281">
        <v>182.73219599999999</v>
      </c>
      <c r="N68" s="281">
        <v>0</v>
      </c>
      <c r="O68" s="281">
        <v>425.63274209876403</v>
      </c>
      <c r="P68" s="251"/>
    </row>
    <row r="69" spans="1:16" s="267" customFormat="1" ht="12.75" x14ac:dyDescent="0.2">
      <c r="A69" s="282" t="s">
        <v>780</v>
      </c>
      <c r="B69" s="283"/>
      <c r="C69" s="283"/>
      <c r="D69" s="284"/>
      <c r="E69" s="284"/>
      <c r="F69" s="285">
        <v>1787.5197648000001</v>
      </c>
      <c r="G69" s="285">
        <v>1179.5868255882999</v>
      </c>
      <c r="H69" s="285">
        <v>29489.670639707601</v>
      </c>
      <c r="I69" s="285">
        <v>83.576914142885599</v>
      </c>
      <c r="J69" s="285">
        <v>24905.920414579901</v>
      </c>
      <c r="K69" s="285">
        <v>0</v>
      </c>
      <c r="L69" s="285">
        <v>0</v>
      </c>
      <c r="M69" s="285">
        <v>0</v>
      </c>
      <c r="N69" s="285">
        <v>0</v>
      </c>
      <c r="O69" s="285">
        <v>56183.110819087502</v>
      </c>
      <c r="P69" s="265"/>
    </row>
    <row r="70" spans="1:16" s="234" customFormat="1" ht="12.75" x14ac:dyDescent="0.2">
      <c r="A70" s="278" t="s">
        <v>724</v>
      </c>
      <c r="B70" s="279" t="s">
        <v>27</v>
      </c>
      <c r="C70" s="279"/>
      <c r="D70" s="251"/>
      <c r="E70" s="251"/>
      <c r="F70" s="252">
        <v>0</v>
      </c>
      <c r="G70" s="252">
        <v>1031.6086629828101</v>
      </c>
      <c r="H70" s="252">
        <v>25790.216574570401</v>
      </c>
      <c r="I70" s="252">
        <v>0</v>
      </c>
      <c r="J70" s="252">
        <v>0</v>
      </c>
      <c r="K70" s="252">
        <v>0</v>
      </c>
      <c r="L70" s="252">
        <v>0</v>
      </c>
      <c r="M70" s="252">
        <v>0</v>
      </c>
      <c r="N70" s="252">
        <v>0</v>
      </c>
      <c r="O70" s="252">
        <v>25790.216574570401</v>
      </c>
      <c r="P70" s="251"/>
    </row>
    <row r="71" spans="1:16" s="234" customFormat="1" ht="12.75" x14ac:dyDescent="0.2">
      <c r="A71" s="278" t="s">
        <v>737</v>
      </c>
      <c r="B71" s="279" t="s">
        <v>28</v>
      </c>
      <c r="C71" s="279"/>
      <c r="D71" s="251"/>
      <c r="E71" s="251"/>
      <c r="F71" s="252">
        <v>0</v>
      </c>
      <c r="G71" s="252">
        <v>146.97216435783301</v>
      </c>
      <c r="H71" s="252">
        <v>3674.3041089458202</v>
      </c>
      <c r="I71" s="252">
        <v>16.071525034764999</v>
      </c>
      <c r="J71" s="252">
        <v>4789.3144603599703</v>
      </c>
      <c r="K71" s="252">
        <v>0</v>
      </c>
      <c r="L71" s="252">
        <v>0</v>
      </c>
      <c r="M71" s="252">
        <v>0</v>
      </c>
      <c r="N71" s="252">
        <v>0</v>
      </c>
      <c r="O71" s="252">
        <v>8463.6185693057905</v>
      </c>
      <c r="P71" s="251"/>
    </row>
    <row r="72" spans="1:16" s="234" customFormat="1" ht="12.75" x14ac:dyDescent="0.2">
      <c r="A72" s="224" t="s">
        <v>758</v>
      </c>
      <c r="B72" s="225" t="s">
        <v>781</v>
      </c>
      <c r="C72" s="225"/>
      <c r="F72" s="231">
        <v>0</v>
      </c>
      <c r="G72" s="231">
        <v>0</v>
      </c>
      <c r="H72" s="231">
        <v>0</v>
      </c>
      <c r="I72" s="231">
        <v>67.479307672070306</v>
      </c>
      <c r="J72" s="231">
        <v>20108.833686276899</v>
      </c>
      <c r="K72" s="231">
        <v>0</v>
      </c>
      <c r="L72" s="231">
        <v>0</v>
      </c>
      <c r="M72" s="231">
        <v>0</v>
      </c>
      <c r="N72" s="231">
        <v>0</v>
      </c>
      <c r="O72" s="231">
        <v>20108.833686276899</v>
      </c>
    </row>
    <row r="73" spans="1:16" s="237" customFormat="1" ht="12" x14ac:dyDescent="0.2">
      <c r="A73" s="286"/>
      <c r="B73" s="258"/>
      <c r="C73" s="258" t="s">
        <v>782</v>
      </c>
      <c r="D73" s="243"/>
      <c r="E73" s="243"/>
      <c r="F73" s="244">
        <v>0</v>
      </c>
      <c r="G73" s="244">
        <v>0</v>
      </c>
      <c r="H73" s="244">
        <v>0</v>
      </c>
      <c r="I73" s="244">
        <v>55.723900085207298</v>
      </c>
      <c r="J73" s="244">
        <v>16605.722225391801</v>
      </c>
      <c r="K73" s="244">
        <v>0</v>
      </c>
      <c r="L73" s="244">
        <v>0</v>
      </c>
      <c r="M73" s="244">
        <v>0</v>
      </c>
      <c r="N73" s="244">
        <v>0</v>
      </c>
      <c r="O73" s="244">
        <v>16605.722225391801</v>
      </c>
    </row>
    <row r="74" spans="1:16" s="237" customFormat="1" ht="12" x14ac:dyDescent="0.2">
      <c r="A74" s="286"/>
      <c r="B74" s="258"/>
      <c r="C74" s="258" t="s">
        <v>783</v>
      </c>
      <c r="D74" s="243"/>
      <c r="E74" s="243"/>
      <c r="F74" s="244">
        <v>0</v>
      </c>
      <c r="G74" s="244">
        <v>0</v>
      </c>
      <c r="H74" s="244">
        <v>0</v>
      </c>
      <c r="I74" s="244">
        <v>11.755407586863001</v>
      </c>
      <c r="J74" s="244">
        <v>3503.1114608851699</v>
      </c>
      <c r="K74" s="244">
        <v>0</v>
      </c>
      <c r="L74" s="244">
        <v>0</v>
      </c>
      <c r="M74" s="244">
        <v>0</v>
      </c>
      <c r="N74" s="244">
        <v>0</v>
      </c>
      <c r="O74" s="244">
        <v>3503.1114608851699</v>
      </c>
    </row>
    <row r="75" spans="1:16" s="234" customFormat="1" ht="12.75" x14ac:dyDescent="0.2">
      <c r="A75" s="278" t="s">
        <v>764</v>
      </c>
      <c r="B75" s="279" t="s">
        <v>193</v>
      </c>
      <c r="C75" s="287"/>
      <c r="D75" s="251"/>
      <c r="E75" s="251"/>
      <c r="F75" s="252">
        <v>0</v>
      </c>
      <c r="G75" s="252">
        <v>1.0059982476566001</v>
      </c>
      <c r="H75" s="252">
        <v>25.149956191415001</v>
      </c>
      <c r="I75" s="252">
        <v>2.6081436050356299E-2</v>
      </c>
      <c r="J75" s="252">
        <v>7.7722679430061703</v>
      </c>
      <c r="K75" s="252">
        <v>0</v>
      </c>
      <c r="L75" s="252">
        <v>0</v>
      </c>
      <c r="M75" s="252">
        <v>0</v>
      </c>
      <c r="N75" s="252">
        <v>0</v>
      </c>
      <c r="O75" s="252">
        <v>32.9222241344211</v>
      </c>
    </row>
    <row r="76" spans="1:16" s="234" customFormat="1" ht="12.75" x14ac:dyDescent="0.2">
      <c r="A76" s="259" t="s">
        <v>776</v>
      </c>
      <c r="B76" s="260" t="s">
        <v>784</v>
      </c>
      <c r="C76" s="288"/>
      <c r="D76" s="280"/>
      <c r="E76" s="280"/>
      <c r="F76" s="281">
        <v>1787.5197648000001</v>
      </c>
      <c r="G76" s="281">
        <v>0</v>
      </c>
      <c r="H76" s="281">
        <v>0</v>
      </c>
      <c r="I76" s="281">
        <v>0</v>
      </c>
      <c r="J76" s="281">
        <v>0</v>
      </c>
      <c r="K76" s="281">
        <v>0</v>
      </c>
      <c r="L76" s="281">
        <v>0</v>
      </c>
      <c r="M76" s="281">
        <v>0</v>
      </c>
      <c r="N76" s="281">
        <v>0</v>
      </c>
      <c r="O76" s="281">
        <v>1787.5197648000001</v>
      </c>
    </row>
    <row r="77" spans="1:16" s="234" customFormat="1" ht="12.75" x14ac:dyDescent="0.2">
      <c r="A77" s="220" t="s">
        <v>785</v>
      </c>
      <c r="B77" s="289"/>
      <c r="C77" s="289"/>
      <c r="F77" s="223">
        <v>480.03807832000001</v>
      </c>
      <c r="G77" s="223">
        <v>923.65902173999996</v>
      </c>
      <c r="H77" s="223">
        <v>23091.475543500001</v>
      </c>
      <c r="I77" s="223">
        <v>4.1053177999999999</v>
      </c>
      <c r="J77" s="223">
        <v>1223.3847043999999</v>
      </c>
      <c r="K77" s="223">
        <v>0</v>
      </c>
      <c r="L77" s="223">
        <v>0</v>
      </c>
      <c r="M77" s="223">
        <v>0</v>
      </c>
      <c r="N77" s="223">
        <v>0</v>
      </c>
      <c r="O77" s="223">
        <v>24794.898326220002</v>
      </c>
    </row>
    <row r="78" spans="1:16" s="234" customFormat="1" ht="12.75" x14ac:dyDescent="0.2">
      <c r="A78" s="224" t="s">
        <v>724</v>
      </c>
      <c r="B78" s="225" t="s">
        <v>786</v>
      </c>
      <c r="C78" s="225"/>
      <c r="F78" s="231">
        <v>0</v>
      </c>
      <c r="G78" s="231">
        <v>885.86954232999994</v>
      </c>
      <c r="H78" s="231">
        <v>22146.738558249999</v>
      </c>
      <c r="I78" s="231">
        <v>0</v>
      </c>
      <c r="J78" s="231">
        <v>0</v>
      </c>
      <c r="K78" s="231">
        <v>0</v>
      </c>
      <c r="L78" s="231">
        <v>0</v>
      </c>
      <c r="M78" s="231">
        <v>0</v>
      </c>
      <c r="N78" s="231">
        <v>0</v>
      </c>
      <c r="O78" s="231">
        <v>22146.738558249999</v>
      </c>
    </row>
    <row r="79" spans="1:16" s="234" customFormat="1" ht="12.75" x14ac:dyDescent="0.2">
      <c r="A79" s="224" t="s">
        <v>737</v>
      </c>
      <c r="B79" s="225" t="s">
        <v>787</v>
      </c>
      <c r="C79" s="225"/>
      <c r="F79" s="231">
        <v>0</v>
      </c>
      <c r="G79" s="231">
        <v>22.368179529999999</v>
      </c>
      <c r="H79" s="231">
        <v>559.20448825000005</v>
      </c>
      <c r="I79" s="231">
        <v>1.34209077</v>
      </c>
      <c r="J79" s="231">
        <v>399.94304946</v>
      </c>
      <c r="K79" s="231">
        <v>0</v>
      </c>
      <c r="L79" s="231">
        <v>0</v>
      </c>
      <c r="M79" s="231">
        <v>0</v>
      </c>
      <c r="N79" s="231">
        <v>0</v>
      </c>
      <c r="O79" s="231">
        <v>959.14753771000005</v>
      </c>
    </row>
    <row r="80" spans="1:16" s="234" customFormat="1" ht="12.75" x14ac:dyDescent="0.2">
      <c r="A80" s="278" t="s">
        <v>788</v>
      </c>
      <c r="B80" s="279" t="s">
        <v>789</v>
      </c>
      <c r="C80" s="279"/>
      <c r="D80" s="251"/>
      <c r="E80" s="251"/>
      <c r="F80" s="252">
        <v>0</v>
      </c>
      <c r="G80" s="252">
        <v>15.17489331</v>
      </c>
      <c r="H80" s="252">
        <v>379.37233275</v>
      </c>
      <c r="I80" s="252">
        <v>2.1773601999999999</v>
      </c>
      <c r="J80" s="252">
        <v>648.85333960000003</v>
      </c>
      <c r="K80" s="252">
        <v>0</v>
      </c>
      <c r="L80" s="252">
        <v>0</v>
      </c>
      <c r="M80" s="252">
        <v>0</v>
      </c>
      <c r="N80" s="252">
        <v>0</v>
      </c>
      <c r="O80" s="252">
        <v>1028.22567235</v>
      </c>
    </row>
    <row r="81" spans="1:30" s="234" customFormat="1" ht="12.75" x14ac:dyDescent="0.2">
      <c r="A81" s="259" t="s">
        <v>764</v>
      </c>
      <c r="B81" s="260" t="s">
        <v>790</v>
      </c>
      <c r="C81" s="260"/>
      <c r="D81" s="280"/>
      <c r="E81" s="280"/>
      <c r="F81" s="281">
        <v>480.03807832000001</v>
      </c>
      <c r="G81" s="281">
        <v>0.24640656999999999</v>
      </c>
      <c r="H81" s="281">
        <v>6.1601642500000002</v>
      </c>
      <c r="I81" s="281">
        <v>0.58586682999999995</v>
      </c>
      <c r="J81" s="281">
        <v>174.58831534000001</v>
      </c>
      <c r="K81" s="281">
        <v>0</v>
      </c>
      <c r="L81" s="281">
        <v>0</v>
      </c>
      <c r="M81" s="281">
        <v>0</v>
      </c>
      <c r="N81" s="281">
        <v>0</v>
      </c>
      <c r="O81" s="281">
        <v>660.78655791000006</v>
      </c>
    </row>
    <row r="82" spans="1:30" s="267" customFormat="1" ht="12.75" x14ac:dyDescent="0.2">
      <c r="A82" s="263" t="s">
        <v>791</v>
      </c>
      <c r="B82" s="264"/>
      <c r="C82" s="264"/>
      <c r="F82" s="223">
        <v>-29287.005676000001</v>
      </c>
      <c r="G82" s="223">
        <v>30.787701999999999</v>
      </c>
      <c r="H82" s="223">
        <v>769.69254999999998</v>
      </c>
      <c r="I82" s="223">
        <v>1.1131880000000001</v>
      </c>
      <c r="J82" s="223">
        <v>331.73002400000001</v>
      </c>
      <c r="K82" s="223">
        <v>0</v>
      </c>
      <c r="L82" s="223">
        <v>0</v>
      </c>
      <c r="M82" s="223">
        <v>0</v>
      </c>
      <c r="N82" s="223">
        <v>0</v>
      </c>
      <c r="O82" s="223">
        <v>-28185.583102000001</v>
      </c>
    </row>
    <row r="83" spans="1:30" s="234" customFormat="1" ht="12.75" x14ac:dyDescent="0.2">
      <c r="A83" s="224" t="s">
        <v>724</v>
      </c>
      <c r="B83" s="225" t="s">
        <v>792</v>
      </c>
      <c r="C83" s="225"/>
      <c r="F83" s="231">
        <v>-159465.70265200001</v>
      </c>
      <c r="G83" s="231">
        <v>12.523191000000001</v>
      </c>
      <c r="H83" s="231">
        <v>313.07977499999998</v>
      </c>
      <c r="I83" s="231">
        <v>0.474831</v>
      </c>
      <c r="J83" s="231">
        <v>141.499638</v>
      </c>
      <c r="K83" s="231">
        <v>0</v>
      </c>
      <c r="L83" s="231">
        <v>0</v>
      </c>
      <c r="M83" s="231">
        <v>0</v>
      </c>
      <c r="N83" s="231">
        <v>0</v>
      </c>
      <c r="O83" s="231">
        <v>-159011.12323900001</v>
      </c>
    </row>
    <row r="84" spans="1:30" s="234" customFormat="1" ht="12.75" x14ac:dyDescent="0.2">
      <c r="A84" s="224" t="s">
        <v>737</v>
      </c>
      <c r="B84" s="225" t="s">
        <v>793</v>
      </c>
      <c r="C84" s="225"/>
      <c r="F84" s="231">
        <v>-11853.965387</v>
      </c>
      <c r="G84" s="231">
        <v>3.0481560000000001</v>
      </c>
      <c r="H84" s="231">
        <v>76.203900000000004</v>
      </c>
      <c r="I84" s="231">
        <v>0.164435</v>
      </c>
      <c r="J84" s="231">
        <v>49.001629999999999</v>
      </c>
      <c r="K84" s="231">
        <v>0</v>
      </c>
      <c r="L84" s="231">
        <v>0</v>
      </c>
      <c r="M84" s="231">
        <v>0</v>
      </c>
      <c r="N84" s="231">
        <v>0</v>
      </c>
      <c r="O84" s="231">
        <v>-11728.759856999999</v>
      </c>
    </row>
    <row r="85" spans="1:30" s="234" customFormat="1" ht="12.75" x14ac:dyDescent="0.2">
      <c r="A85" s="278" t="s">
        <v>758</v>
      </c>
      <c r="B85" s="279" t="s">
        <v>794</v>
      </c>
      <c r="C85" s="279"/>
      <c r="F85" s="231">
        <v>0</v>
      </c>
      <c r="G85" s="231">
        <v>9.7294499999999999</v>
      </c>
      <c r="H85" s="231">
        <v>243.23625000000001</v>
      </c>
      <c r="I85" s="231">
        <v>0.25224000000000002</v>
      </c>
      <c r="J85" s="231">
        <v>75.167519999999996</v>
      </c>
      <c r="K85" s="231">
        <v>0</v>
      </c>
      <c r="L85" s="231">
        <v>0</v>
      </c>
      <c r="M85" s="231">
        <v>0</v>
      </c>
      <c r="N85" s="231">
        <v>0</v>
      </c>
      <c r="O85" s="231">
        <v>318.40377000000001</v>
      </c>
    </row>
    <row r="86" spans="1:30" s="234" customFormat="1" ht="12.75" x14ac:dyDescent="0.2">
      <c r="A86" s="278" t="s">
        <v>764</v>
      </c>
      <c r="B86" s="279" t="s">
        <v>795</v>
      </c>
      <c r="C86" s="279"/>
      <c r="F86" s="231">
        <v>2766.7139179999999</v>
      </c>
      <c r="G86" s="231">
        <v>1.0219849999999999</v>
      </c>
      <c r="H86" s="231">
        <v>25.549624999999999</v>
      </c>
      <c r="I86" s="231">
        <v>4.9252999999999998E-2</v>
      </c>
      <c r="J86" s="231">
        <v>14.677394</v>
      </c>
      <c r="K86" s="231">
        <v>0</v>
      </c>
      <c r="L86" s="231">
        <v>0</v>
      </c>
      <c r="M86" s="231">
        <v>0</v>
      </c>
      <c r="N86" s="231">
        <v>0</v>
      </c>
      <c r="O86" s="231">
        <v>2806.9409369999998</v>
      </c>
    </row>
    <row r="87" spans="1:30" s="234" customFormat="1" ht="12.75" x14ac:dyDescent="0.2">
      <c r="A87" s="278" t="s">
        <v>776</v>
      </c>
      <c r="B87" s="279" t="s">
        <v>796</v>
      </c>
      <c r="C87" s="279"/>
      <c r="D87" s="251"/>
      <c r="E87" s="251"/>
      <c r="F87" s="252">
        <v>3642.8369990000001</v>
      </c>
      <c r="G87" s="252">
        <v>4.4649200000000002</v>
      </c>
      <c r="H87" s="252">
        <v>111.623</v>
      </c>
      <c r="I87" s="252">
        <v>0.172429</v>
      </c>
      <c r="J87" s="252">
        <v>51.383842000000001</v>
      </c>
      <c r="K87" s="252">
        <v>0</v>
      </c>
      <c r="L87" s="252">
        <v>0</v>
      </c>
      <c r="M87" s="252">
        <v>0</v>
      </c>
      <c r="N87" s="252">
        <v>0</v>
      </c>
      <c r="O87" s="252">
        <v>3805.8438409999999</v>
      </c>
    </row>
    <row r="88" spans="1:30" s="234" customFormat="1" ht="12.75" x14ac:dyDescent="0.2">
      <c r="A88" s="259" t="s">
        <v>778</v>
      </c>
      <c r="B88" s="260" t="s">
        <v>797</v>
      </c>
      <c r="C88" s="260"/>
      <c r="D88" s="280"/>
      <c r="E88" s="280"/>
      <c r="F88" s="281">
        <v>135623.111446</v>
      </c>
      <c r="G88" s="281">
        <v>0</v>
      </c>
      <c r="H88" s="281">
        <v>0</v>
      </c>
      <c r="I88" s="281">
        <v>0</v>
      </c>
      <c r="J88" s="281">
        <v>0</v>
      </c>
      <c r="K88" s="281">
        <v>0</v>
      </c>
      <c r="L88" s="281">
        <v>0</v>
      </c>
      <c r="M88" s="281">
        <v>0</v>
      </c>
      <c r="N88" s="281">
        <v>0</v>
      </c>
      <c r="O88" s="281">
        <v>135623.111446</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810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815</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539497.498390703</v>
      </c>
      <c r="G7" s="218">
        <v>4085.48980030754</v>
      </c>
      <c r="H7" s="218">
        <v>102137.245007688</v>
      </c>
      <c r="I7" s="218">
        <v>125.748701503671</v>
      </c>
      <c r="J7" s="218">
        <v>37473.113048093997</v>
      </c>
      <c r="K7" s="218">
        <v>6808.3359703169499</v>
      </c>
      <c r="L7" s="218">
        <v>2510.7235382437698</v>
      </c>
      <c r="M7" s="218">
        <v>373.86907929387598</v>
      </c>
      <c r="N7" s="218">
        <v>0.159715358666667</v>
      </c>
      <c r="O7" s="218">
        <v>688800.94474969804</v>
      </c>
    </row>
    <row r="8" spans="1:16" ht="15.75" thickTop="1" x14ac:dyDescent="0.2">
      <c r="A8" s="220" t="s">
        <v>723</v>
      </c>
      <c r="B8" s="221"/>
      <c r="C8" s="221"/>
      <c r="F8" s="223">
        <v>503136.41174141801</v>
      </c>
      <c r="G8" s="223">
        <v>1896.12242614618</v>
      </c>
      <c r="H8" s="223">
        <v>47403.0606536544</v>
      </c>
      <c r="I8" s="223">
        <v>31.9871793801499</v>
      </c>
      <c r="J8" s="223">
        <v>9532.1794552846604</v>
      </c>
      <c r="K8" s="223">
        <v>0</v>
      </c>
      <c r="L8" s="223">
        <v>0</v>
      </c>
      <c r="M8" s="223">
        <v>0</v>
      </c>
      <c r="N8" s="223">
        <v>0</v>
      </c>
      <c r="O8" s="223">
        <v>560071.65185035695</v>
      </c>
    </row>
    <row r="9" spans="1:16" x14ac:dyDescent="0.2">
      <c r="A9" s="224" t="s">
        <v>724</v>
      </c>
      <c r="B9" s="225" t="s">
        <v>725</v>
      </c>
      <c r="C9" s="225"/>
      <c r="F9" s="226">
        <v>307161.43675030599</v>
      </c>
      <c r="G9" s="226">
        <v>202.60099956078</v>
      </c>
      <c r="H9" s="226">
        <v>5065.02498901949</v>
      </c>
      <c r="I9" s="226">
        <v>8.3732407584184898</v>
      </c>
      <c r="J9" s="226">
        <v>2495.2257460087098</v>
      </c>
      <c r="K9" s="226">
        <v>0</v>
      </c>
      <c r="L9" s="226">
        <v>0</v>
      </c>
      <c r="M9" s="226">
        <v>0</v>
      </c>
      <c r="N9" s="226">
        <v>0</v>
      </c>
      <c r="O9" s="226">
        <v>314721.687485334</v>
      </c>
      <c r="P9" s="227"/>
    </row>
    <row r="10" spans="1:16" x14ac:dyDescent="0.2">
      <c r="A10" s="228"/>
      <c r="B10" s="229" t="s">
        <v>726</v>
      </c>
      <c r="C10" s="230"/>
      <c r="F10" s="231">
        <v>98322.382850509995</v>
      </c>
      <c r="G10" s="231">
        <v>5.1592105184858497</v>
      </c>
      <c r="H10" s="231">
        <v>128.98026296214601</v>
      </c>
      <c r="I10" s="231">
        <v>2.08167984139935</v>
      </c>
      <c r="J10" s="231">
        <v>620.340592737007</v>
      </c>
      <c r="K10" s="231">
        <v>0</v>
      </c>
      <c r="L10" s="231">
        <v>0</v>
      </c>
      <c r="M10" s="231">
        <v>0</v>
      </c>
      <c r="N10" s="231">
        <v>0</v>
      </c>
      <c r="O10" s="231">
        <v>99071.703706209199</v>
      </c>
    </row>
    <row r="11" spans="1:16" x14ac:dyDescent="0.2">
      <c r="A11" s="228"/>
      <c r="B11" s="232" t="s">
        <v>727</v>
      </c>
      <c r="C11" s="230"/>
      <c r="F11" s="231">
        <v>18932.493544900601</v>
      </c>
      <c r="G11" s="231">
        <v>0.44674710484615798</v>
      </c>
      <c r="H11" s="231">
        <v>11.168677621154</v>
      </c>
      <c r="I11" s="231">
        <v>0.13903040107933601</v>
      </c>
      <c r="J11" s="231">
        <v>41.431059521642197</v>
      </c>
      <c r="K11" s="231">
        <v>0</v>
      </c>
      <c r="L11" s="231">
        <v>0</v>
      </c>
      <c r="M11" s="231">
        <v>0</v>
      </c>
      <c r="N11" s="231">
        <v>0</v>
      </c>
      <c r="O11" s="231">
        <v>18985.093282043399</v>
      </c>
    </row>
    <row r="12" spans="1:16" s="234" customFormat="1" ht="12.75" x14ac:dyDescent="0.2">
      <c r="A12" s="228"/>
      <c r="B12" s="232" t="s">
        <v>728</v>
      </c>
      <c r="C12" s="233"/>
      <c r="F12" s="231">
        <v>75587.112630838295</v>
      </c>
      <c r="G12" s="231">
        <v>76.440130771056403</v>
      </c>
      <c r="H12" s="231">
        <v>1911.00326927641</v>
      </c>
      <c r="I12" s="231">
        <v>1.6050463401000199</v>
      </c>
      <c r="J12" s="231">
        <v>478.30380934980701</v>
      </c>
      <c r="K12" s="231">
        <v>0</v>
      </c>
      <c r="L12" s="231">
        <v>0</v>
      </c>
      <c r="M12" s="231">
        <v>0</v>
      </c>
      <c r="N12" s="231">
        <v>0</v>
      </c>
      <c r="O12" s="231">
        <v>77976.419709464506</v>
      </c>
    </row>
    <row r="13" spans="1:16" s="234" customFormat="1" ht="12.75" x14ac:dyDescent="0.2">
      <c r="A13" s="228"/>
      <c r="B13" s="229" t="s">
        <v>729</v>
      </c>
      <c r="C13" s="229"/>
      <c r="F13" s="231">
        <v>39374.796116975398</v>
      </c>
      <c r="G13" s="231">
        <v>2.2731789014554602</v>
      </c>
      <c r="H13" s="231">
        <v>56.829472536386596</v>
      </c>
      <c r="I13" s="231">
        <v>1.6843818850366901</v>
      </c>
      <c r="J13" s="231">
        <v>501.94580174093198</v>
      </c>
      <c r="K13" s="231">
        <v>0</v>
      </c>
      <c r="L13" s="231">
        <v>0</v>
      </c>
      <c r="M13" s="231">
        <v>0</v>
      </c>
      <c r="N13" s="231">
        <v>0</v>
      </c>
      <c r="O13" s="231">
        <v>39933.571391252699</v>
      </c>
    </row>
    <row r="14" spans="1:16" s="237" customFormat="1" ht="12" x14ac:dyDescent="0.2">
      <c r="A14" s="235"/>
      <c r="B14" s="230"/>
      <c r="C14" s="236" t="s">
        <v>2</v>
      </c>
      <c r="F14" s="238">
        <v>4259.2995871213998</v>
      </c>
      <c r="G14" s="238">
        <v>0.118117614307144</v>
      </c>
      <c r="H14" s="238">
        <v>2.9529403576785902</v>
      </c>
      <c r="I14" s="238">
        <v>0.100729692514444</v>
      </c>
      <c r="J14" s="238">
        <v>30.017448369304201</v>
      </c>
      <c r="K14" s="238">
        <v>0</v>
      </c>
      <c r="L14" s="238">
        <v>0</v>
      </c>
      <c r="M14" s="238">
        <v>0</v>
      </c>
      <c r="N14" s="238">
        <v>0</v>
      </c>
      <c r="O14" s="238">
        <v>4292.2699758483895</v>
      </c>
    </row>
    <row r="15" spans="1:16" s="237" customFormat="1" ht="12" x14ac:dyDescent="0.2">
      <c r="A15" s="235"/>
      <c r="B15" s="230"/>
      <c r="C15" s="236" t="s">
        <v>730</v>
      </c>
      <c r="F15" s="238">
        <v>2914.04142854364</v>
      </c>
      <c r="G15" s="238">
        <v>6.6082331412193496E-2</v>
      </c>
      <c r="H15" s="238">
        <v>1.65205828530484</v>
      </c>
      <c r="I15" s="238">
        <v>5.4607192500534703E-2</v>
      </c>
      <c r="J15" s="238">
        <v>16.2729433651593</v>
      </c>
      <c r="K15" s="238">
        <v>0</v>
      </c>
      <c r="L15" s="238">
        <v>0</v>
      </c>
      <c r="M15" s="238">
        <v>0</v>
      </c>
      <c r="N15" s="238">
        <v>0</v>
      </c>
      <c r="O15" s="238">
        <v>2931.9664301941002</v>
      </c>
    </row>
    <row r="16" spans="1:16" s="237" customFormat="1" ht="12" x14ac:dyDescent="0.2">
      <c r="A16" s="235"/>
      <c r="B16" s="230"/>
      <c r="C16" s="236" t="s">
        <v>731</v>
      </c>
      <c r="F16" s="238">
        <v>8830.8368035021795</v>
      </c>
      <c r="G16" s="238">
        <v>0.17525357266542799</v>
      </c>
      <c r="H16" s="238">
        <v>4.3813393166357004</v>
      </c>
      <c r="I16" s="238">
        <v>0.15363999368312201</v>
      </c>
      <c r="J16" s="238">
        <v>45.784718117570399</v>
      </c>
      <c r="K16" s="238">
        <v>0</v>
      </c>
      <c r="L16" s="238">
        <v>0</v>
      </c>
      <c r="M16" s="238">
        <v>0</v>
      </c>
      <c r="N16" s="238">
        <v>0</v>
      </c>
      <c r="O16" s="238">
        <v>8881.0028609363908</v>
      </c>
    </row>
    <row r="17" spans="1:16" s="237" customFormat="1" ht="12" x14ac:dyDescent="0.2">
      <c r="A17" s="235"/>
      <c r="B17" s="230"/>
      <c r="C17" s="236" t="s">
        <v>732</v>
      </c>
      <c r="F17" s="238">
        <v>6134.1770703267603</v>
      </c>
      <c r="G17" s="238">
        <v>1.15898564560984</v>
      </c>
      <c r="H17" s="238">
        <v>28.974641140246099</v>
      </c>
      <c r="I17" s="238">
        <v>0.90104288735717797</v>
      </c>
      <c r="J17" s="238">
        <v>268.51078043243899</v>
      </c>
      <c r="K17" s="238">
        <v>0</v>
      </c>
      <c r="L17" s="238">
        <v>0</v>
      </c>
      <c r="M17" s="238">
        <v>0</v>
      </c>
      <c r="N17" s="238">
        <v>0</v>
      </c>
      <c r="O17" s="238">
        <v>6431.6624918994403</v>
      </c>
    </row>
    <row r="18" spans="1:16" s="237" customFormat="1" ht="12" x14ac:dyDescent="0.2">
      <c r="A18" s="235"/>
      <c r="B18" s="230"/>
      <c r="C18" s="236" t="s">
        <v>35</v>
      </c>
      <c r="F18" s="238">
        <v>4461.4264182207198</v>
      </c>
      <c r="G18" s="238">
        <v>0.20609815254075101</v>
      </c>
      <c r="H18" s="238">
        <v>5.1524538135187896</v>
      </c>
      <c r="I18" s="238">
        <v>5.0818125200830601E-2</v>
      </c>
      <c r="J18" s="238">
        <v>15.1438013098475</v>
      </c>
      <c r="K18" s="238">
        <v>0</v>
      </c>
      <c r="L18" s="238">
        <v>0</v>
      </c>
      <c r="M18" s="238">
        <v>0</v>
      </c>
      <c r="N18" s="238">
        <v>0</v>
      </c>
      <c r="O18" s="238">
        <v>4481.7226733440903</v>
      </c>
    </row>
    <row r="19" spans="1:16" s="237" customFormat="1" ht="12" x14ac:dyDescent="0.2">
      <c r="A19" s="235"/>
      <c r="B19" s="230"/>
      <c r="C19" s="236" t="s">
        <v>733</v>
      </c>
      <c r="F19" s="238">
        <v>12775.0148092607</v>
      </c>
      <c r="G19" s="238">
        <v>0.54864158492010195</v>
      </c>
      <c r="H19" s="238">
        <v>13.716039623002599</v>
      </c>
      <c r="I19" s="238">
        <v>0.423543993780577</v>
      </c>
      <c r="J19" s="238">
        <v>126.216110146612</v>
      </c>
      <c r="K19" s="238">
        <v>0</v>
      </c>
      <c r="L19" s="238">
        <v>0</v>
      </c>
      <c r="M19" s="238">
        <v>0</v>
      </c>
      <c r="N19" s="238">
        <v>0</v>
      </c>
      <c r="O19" s="238">
        <v>12914.9469590303</v>
      </c>
    </row>
    <row r="20" spans="1:16" s="234" customFormat="1" ht="12.75" x14ac:dyDescent="0.2">
      <c r="A20" s="228"/>
      <c r="B20" s="229" t="s">
        <v>734</v>
      </c>
      <c r="C20" s="239"/>
      <c r="F20" s="231">
        <v>1223.37951</v>
      </c>
      <c r="G20" s="231">
        <v>2.1197000000000001E-2</v>
      </c>
      <c r="H20" s="231">
        <v>0.52992499999999998</v>
      </c>
      <c r="I20" s="231">
        <v>3.09912E-2</v>
      </c>
      <c r="J20" s="231">
        <v>9.2353775999999996</v>
      </c>
      <c r="K20" s="231">
        <v>0</v>
      </c>
      <c r="L20" s="231">
        <v>0</v>
      </c>
      <c r="M20" s="231">
        <v>0</v>
      </c>
      <c r="N20" s="231">
        <v>0</v>
      </c>
      <c r="O20" s="231">
        <v>1233.1448126</v>
      </c>
    </row>
    <row r="21" spans="1:16" s="234" customFormat="1" ht="12.75" x14ac:dyDescent="0.2">
      <c r="A21" s="228"/>
      <c r="B21" s="229" t="s">
        <v>735</v>
      </c>
      <c r="C21" s="229"/>
      <c r="F21" s="231">
        <v>29571.674914351199</v>
      </c>
      <c r="G21" s="231">
        <v>0.56327715437832804</v>
      </c>
      <c r="H21" s="231">
        <v>14.0819288594582</v>
      </c>
      <c r="I21" s="231">
        <v>0.64346575975106302</v>
      </c>
      <c r="J21" s="231">
        <v>191.75279640581701</v>
      </c>
      <c r="K21" s="231">
        <v>0</v>
      </c>
      <c r="L21" s="231">
        <v>0</v>
      </c>
      <c r="M21" s="231">
        <v>0</v>
      </c>
      <c r="N21" s="231">
        <v>0</v>
      </c>
      <c r="O21" s="231">
        <v>29777.509639616499</v>
      </c>
    </row>
    <row r="22" spans="1:16" s="234" customFormat="1" ht="12.75" x14ac:dyDescent="0.2">
      <c r="A22" s="228"/>
      <c r="B22" s="229" t="s">
        <v>181</v>
      </c>
      <c r="C22" s="229"/>
      <c r="F22" s="231">
        <v>41572.628069999999</v>
      </c>
      <c r="G22" s="231">
        <v>117.65164671116599</v>
      </c>
      <c r="H22" s="231">
        <v>2941.2911677791499</v>
      </c>
      <c r="I22" s="231">
        <v>2.1161250829406502</v>
      </c>
      <c r="J22" s="231">
        <v>630.60527471631303</v>
      </c>
      <c r="K22" s="231">
        <v>0</v>
      </c>
      <c r="L22" s="231">
        <v>0</v>
      </c>
      <c r="M22" s="231">
        <v>0</v>
      </c>
      <c r="N22" s="231">
        <v>0</v>
      </c>
      <c r="O22" s="231">
        <v>45144.524512495504</v>
      </c>
    </row>
    <row r="23" spans="1:16" s="234" customFormat="1" ht="12.75" x14ac:dyDescent="0.2">
      <c r="A23" s="228"/>
      <c r="B23" s="229" t="s">
        <v>736</v>
      </c>
      <c r="C23" s="229"/>
      <c r="F23" s="231">
        <v>2576.9691127302199</v>
      </c>
      <c r="G23" s="231">
        <v>4.5611399391428997E-2</v>
      </c>
      <c r="H23" s="231">
        <v>1.1402849847857299</v>
      </c>
      <c r="I23" s="231">
        <v>7.2520248111379595E-2</v>
      </c>
      <c r="J23" s="231">
        <v>21.611033937191099</v>
      </c>
      <c r="K23" s="231">
        <v>0</v>
      </c>
      <c r="L23" s="231">
        <v>0</v>
      </c>
      <c r="M23" s="231">
        <v>0</v>
      </c>
      <c r="N23" s="231">
        <v>0</v>
      </c>
      <c r="O23" s="231">
        <v>2599.7204316521902</v>
      </c>
    </row>
    <row r="24" spans="1:16" s="240" customFormat="1" ht="14.25" x14ac:dyDescent="0.2">
      <c r="A24" s="224" t="s">
        <v>737</v>
      </c>
      <c r="B24" s="225" t="s">
        <v>738</v>
      </c>
      <c r="C24" s="225"/>
      <c r="F24" s="226">
        <v>182309.52645359299</v>
      </c>
      <c r="G24" s="226">
        <v>23.7301796375273</v>
      </c>
      <c r="H24" s="226">
        <v>593.25449093818304</v>
      </c>
      <c r="I24" s="226">
        <v>23.4652855951412</v>
      </c>
      <c r="J24" s="226">
        <v>6992.6551073520704</v>
      </c>
      <c r="K24" s="226">
        <v>0</v>
      </c>
      <c r="L24" s="226">
        <v>0</v>
      </c>
      <c r="M24" s="226">
        <v>0</v>
      </c>
      <c r="N24" s="226">
        <v>0</v>
      </c>
      <c r="O24" s="226">
        <v>189895.43605188301</v>
      </c>
      <c r="P24" s="241"/>
    </row>
    <row r="25" spans="1:16" s="234" customFormat="1" ht="12.75" x14ac:dyDescent="0.2">
      <c r="A25" s="228"/>
      <c r="B25" s="232" t="s">
        <v>739</v>
      </c>
      <c r="C25" s="229"/>
      <c r="F25" s="231">
        <v>6318.88444319257</v>
      </c>
      <c r="G25" s="231">
        <v>0.34903600400241502</v>
      </c>
      <c r="H25" s="231">
        <v>8.7259001000603593</v>
      </c>
      <c r="I25" s="231">
        <v>0.188821791729788</v>
      </c>
      <c r="J25" s="231">
        <v>56.268893935476697</v>
      </c>
      <c r="K25" s="231">
        <v>0</v>
      </c>
      <c r="L25" s="231">
        <v>0</v>
      </c>
      <c r="M25" s="231">
        <v>0</v>
      </c>
      <c r="N25" s="231">
        <v>0</v>
      </c>
      <c r="O25" s="231">
        <v>6383.8792372281096</v>
      </c>
    </row>
    <row r="26" spans="1:16" s="234" customFormat="1" ht="12.75" x14ac:dyDescent="0.2">
      <c r="A26" s="228"/>
      <c r="B26" s="229" t="s">
        <v>740</v>
      </c>
      <c r="C26" s="229"/>
      <c r="F26" s="231">
        <v>131894.58491337</v>
      </c>
      <c r="G26" s="231">
        <v>9.7077790833410607</v>
      </c>
      <c r="H26" s="231">
        <v>242.694477083527</v>
      </c>
      <c r="I26" s="231">
        <v>12.428560552299601</v>
      </c>
      <c r="J26" s="231">
        <v>3703.71104458528</v>
      </c>
      <c r="K26" s="231">
        <v>0</v>
      </c>
      <c r="L26" s="231">
        <v>0</v>
      </c>
      <c r="M26" s="231">
        <v>0</v>
      </c>
      <c r="N26" s="231">
        <v>0</v>
      </c>
      <c r="O26" s="231">
        <v>135840.99043503901</v>
      </c>
    </row>
    <row r="27" spans="1:16" s="237" customFormat="1" ht="12" x14ac:dyDescent="0.2">
      <c r="A27" s="235"/>
      <c r="B27" s="230"/>
      <c r="C27" s="236" t="s">
        <v>741</v>
      </c>
      <c r="F27" s="238">
        <v>38354.331896174699</v>
      </c>
      <c r="G27" s="238">
        <v>3.5665770035717501</v>
      </c>
      <c r="H27" s="238">
        <v>89.164425089293701</v>
      </c>
      <c r="I27" s="238">
        <v>4.2423779540724302</v>
      </c>
      <c r="J27" s="238">
        <v>1264.22863031358</v>
      </c>
      <c r="K27" s="238">
        <v>0</v>
      </c>
      <c r="L27" s="238">
        <v>0</v>
      </c>
      <c r="M27" s="238">
        <v>0</v>
      </c>
      <c r="N27" s="238">
        <v>0</v>
      </c>
      <c r="O27" s="238">
        <v>39707.724951577497</v>
      </c>
    </row>
    <row r="28" spans="1:16" s="237" customFormat="1" ht="12" x14ac:dyDescent="0.2">
      <c r="A28" s="235"/>
      <c r="B28" s="230"/>
      <c r="C28" s="236" t="s">
        <v>742</v>
      </c>
      <c r="F28" s="238">
        <v>39725.6805300876</v>
      </c>
      <c r="G28" s="238">
        <v>3.7116763814568698</v>
      </c>
      <c r="H28" s="238">
        <v>92.791909536421699</v>
      </c>
      <c r="I28" s="238">
        <v>5.0080070929487501</v>
      </c>
      <c r="J28" s="238">
        <v>1492.38611369873</v>
      </c>
      <c r="K28" s="238">
        <v>0</v>
      </c>
      <c r="L28" s="238">
        <v>0</v>
      </c>
      <c r="M28" s="238">
        <v>0</v>
      </c>
      <c r="N28" s="238">
        <v>0</v>
      </c>
      <c r="O28" s="238">
        <v>41310.858553322701</v>
      </c>
    </row>
    <row r="29" spans="1:16" s="237" customFormat="1" ht="12" x14ac:dyDescent="0.2">
      <c r="A29" s="235"/>
      <c r="B29" s="230"/>
      <c r="C29" s="236" t="s">
        <v>743</v>
      </c>
      <c r="F29" s="238">
        <v>12320.8832238914</v>
      </c>
      <c r="G29" s="238">
        <v>0.57923546702676898</v>
      </c>
      <c r="H29" s="238">
        <v>14.480886675669201</v>
      </c>
      <c r="I29" s="238">
        <v>0.94245106865921702</v>
      </c>
      <c r="J29" s="238">
        <v>280.85041846044697</v>
      </c>
      <c r="K29" s="238">
        <v>0</v>
      </c>
      <c r="L29" s="238">
        <v>0</v>
      </c>
      <c r="M29" s="238">
        <v>0</v>
      </c>
      <c r="N29" s="238">
        <v>0</v>
      </c>
      <c r="O29" s="238">
        <v>12616.2145290275</v>
      </c>
    </row>
    <row r="30" spans="1:16" s="237" customFormat="1" ht="12" x14ac:dyDescent="0.2">
      <c r="A30" s="235"/>
      <c r="B30" s="230"/>
      <c r="C30" s="236" t="s">
        <v>744</v>
      </c>
      <c r="F30" s="238">
        <v>243.83751772041501</v>
      </c>
      <c r="G30" s="238">
        <v>0.104380677975502</v>
      </c>
      <c r="H30" s="238">
        <v>2.6095169493875501</v>
      </c>
      <c r="I30" s="238">
        <v>4.5355439273715098E-3</v>
      </c>
      <c r="J30" s="238">
        <v>1.35159209035671</v>
      </c>
      <c r="K30" s="238">
        <v>0</v>
      </c>
      <c r="L30" s="238">
        <v>0</v>
      </c>
      <c r="M30" s="238">
        <v>0</v>
      </c>
      <c r="N30" s="238">
        <v>0</v>
      </c>
      <c r="O30" s="238">
        <v>247.79862676016</v>
      </c>
      <c r="P30" s="242"/>
    </row>
    <row r="31" spans="1:16" s="237" customFormat="1" ht="12" x14ac:dyDescent="0.2">
      <c r="A31" s="235"/>
      <c r="B31" s="230"/>
      <c r="C31" s="236" t="s">
        <v>745</v>
      </c>
      <c r="F31" s="238">
        <v>568.46390669143295</v>
      </c>
      <c r="G31" s="238">
        <v>1.11940103914339E-2</v>
      </c>
      <c r="H31" s="238">
        <v>0.27985025978584799</v>
      </c>
      <c r="I31" s="238">
        <v>4.5775471450448503E-2</v>
      </c>
      <c r="J31" s="238">
        <v>13.6410904922336</v>
      </c>
      <c r="K31" s="238">
        <v>0</v>
      </c>
      <c r="L31" s="238">
        <v>0</v>
      </c>
      <c r="M31" s="238">
        <v>0</v>
      </c>
      <c r="N31" s="238">
        <v>0</v>
      </c>
      <c r="O31" s="238">
        <v>582.38484744345305</v>
      </c>
    </row>
    <row r="32" spans="1:16" s="237" customFormat="1" ht="12" x14ac:dyDescent="0.2">
      <c r="A32" s="235"/>
      <c r="B32" s="230"/>
      <c r="C32" s="236" t="s">
        <v>746</v>
      </c>
      <c r="D32" s="243"/>
      <c r="E32" s="243"/>
      <c r="F32" s="244">
        <v>347.63293981474999</v>
      </c>
      <c r="G32" s="244">
        <v>8.7933410742032595E-3</v>
      </c>
      <c r="H32" s="244">
        <v>0.21983352685508101</v>
      </c>
      <c r="I32" s="244">
        <v>2.7784250541968598E-2</v>
      </c>
      <c r="J32" s="244">
        <v>8.2797066615066495</v>
      </c>
      <c r="K32" s="244">
        <v>0</v>
      </c>
      <c r="L32" s="244">
        <v>0</v>
      </c>
      <c r="M32" s="244">
        <v>0</v>
      </c>
      <c r="N32" s="244">
        <v>0</v>
      </c>
      <c r="O32" s="244">
        <v>356.13248000311199</v>
      </c>
    </row>
    <row r="33" spans="1:15" s="237" customFormat="1" ht="12" x14ac:dyDescent="0.2">
      <c r="A33" s="235"/>
      <c r="B33" s="230"/>
      <c r="C33" s="236" t="s">
        <v>747</v>
      </c>
      <c r="D33" s="243"/>
      <c r="E33" s="243"/>
      <c r="F33" s="244">
        <v>40244.935895772804</v>
      </c>
      <c r="G33" s="244">
        <v>1.6859742941721101</v>
      </c>
      <c r="H33" s="244">
        <v>42.149357354302701</v>
      </c>
      <c r="I33" s="244">
        <v>2.1559805327852399</v>
      </c>
      <c r="J33" s="244">
        <v>642.48219877000201</v>
      </c>
      <c r="K33" s="244">
        <v>0</v>
      </c>
      <c r="L33" s="244">
        <v>0</v>
      </c>
      <c r="M33" s="244">
        <v>0</v>
      </c>
      <c r="N33" s="244">
        <v>0</v>
      </c>
      <c r="O33" s="244">
        <v>40929.567451897099</v>
      </c>
    </row>
    <row r="34" spans="1:15" s="237" customFormat="1" ht="12" x14ac:dyDescent="0.2">
      <c r="A34" s="235"/>
      <c r="B34" s="230"/>
      <c r="C34" s="245" t="s">
        <v>748</v>
      </c>
      <c r="D34" s="243"/>
      <c r="E34" s="243"/>
      <c r="F34" s="244">
        <v>88.8190032167781</v>
      </c>
      <c r="G34" s="244">
        <v>3.9947907672429901E-2</v>
      </c>
      <c r="H34" s="244">
        <v>0.99869769181074597</v>
      </c>
      <c r="I34" s="244">
        <v>1.64863791415898E-3</v>
      </c>
      <c r="J34" s="244">
        <v>0.49129409841937599</v>
      </c>
      <c r="K34" s="244">
        <v>0</v>
      </c>
      <c r="L34" s="244">
        <v>0</v>
      </c>
      <c r="M34" s="244">
        <v>0</v>
      </c>
      <c r="N34" s="244">
        <v>0</v>
      </c>
      <c r="O34" s="244">
        <v>90.308995007008207</v>
      </c>
    </row>
    <row r="35" spans="1:15" s="249" customFormat="1" ht="12.75" x14ac:dyDescent="0.2">
      <c r="A35" s="228"/>
      <c r="B35" s="229" t="s">
        <v>749</v>
      </c>
      <c r="C35" s="246"/>
      <c r="D35" s="247"/>
      <c r="E35" s="247"/>
      <c r="F35" s="248">
        <v>4553.5798333270004</v>
      </c>
      <c r="G35" s="248">
        <v>0.25711545547596898</v>
      </c>
      <c r="H35" s="248">
        <v>6.42788638689923</v>
      </c>
      <c r="I35" s="248">
        <v>1.7725641665595</v>
      </c>
      <c r="J35" s="248">
        <v>528.22412163472995</v>
      </c>
      <c r="K35" s="248">
        <v>0</v>
      </c>
      <c r="L35" s="248">
        <v>0</v>
      </c>
      <c r="M35" s="248">
        <v>0</v>
      </c>
      <c r="N35" s="248">
        <v>0</v>
      </c>
      <c r="O35" s="248">
        <v>5088.23184134863</v>
      </c>
    </row>
    <row r="36" spans="1:15" s="249" customFormat="1" ht="12.75" x14ac:dyDescent="0.2">
      <c r="A36" s="228"/>
      <c r="B36" s="232" t="s">
        <v>750</v>
      </c>
      <c r="C36" s="246"/>
      <c r="D36" s="247"/>
      <c r="E36" s="247"/>
      <c r="F36" s="248">
        <v>6429.7198084510601</v>
      </c>
      <c r="G36" s="248">
        <v>0.58819383222680299</v>
      </c>
      <c r="H36" s="248">
        <v>14.7048458056701</v>
      </c>
      <c r="I36" s="248">
        <v>0.168088879365142</v>
      </c>
      <c r="J36" s="248">
        <v>50.090486050812402</v>
      </c>
      <c r="K36" s="248">
        <v>0</v>
      </c>
      <c r="L36" s="248">
        <v>0</v>
      </c>
      <c r="M36" s="248">
        <v>0</v>
      </c>
      <c r="N36" s="248">
        <v>0</v>
      </c>
      <c r="O36" s="248">
        <v>6494.5151403075397</v>
      </c>
    </row>
    <row r="37" spans="1:15" s="234" customFormat="1" ht="12.75" x14ac:dyDescent="0.2">
      <c r="A37" s="228"/>
      <c r="B37" s="229" t="s">
        <v>751</v>
      </c>
      <c r="C37" s="250"/>
      <c r="D37" s="251"/>
      <c r="E37" s="251"/>
      <c r="F37" s="252">
        <v>33112.7574552527</v>
      </c>
      <c r="G37" s="252">
        <v>12.828055262481101</v>
      </c>
      <c r="H37" s="252">
        <v>320.70138156202597</v>
      </c>
      <c r="I37" s="252">
        <v>8.9072502051871592</v>
      </c>
      <c r="J37" s="252">
        <v>2654.3605611457701</v>
      </c>
      <c r="K37" s="252">
        <v>0</v>
      </c>
      <c r="L37" s="252">
        <v>0</v>
      </c>
      <c r="M37" s="252">
        <v>0</v>
      </c>
      <c r="N37" s="252">
        <v>0</v>
      </c>
      <c r="O37" s="252">
        <v>36087.819397960498</v>
      </c>
    </row>
    <row r="38" spans="1:15" s="237" customFormat="1" ht="12" x14ac:dyDescent="0.2">
      <c r="A38" s="235"/>
      <c r="B38" s="230"/>
      <c r="C38" s="236" t="s">
        <v>752</v>
      </c>
      <c r="F38" s="238">
        <v>10365.6047315053</v>
      </c>
      <c r="G38" s="238">
        <v>0.64964817239044803</v>
      </c>
      <c r="H38" s="238">
        <v>16.241204309761201</v>
      </c>
      <c r="I38" s="238">
        <v>4.0025477850882298</v>
      </c>
      <c r="J38" s="238">
        <v>1192.75923995629</v>
      </c>
      <c r="K38" s="238">
        <v>0</v>
      </c>
      <c r="L38" s="238">
        <v>0</v>
      </c>
      <c r="M38" s="238">
        <v>0</v>
      </c>
      <c r="N38" s="238">
        <v>0</v>
      </c>
      <c r="O38" s="238">
        <v>11574.605175771399</v>
      </c>
    </row>
    <row r="39" spans="1:15" s="237" customFormat="1" ht="12" x14ac:dyDescent="0.2">
      <c r="A39" s="235"/>
      <c r="B39" s="230"/>
      <c r="C39" s="236" t="s">
        <v>753</v>
      </c>
      <c r="F39" s="238">
        <v>1709.30745899514</v>
      </c>
      <c r="G39" s="238">
        <v>1.02233065167519</v>
      </c>
      <c r="H39" s="238">
        <v>25.5582662918799</v>
      </c>
      <c r="I39" s="238">
        <v>0.45740873945729699</v>
      </c>
      <c r="J39" s="238">
        <v>136.30780435827501</v>
      </c>
      <c r="K39" s="238">
        <v>0</v>
      </c>
      <c r="L39" s="238">
        <v>0</v>
      </c>
      <c r="M39" s="238">
        <v>0</v>
      </c>
      <c r="N39" s="238">
        <v>0</v>
      </c>
      <c r="O39" s="238">
        <v>1871.17352964529</v>
      </c>
    </row>
    <row r="40" spans="1:15" s="237" customFormat="1" ht="12" x14ac:dyDescent="0.2">
      <c r="A40" s="235"/>
      <c r="B40" s="230"/>
      <c r="C40" s="236" t="s">
        <v>754</v>
      </c>
      <c r="F40" s="238">
        <v>10239.5806857404</v>
      </c>
      <c r="G40" s="238">
        <v>0.91144355832327595</v>
      </c>
      <c r="H40" s="238">
        <v>22.786088958081901</v>
      </c>
      <c r="I40" s="238">
        <v>3.6980043912987899</v>
      </c>
      <c r="J40" s="238">
        <v>1102.00530860704</v>
      </c>
      <c r="K40" s="238">
        <v>0</v>
      </c>
      <c r="L40" s="238">
        <v>0</v>
      </c>
      <c r="M40" s="238">
        <v>0</v>
      </c>
      <c r="N40" s="238">
        <v>0</v>
      </c>
      <c r="O40" s="238">
        <v>11364.372083305499</v>
      </c>
    </row>
    <row r="41" spans="1:15" s="237" customFormat="1" ht="12" x14ac:dyDescent="0.2">
      <c r="A41" s="235"/>
      <c r="B41" s="230"/>
      <c r="C41" s="236" t="s">
        <v>755</v>
      </c>
      <c r="F41" s="238">
        <v>563.61238740896101</v>
      </c>
      <c r="G41" s="238">
        <v>0.49966907918562398</v>
      </c>
      <c r="H41" s="238">
        <v>12.4917269796406</v>
      </c>
      <c r="I41" s="238">
        <v>6.7662616370142495E-2</v>
      </c>
      <c r="J41" s="238">
        <v>20.163459678302502</v>
      </c>
      <c r="K41" s="238">
        <v>0</v>
      </c>
      <c r="L41" s="238">
        <v>0</v>
      </c>
      <c r="M41" s="238">
        <v>0</v>
      </c>
      <c r="N41" s="238">
        <v>0</v>
      </c>
      <c r="O41" s="238">
        <v>596.26757406690501</v>
      </c>
    </row>
    <row r="42" spans="1:15" s="237" customFormat="1" ht="12" x14ac:dyDescent="0.2">
      <c r="A42" s="235"/>
      <c r="B42" s="230"/>
      <c r="C42" s="236" t="s">
        <v>756</v>
      </c>
      <c r="F42" s="238">
        <v>4077.22209160285</v>
      </c>
      <c r="G42" s="238">
        <v>3.5757136759065098</v>
      </c>
      <c r="H42" s="238">
        <v>89.392841897662805</v>
      </c>
      <c r="I42" s="238">
        <v>0.51180467297269705</v>
      </c>
      <c r="J42" s="238">
        <v>152.51779254586401</v>
      </c>
      <c r="K42" s="238">
        <v>0</v>
      </c>
      <c r="L42" s="238">
        <v>0</v>
      </c>
      <c r="M42" s="238">
        <v>0</v>
      </c>
      <c r="N42" s="238">
        <v>0</v>
      </c>
      <c r="O42" s="238">
        <v>4319.1327260463804</v>
      </c>
    </row>
    <row r="43" spans="1:15" s="237" customFormat="1" ht="12" x14ac:dyDescent="0.2">
      <c r="A43" s="235"/>
      <c r="B43" s="230"/>
      <c r="C43" s="253" t="s">
        <v>757</v>
      </c>
      <c r="F43" s="238">
        <v>6157.4300999999996</v>
      </c>
      <c r="G43" s="238">
        <v>6.1692501249999996</v>
      </c>
      <c r="H43" s="238">
        <v>154.23125312499999</v>
      </c>
      <c r="I43" s="238">
        <v>0.169822</v>
      </c>
      <c r="J43" s="238">
        <v>50.606955999999997</v>
      </c>
      <c r="K43" s="238">
        <v>0</v>
      </c>
      <c r="L43" s="238">
        <v>0</v>
      </c>
      <c r="M43" s="238">
        <v>0</v>
      </c>
      <c r="N43" s="238">
        <v>0</v>
      </c>
      <c r="O43" s="238">
        <v>6362.2683091250001</v>
      </c>
    </row>
    <row r="44" spans="1:15" s="240" customFormat="1" ht="12.75" x14ac:dyDescent="0.2">
      <c r="A44" s="224" t="s">
        <v>758</v>
      </c>
      <c r="B44" s="225" t="s">
        <v>759</v>
      </c>
      <c r="C44" s="225"/>
      <c r="F44" s="226">
        <v>13665.3631375195</v>
      </c>
      <c r="G44" s="226">
        <v>1669.7912469478699</v>
      </c>
      <c r="H44" s="226">
        <v>41744.7811736968</v>
      </c>
      <c r="I44" s="226">
        <v>0.148653026590193</v>
      </c>
      <c r="J44" s="226">
        <v>44.298601923877598</v>
      </c>
      <c r="K44" s="226">
        <v>0</v>
      </c>
      <c r="L44" s="226">
        <v>0</v>
      </c>
      <c r="M44" s="226">
        <v>0</v>
      </c>
      <c r="N44" s="226">
        <v>0</v>
      </c>
      <c r="O44" s="226">
        <v>55454.442913140098</v>
      </c>
    </row>
    <row r="45" spans="1:15" s="234" customFormat="1" ht="12.75" x14ac:dyDescent="0.2">
      <c r="A45" s="228"/>
      <c r="B45" s="229" t="s">
        <v>760</v>
      </c>
      <c r="C45" s="229"/>
      <c r="F45" s="231">
        <v>0</v>
      </c>
      <c r="G45" s="231">
        <v>48.021655780837897</v>
      </c>
      <c r="H45" s="231">
        <v>1200.54139452095</v>
      </c>
      <c r="I45" s="231">
        <v>0</v>
      </c>
      <c r="J45" s="231">
        <v>0</v>
      </c>
      <c r="K45" s="231">
        <v>0</v>
      </c>
      <c r="L45" s="231">
        <v>0</v>
      </c>
      <c r="M45" s="231">
        <v>0</v>
      </c>
      <c r="N45" s="231">
        <v>0</v>
      </c>
      <c r="O45" s="231">
        <v>1200.54139452095</v>
      </c>
    </row>
    <row r="46" spans="1:15" s="234" customFormat="1" ht="12.75" x14ac:dyDescent="0.2">
      <c r="A46" s="228"/>
      <c r="B46" s="229" t="s">
        <v>761</v>
      </c>
      <c r="C46" s="229"/>
      <c r="F46" s="231">
        <v>13665.3631375195</v>
      </c>
      <c r="G46" s="231">
        <v>1621.7695911670301</v>
      </c>
      <c r="H46" s="231">
        <v>40544.239779175798</v>
      </c>
      <c r="I46" s="231">
        <v>0.148653026590193</v>
      </c>
      <c r="J46" s="231">
        <v>44.298601923877598</v>
      </c>
      <c r="K46" s="231">
        <v>0</v>
      </c>
      <c r="L46" s="231">
        <v>0</v>
      </c>
      <c r="M46" s="231">
        <v>0</v>
      </c>
      <c r="N46" s="231">
        <v>0</v>
      </c>
      <c r="O46" s="231">
        <v>54253.901518619197</v>
      </c>
    </row>
    <row r="47" spans="1:15" s="237" customFormat="1" ht="12" x14ac:dyDescent="0.2">
      <c r="A47" s="254"/>
      <c r="B47" s="255"/>
      <c r="C47" s="230" t="s">
        <v>762</v>
      </c>
      <c r="F47" s="238">
        <v>205.25151769891099</v>
      </c>
      <c r="G47" s="238">
        <v>226.714955013522</v>
      </c>
      <c r="H47" s="238">
        <v>5667.8738753380503</v>
      </c>
      <c r="I47" s="238">
        <v>0.1129138385074</v>
      </c>
      <c r="J47" s="238">
        <v>33.6483238752052</v>
      </c>
      <c r="K47" s="238">
        <v>0</v>
      </c>
      <c r="L47" s="238">
        <v>0</v>
      </c>
      <c r="M47" s="238">
        <v>0</v>
      </c>
      <c r="N47" s="238">
        <v>0</v>
      </c>
      <c r="O47" s="238">
        <v>5906.7737169121601</v>
      </c>
    </row>
    <row r="48" spans="1:15" s="237" customFormat="1" ht="12" x14ac:dyDescent="0.2">
      <c r="A48" s="254"/>
      <c r="B48" s="255"/>
      <c r="C48" s="230" t="s">
        <v>763</v>
      </c>
      <c r="F48" s="238">
        <v>66.776528674956097</v>
      </c>
      <c r="G48" s="238">
        <v>506.14341987412803</v>
      </c>
      <c r="H48" s="238">
        <v>12653.5854968532</v>
      </c>
      <c r="I48" s="238">
        <v>0</v>
      </c>
      <c r="J48" s="238">
        <v>0</v>
      </c>
      <c r="K48" s="238">
        <v>0</v>
      </c>
      <c r="L48" s="238">
        <v>0</v>
      </c>
      <c r="M48" s="238">
        <v>0</v>
      </c>
      <c r="N48" s="238">
        <v>0</v>
      </c>
      <c r="O48" s="238">
        <v>12720.3620255282</v>
      </c>
    </row>
    <row r="49" spans="1:16" s="237" customFormat="1" ht="12" x14ac:dyDescent="0.2">
      <c r="A49" s="256"/>
      <c r="B49" s="257"/>
      <c r="C49" s="258" t="s">
        <v>380</v>
      </c>
      <c r="D49" s="243"/>
      <c r="E49" s="243"/>
      <c r="F49" s="244">
        <v>8974.3890868225208</v>
      </c>
      <c r="G49" s="244">
        <v>870.48411943329802</v>
      </c>
      <c r="H49" s="244">
        <v>21762.102985832498</v>
      </c>
      <c r="I49" s="244">
        <v>0</v>
      </c>
      <c r="J49" s="244">
        <v>0</v>
      </c>
      <c r="K49" s="244">
        <v>0</v>
      </c>
      <c r="L49" s="244">
        <v>0</v>
      </c>
      <c r="M49" s="244">
        <v>0</v>
      </c>
      <c r="N49" s="244">
        <v>0</v>
      </c>
      <c r="O49" s="244">
        <v>30736.492072655001</v>
      </c>
    </row>
    <row r="50" spans="1:16" s="237" customFormat="1" ht="12" x14ac:dyDescent="0.2">
      <c r="A50" s="256"/>
      <c r="B50" s="257"/>
      <c r="C50" s="258" t="s">
        <v>381</v>
      </c>
      <c r="D50" s="243"/>
      <c r="E50" s="243"/>
      <c r="F50" s="244">
        <v>4418.9460043231202</v>
      </c>
      <c r="G50" s="244">
        <v>18.427096846084002</v>
      </c>
      <c r="H50" s="244">
        <v>460.67742115210001</v>
      </c>
      <c r="I50" s="244">
        <v>3.5739188082793402E-2</v>
      </c>
      <c r="J50" s="244">
        <v>10.6502780486724</v>
      </c>
      <c r="K50" s="244">
        <v>0</v>
      </c>
      <c r="L50" s="244">
        <v>0</v>
      </c>
      <c r="M50" s="244">
        <v>0</v>
      </c>
      <c r="N50" s="244">
        <v>0</v>
      </c>
      <c r="O50" s="244">
        <v>4890.2737035238897</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34051.478647687603</v>
      </c>
      <c r="G52" s="266">
        <v>2.8083115349319501</v>
      </c>
      <c r="H52" s="266">
        <v>70.207788373298698</v>
      </c>
      <c r="I52" s="266">
        <v>6.7130015945685901</v>
      </c>
      <c r="J52" s="266">
        <v>2000.4744751814401</v>
      </c>
      <c r="K52" s="266">
        <v>6808.3359703169499</v>
      </c>
      <c r="L52" s="266">
        <v>2510.7235382437698</v>
      </c>
      <c r="M52" s="266">
        <v>373.86907929387598</v>
      </c>
      <c r="N52" s="266">
        <v>0.159715358666667</v>
      </c>
      <c r="O52" s="266">
        <v>45815.249214455602</v>
      </c>
    </row>
    <row r="53" spans="1:16" s="240" customFormat="1" ht="12.75" x14ac:dyDescent="0.2">
      <c r="A53" s="224" t="s">
        <v>724</v>
      </c>
      <c r="B53" s="225" t="s">
        <v>767</v>
      </c>
      <c r="C53" s="225"/>
      <c r="D53" s="268"/>
      <c r="E53" s="268"/>
      <c r="F53" s="269">
        <v>7188.7750335953597</v>
      </c>
      <c r="G53" s="269">
        <v>0</v>
      </c>
      <c r="H53" s="269">
        <v>0</v>
      </c>
      <c r="I53" s="269">
        <v>0</v>
      </c>
      <c r="J53" s="269">
        <v>0</v>
      </c>
      <c r="K53" s="269">
        <v>0</v>
      </c>
      <c r="L53" s="269">
        <v>0</v>
      </c>
      <c r="M53" s="269">
        <v>0</v>
      </c>
      <c r="N53" s="269">
        <v>0</v>
      </c>
      <c r="O53" s="269">
        <v>7188.7750335953597</v>
      </c>
    </row>
    <row r="54" spans="1:16" s="273" customFormat="1" ht="12" x14ac:dyDescent="0.2">
      <c r="A54" s="235"/>
      <c r="B54" s="270"/>
      <c r="C54" s="236" t="s">
        <v>560</v>
      </c>
      <c r="D54" s="271"/>
      <c r="E54" s="271"/>
      <c r="F54" s="272">
        <v>5391.0393333908196</v>
      </c>
      <c r="G54" s="272">
        <v>0</v>
      </c>
      <c r="H54" s="272">
        <v>0</v>
      </c>
      <c r="I54" s="272">
        <v>0</v>
      </c>
      <c r="J54" s="272">
        <v>0</v>
      </c>
      <c r="K54" s="272">
        <v>0</v>
      </c>
      <c r="L54" s="272">
        <v>0</v>
      </c>
      <c r="M54" s="272">
        <v>0</v>
      </c>
      <c r="N54" s="272">
        <v>0</v>
      </c>
      <c r="O54" s="272">
        <v>5391.0393333908196</v>
      </c>
      <c r="P54" s="271"/>
    </row>
    <row r="55" spans="1:16" s="273" customFormat="1" ht="12" x14ac:dyDescent="0.2">
      <c r="A55" s="235"/>
      <c r="B55" s="270"/>
      <c r="C55" s="236" t="s">
        <v>191</v>
      </c>
      <c r="D55" s="271"/>
      <c r="E55" s="271"/>
      <c r="F55" s="272">
        <v>1186.20592584977</v>
      </c>
      <c r="G55" s="272">
        <v>0</v>
      </c>
      <c r="H55" s="272">
        <v>0</v>
      </c>
      <c r="I55" s="272">
        <v>0</v>
      </c>
      <c r="J55" s="272">
        <v>0</v>
      </c>
      <c r="K55" s="272">
        <v>0</v>
      </c>
      <c r="L55" s="272">
        <v>0</v>
      </c>
      <c r="M55" s="272">
        <v>0</v>
      </c>
      <c r="N55" s="272">
        <v>0</v>
      </c>
      <c r="O55" s="272">
        <v>1186.20592584977</v>
      </c>
      <c r="P55" s="271"/>
    </row>
    <row r="56" spans="1:16" s="273" customFormat="1" ht="12" x14ac:dyDescent="0.2">
      <c r="A56" s="235"/>
      <c r="B56" s="270"/>
      <c r="C56" s="236" t="s">
        <v>768</v>
      </c>
      <c r="D56" s="271"/>
      <c r="E56" s="271"/>
      <c r="F56" s="272">
        <v>611.52977435477897</v>
      </c>
      <c r="G56" s="272">
        <v>0</v>
      </c>
      <c r="H56" s="272">
        <v>0</v>
      </c>
      <c r="I56" s="272">
        <v>0</v>
      </c>
      <c r="J56" s="272">
        <v>0</v>
      </c>
      <c r="K56" s="272">
        <v>0</v>
      </c>
      <c r="L56" s="272">
        <v>0</v>
      </c>
      <c r="M56" s="272">
        <v>0</v>
      </c>
      <c r="N56" s="272">
        <v>0</v>
      </c>
      <c r="O56" s="272">
        <v>611.52977435477897</v>
      </c>
      <c r="P56" s="271"/>
    </row>
    <row r="57" spans="1:16" s="275" customFormat="1" ht="12.75" x14ac:dyDescent="0.2">
      <c r="A57" s="224" t="s">
        <v>737</v>
      </c>
      <c r="B57" s="225" t="s">
        <v>769</v>
      </c>
      <c r="C57" s="225"/>
      <c r="D57" s="274"/>
      <c r="E57" s="274"/>
      <c r="F57" s="269">
        <v>4052.5658949537201</v>
      </c>
      <c r="G57" s="269">
        <v>2.7337915349319499</v>
      </c>
      <c r="H57" s="269">
        <v>68.344788373298698</v>
      </c>
      <c r="I57" s="269">
        <v>5.8727222662562601</v>
      </c>
      <c r="J57" s="269">
        <v>1750.07123534436</v>
      </c>
      <c r="K57" s="269">
        <v>0</v>
      </c>
      <c r="L57" s="269">
        <v>0</v>
      </c>
      <c r="M57" s="269">
        <v>0</v>
      </c>
      <c r="N57" s="269">
        <v>0</v>
      </c>
      <c r="O57" s="269">
        <v>5870.9819186713903</v>
      </c>
      <c r="P57" s="274"/>
    </row>
    <row r="58" spans="1:16" s="277" customFormat="1" ht="12" x14ac:dyDescent="0.2">
      <c r="A58" s="235"/>
      <c r="B58" s="270"/>
      <c r="C58" s="236" t="s">
        <v>192</v>
      </c>
      <c r="D58" s="276"/>
      <c r="E58" s="276"/>
      <c r="F58" s="272">
        <v>2400.66202738946</v>
      </c>
      <c r="G58" s="272">
        <v>0</v>
      </c>
      <c r="H58" s="272">
        <v>0</v>
      </c>
      <c r="I58" s="272">
        <v>0</v>
      </c>
      <c r="J58" s="272">
        <v>0</v>
      </c>
      <c r="K58" s="272">
        <v>0</v>
      </c>
      <c r="L58" s="272">
        <v>0</v>
      </c>
      <c r="M58" s="272">
        <v>0</v>
      </c>
      <c r="N58" s="272">
        <v>0</v>
      </c>
      <c r="O58" s="272">
        <v>2400.66202738946</v>
      </c>
      <c r="P58" s="276"/>
    </row>
    <row r="59" spans="1:16" s="277" customFormat="1" ht="12" x14ac:dyDescent="0.2">
      <c r="A59" s="235"/>
      <c r="B59" s="270"/>
      <c r="C59" s="236" t="s">
        <v>190</v>
      </c>
      <c r="D59" s="276"/>
      <c r="E59" s="276"/>
      <c r="F59" s="272">
        <v>0</v>
      </c>
      <c r="G59" s="272">
        <v>0</v>
      </c>
      <c r="H59" s="272">
        <v>0</v>
      </c>
      <c r="I59" s="272">
        <v>3.7084868320000002</v>
      </c>
      <c r="J59" s="272">
        <v>1105.1290759359999</v>
      </c>
      <c r="K59" s="272">
        <v>0</v>
      </c>
      <c r="L59" s="272">
        <v>0</v>
      </c>
      <c r="M59" s="272">
        <v>0</v>
      </c>
      <c r="N59" s="272">
        <v>0</v>
      </c>
      <c r="O59" s="272">
        <v>1105.1290759359999</v>
      </c>
      <c r="P59" s="276"/>
    </row>
    <row r="60" spans="1:16" s="277" customFormat="1" ht="12" x14ac:dyDescent="0.2">
      <c r="A60" s="235"/>
      <c r="B60" s="270"/>
      <c r="C60" s="236" t="s">
        <v>770</v>
      </c>
      <c r="D60" s="276"/>
      <c r="E60" s="276"/>
      <c r="F60" s="272">
        <v>0</v>
      </c>
      <c r="G60" s="272">
        <v>0</v>
      </c>
      <c r="H60" s="272">
        <v>0</v>
      </c>
      <c r="I60" s="272">
        <v>2.1351140000000002</v>
      </c>
      <c r="J60" s="272">
        <v>636.26397199999997</v>
      </c>
      <c r="K60" s="272">
        <v>0</v>
      </c>
      <c r="L60" s="272">
        <v>0</v>
      </c>
      <c r="M60" s="272">
        <v>0</v>
      </c>
      <c r="N60" s="272">
        <v>0</v>
      </c>
      <c r="O60" s="272">
        <v>636.26397199999997</v>
      </c>
      <c r="P60" s="276"/>
    </row>
    <row r="61" spans="1:16" s="277" customFormat="1" ht="12" x14ac:dyDescent="0.2">
      <c r="A61" s="235"/>
      <c r="B61" s="270"/>
      <c r="C61" s="236" t="s">
        <v>771</v>
      </c>
      <c r="D61" s="276"/>
      <c r="E61" s="276"/>
      <c r="F61" s="272">
        <v>1651.9038675642701</v>
      </c>
      <c r="G61" s="272">
        <v>2.7337915349319499</v>
      </c>
      <c r="H61" s="272">
        <v>68.344788373298698</v>
      </c>
      <c r="I61" s="272">
        <v>2.9121434256257999E-2</v>
      </c>
      <c r="J61" s="272">
        <v>8.6781874083648791</v>
      </c>
      <c r="K61" s="272">
        <v>0</v>
      </c>
      <c r="L61" s="272">
        <v>0</v>
      </c>
      <c r="M61" s="272">
        <v>0</v>
      </c>
      <c r="N61" s="272">
        <v>0</v>
      </c>
      <c r="O61" s="272">
        <v>1728.9268433459299</v>
      </c>
      <c r="P61" s="276"/>
    </row>
    <row r="62" spans="1:16" s="240" customFormat="1" ht="12.75" x14ac:dyDescent="0.2">
      <c r="A62" s="224" t="s">
        <v>758</v>
      </c>
      <c r="B62" s="225" t="s">
        <v>772</v>
      </c>
      <c r="C62" s="225"/>
      <c r="D62" s="268"/>
      <c r="E62" s="268"/>
      <c r="F62" s="269">
        <v>13164.1826343557</v>
      </c>
      <c r="G62" s="269">
        <v>7.4520000000000003E-2</v>
      </c>
      <c r="H62" s="269">
        <v>1.863</v>
      </c>
      <c r="I62" s="269">
        <v>0</v>
      </c>
      <c r="J62" s="269">
        <v>0</v>
      </c>
      <c r="K62" s="269">
        <v>0</v>
      </c>
      <c r="L62" s="269">
        <v>2500.2001298662199</v>
      </c>
      <c r="M62" s="269">
        <v>197.508121574272</v>
      </c>
      <c r="N62" s="269">
        <v>0</v>
      </c>
      <c r="O62" s="269">
        <v>15863.753885796201</v>
      </c>
      <c r="P62" s="268"/>
    </row>
    <row r="63" spans="1:16" s="273" customFormat="1" ht="12" x14ac:dyDescent="0.2">
      <c r="A63" s="235"/>
      <c r="B63" s="230"/>
      <c r="C63" s="230" t="s">
        <v>773</v>
      </c>
      <c r="D63" s="271"/>
      <c r="E63" s="271"/>
      <c r="F63" s="272">
        <v>8138.0286343557</v>
      </c>
      <c r="G63" s="272">
        <v>7.4520000000000003E-2</v>
      </c>
      <c r="H63" s="272">
        <v>1.863</v>
      </c>
      <c r="I63" s="272">
        <v>0</v>
      </c>
      <c r="J63" s="272">
        <v>0</v>
      </c>
      <c r="K63" s="272">
        <v>0</v>
      </c>
      <c r="L63" s="272">
        <v>0</v>
      </c>
      <c r="M63" s="272">
        <v>0</v>
      </c>
      <c r="N63" s="272">
        <v>0</v>
      </c>
      <c r="O63" s="272">
        <v>8139.8916343557003</v>
      </c>
      <c r="P63" s="271"/>
    </row>
    <row r="64" spans="1:16" s="273" customFormat="1" ht="12" x14ac:dyDescent="0.2">
      <c r="A64" s="235"/>
      <c r="B64" s="230"/>
      <c r="C64" s="230" t="s">
        <v>252</v>
      </c>
      <c r="D64" s="271"/>
      <c r="E64" s="271"/>
      <c r="F64" s="272">
        <v>5026.1540000000005</v>
      </c>
      <c r="G64" s="272">
        <v>0</v>
      </c>
      <c r="H64" s="272">
        <v>0</v>
      </c>
      <c r="I64" s="272">
        <v>0</v>
      </c>
      <c r="J64" s="272">
        <v>0</v>
      </c>
      <c r="K64" s="272">
        <v>0</v>
      </c>
      <c r="L64" s="272">
        <v>2500.2001298662199</v>
      </c>
      <c r="M64" s="272">
        <v>13.080903765690399</v>
      </c>
      <c r="N64" s="272">
        <v>0</v>
      </c>
      <c r="O64" s="272">
        <v>7539.4350336319103</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184.42721780858199</v>
      </c>
      <c r="N65" s="272">
        <v>0</v>
      </c>
      <c r="O65" s="272">
        <v>184.42721780858199</v>
      </c>
      <c r="P65" s="271"/>
    </row>
    <row r="66" spans="1:16" s="234" customFormat="1" x14ac:dyDescent="0.25">
      <c r="A66" s="278" t="s">
        <v>764</v>
      </c>
      <c r="B66" s="279" t="s">
        <v>775</v>
      </c>
      <c r="C66" s="279"/>
      <c r="D66" s="251"/>
      <c r="E66" s="251"/>
      <c r="F66" s="252">
        <v>0</v>
      </c>
      <c r="G66" s="252">
        <v>0</v>
      </c>
      <c r="H66" s="252">
        <v>0</v>
      </c>
      <c r="I66" s="252">
        <v>0</v>
      </c>
      <c r="J66" s="252">
        <v>0</v>
      </c>
      <c r="K66" s="252">
        <v>6808.3359703169499</v>
      </c>
      <c r="L66" s="252">
        <v>5.7101187589268196</v>
      </c>
      <c r="M66" s="252">
        <v>0.73255771960330496</v>
      </c>
      <c r="N66" s="252">
        <v>0.159715358666667</v>
      </c>
      <c r="O66" s="252">
        <v>6814.9383621541501</v>
      </c>
      <c r="P66" s="251"/>
    </row>
    <row r="67" spans="1:16" s="234" customFormat="1" ht="12.75" x14ac:dyDescent="0.2">
      <c r="A67" s="278" t="s">
        <v>776</v>
      </c>
      <c r="B67" s="279" t="s">
        <v>777</v>
      </c>
      <c r="C67" s="279"/>
      <c r="D67" s="251"/>
      <c r="E67" s="251"/>
      <c r="F67" s="252">
        <v>9645.5195049308804</v>
      </c>
      <c r="G67" s="252">
        <v>0</v>
      </c>
      <c r="H67" s="252">
        <v>0</v>
      </c>
      <c r="I67" s="252">
        <v>0</v>
      </c>
      <c r="J67" s="252">
        <v>0</v>
      </c>
      <c r="K67" s="252">
        <v>0</v>
      </c>
      <c r="L67" s="252">
        <v>0</v>
      </c>
      <c r="M67" s="252">
        <v>0</v>
      </c>
      <c r="N67" s="252">
        <v>0</v>
      </c>
      <c r="O67" s="252">
        <v>9645.5195049308804</v>
      </c>
      <c r="P67" s="251"/>
    </row>
    <row r="68" spans="1:16" s="234" customFormat="1" ht="12.75" x14ac:dyDescent="0.2">
      <c r="A68" s="259" t="s">
        <v>778</v>
      </c>
      <c r="B68" s="260" t="s">
        <v>779</v>
      </c>
      <c r="C68" s="260"/>
      <c r="D68" s="280"/>
      <c r="E68" s="280"/>
      <c r="F68" s="281">
        <v>0.43557985195232102</v>
      </c>
      <c r="G68" s="281">
        <v>0</v>
      </c>
      <c r="H68" s="281">
        <v>0</v>
      </c>
      <c r="I68" s="281">
        <v>0.84027932831233598</v>
      </c>
      <c r="J68" s="281">
        <v>250.403239837076</v>
      </c>
      <c r="K68" s="281">
        <v>0</v>
      </c>
      <c r="L68" s="281">
        <v>4.8132896186218304</v>
      </c>
      <c r="M68" s="281">
        <v>175.6284</v>
      </c>
      <c r="N68" s="281">
        <v>0</v>
      </c>
      <c r="O68" s="281">
        <v>431.28050930764999</v>
      </c>
      <c r="P68" s="251"/>
    </row>
    <row r="69" spans="1:16" s="267" customFormat="1" ht="12.75" x14ac:dyDescent="0.2">
      <c r="A69" s="282" t="s">
        <v>780</v>
      </c>
      <c r="B69" s="283"/>
      <c r="C69" s="283"/>
      <c r="D69" s="284"/>
      <c r="E69" s="284"/>
      <c r="F69" s="285">
        <v>1840.0936546666701</v>
      </c>
      <c r="G69" s="285">
        <v>1224.87719824643</v>
      </c>
      <c r="H69" s="285">
        <v>30621.9299561607</v>
      </c>
      <c r="I69" s="285">
        <v>82.977093578952704</v>
      </c>
      <c r="J69" s="285">
        <v>24727.1738865279</v>
      </c>
      <c r="K69" s="285">
        <v>0</v>
      </c>
      <c r="L69" s="285">
        <v>0</v>
      </c>
      <c r="M69" s="285">
        <v>0</v>
      </c>
      <c r="N69" s="285">
        <v>0</v>
      </c>
      <c r="O69" s="285">
        <v>57189.197497355301</v>
      </c>
      <c r="P69" s="265"/>
    </row>
    <row r="70" spans="1:16" s="234" customFormat="1" ht="12.75" x14ac:dyDescent="0.2">
      <c r="A70" s="278" t="s">
        <v>724</v>
      </c>
      <c r="B70" s="279" t="s">
        <v>27</v>
      </c>
      <c r="C70" s="279"/>
      <c r="D70" s="251"/>
      <c r="E70" s="251"/>
      <c r="F70" s="252">
        <v>0</v>
      </c>
      <c r="G70" s="252">
        <v>1075.3520992941501</v>
      </c>
      <c r="H70" s="252">
        <v>26883.802482353702</v>
      </c>
      <c r="I70" s="252">
        <v>0</v>
      </c>
      <c r="J70" s="252">
        <v>0</v>
      </c>
      <c r="K70" s="252">
        <v>0</v>
      </c>
      <c r="L70" s="252">
        <v>0</v>
      </c>
      <c r="M70" s="252">
        <v>0</v>
      </c>
      <c r="N70" s="252">
        <v>0</v>
      </c>
      <c r="O70" s="252">
        <v>26883.802482353702</v>
      </c>
      <c r="P70" s="251"/>
    </row>
    <row r="71" spans="1:16" s="234" customFormat="1" ht="12.75" x14ac:dyDescent="0.2">
      <c r="A71" s="278" t="s">
        <v>737</v>
      </c>
      <c r="B71" s="279" t="s">
        <v>28</v>
      </c>
      <c r="C71" s="279"/>
      <c r="D71" s="251"/>
      <c r="E71" s="251"/>
      <c r="F71" s="252">
        <v>0</v>
      </c>
      <c r="G71" s="252">
        <v>148.00504223782099</v>
      </c>
      <c r="H71" s="252">
        <v>3700.12605594553</v>
      </c>
      <c r="I71" s="252">
        <v>16.507193665275999</v>
      </c>
      <c r="J71" s="252">
        <v>4919.1437122522502</v>
      </c>
      <c r="K71" s="252">
        <v>0</v>
      </c>
      <c r="L71" s="252">
        <v>0</v>
      </c>
      <c r="M71" s="252">
        <v>0</v>
      </c>
      <c r="N71" s="252">
        <v>0</v>
      </c>
      <c r="O71" s="252">
        <v>8619.2697681977806</v>
      </c>
      <c r="P71" s="251"/>
    </row>
    <row r="72" spans="1:16" s="234" customFormat="1" ht="12.75" x14ac:dyDescent="0.2">
      <c r="A72" s="224" t="s">
        <v>758</v>
      </c>
      <c r="B72" s="225" t="s">
        <v>781</v>
      </c>
      <c r="C72" s="225"/>
      <c r="F72" s="231">
        <v>0</v>
      </c>
      <c r="G72" s="231">
        <v>0</v>
      </c>
      <c r="H72" s="231">
        <v>0</v>
      </c>
      <c r="I72" s="231">
        <v>66.430491035894505</v>
      </c>
      <c r="J72" s="231">
        <v>19796.286328696599</v>
      </c>
      <c r="K72" s="231">
        <v>0</v>
      </c>
      <c r="L72" s="231">
        <v>0</v>
      </c>
      <c r="M72" s="231">
        <v>0</v>
      </c>
      <c r="N72" s="231">
        <v>0</v>
      </c>
      <c r="O72" s="231">
        <v>19796.286328696599</v>
      </c>
    </row>
    <row r="73" spans="1:16" s="237" customFormat="1" ht="12" x14ac:dyDescent="0.2">
      <c r="A73" s="286"/>
      <c r="B73" s="258"/>
      <c r="C73" s="258" t="s">
        <v>782</v>
      </c>
      <c r="D73" s="243"/>
      <c r="E73" s="243"/>
      <c r="F73" s="244">
        <v>0</v>
      </c>
      <c r="G73" s="244">
        <v>0</v>
      </c>
      <c r="H73" s="244">
        <v>0</v>
      </c>
      <c r="I73" s="244">
        <v>54.712431214675803</v>
      </c>
      <c r="J73" s="244">
        <v>16304.3045019734</v>
      </c>
      <c r="K73" s="244">
        <v>0</v>
      </c>
      <c r="L73" s="244">
        <v>0</v>
      </c>
      <c r="M73" s="244">
        <v>0</v>
      </c>
      <c r="N73" s="244">
        <v>0</v>
      </c>
      <c r="O73" s="244">
        <v>16304.3045019734</v>
      </c>
    </row>
    <row r="74" spans="1:16" s="237" customFormat="1" ht="12" x14ac:dyDescent="0.2">
      <c r="A74" s="286"/>
      <c r="B74" s="258"/>
      <c r="C74" s="258" t="s">
        <v>783</v>
      </c>
      <c r="D74" s="243"/>
      <c r="E74" s="243"/>
      <c r="F74" s="244">
        <v>0</v>
      </c>
      <c r="G74" s="244">
        <v>0</v>
      </c>
      <c r="H74" s="244">
        <v>0</v>
      </c>
      <c r="I74" s="244">
        <v>11.7180598212187</v>
      </c>
      <c r="J74" s="244">
        <v>3491.9818267231899</v>
      </c>
      <c r="K74" s="244">
        <v>0</v>
      </c>
      <c r="L74" s="244">
        <v>0</v>
      </c>
      <c r="M74" s="244">
        <v>0</v>
      </c>
      <c r="N74" s="244">
        <v>0</v>
      </c>
      <c r="O74" s="244">
        <v>3491.9818267231899</v>
      </c>
    </row>
    <row r="75" spans="1:16" s="234" customFormat="1" ht="12.75" x14ac:dyDescent="0.2">
      <c r="A75" s="278" t="s">
        <v>764</v>
      </c>
      <c r="B75" s="279" t="s">
        <v>193</v>
      </c>
      <c r="C75" s="287"/>
      <c r="D75" s="251"/>
      <c r="E75" s="251"/>
      <c r="F75" s="252">
        <v>0</v>
      </c>
      <c r="G75" s="252">
        <v>1.5200567144570001</v>
      </c>
      <c r="H75" s="252">
        <v>38.001417861425097</v>
      </c>
      <c r="I75" s="252">
        <v>3.9408877782218597E-2</v>
      </c>
      <c r="J75" s="252">
        <v>11.743845579101199</v>
      </c>
      <c r="K75" s="252">
        <v>0</v>
      </c>
      <c r="L75" s="252">
        <v>0</v>
      </c>
      <c r="M75" s="252">
        <v>0</v>
      </c>
      <c r="N75" s="252">
        <v>0</v>
      </c>
      <c r="O75" s="252">
        <v>49.745263440526301</v>
      </c>
    </row>
    <row r="76" spans="1:16" s="234" customFormat="1" ht="12.75" x14ac:dyDescent="0.2">
      <c r="A76" s="259" t="s">
        <v>776</v>
      </c>
      <c r="B76" s="260" t="s">
        <v>784</v>
      </c>
      <c r="C76" s="288"/>
      <c r="D76" s="280"/>
      <c r="E76" s="280"/>
      <c r="F76" s="281">
        <v>1840.0936546666701</v>
      </c>
      <c r="G76" s="281">
        <v>0</v>
      </c>
      <c r="H76" s="281">
        <v>0</v>
      </c>
      <c r="I76" s="281">
        <v>0</v>
      </c>
      <c r="J76" s="281">
        <v>0</v>
      </c>
      <c r="K76" s="281">
        <v>0</v>
      </c>
      <c r="L76" s="281">
        <v>0</v>
      </c>
      <c r="M76" s="281">
        <v>0</v>
      </c>
      <c r="N76" s="281">
        <v>0</v>
      </c>
      <c r="O76" s="281">
        <v>1840.0936546666701</v>
      </c>
    </row>
    <row r="77" spans="1:16" s="234" customFormat="1" ht="12.75" x14ac:dyDescent="0.2">
      <c r="A77" s="220" t="s">
        <v>785</v>
      </c>
      <c r="B77" s="289"/>
      <c r="C77" s="289"/>
      <c r="F77" s="223">
        <v>469.51434692999999</v>
      </c>
      <c r="G77" s="223">
        <v>961.68186437999998</v>
      </c>
      <c r="H77" s="223">
        <v>24042.046609500001</v>
      </c>
      <c r="I77" s="223">
        <v>4.0714269500000002</v>
      </c>
      <c r="J77" s="223">
        <v>1213.2852310999999</v>
      </c>
      <c r="K77" s="223">
        <v>0</v>
      </c>
      <c r="L77" s="223">
        <v>0</v>
      </c>
      <c r="M77" s="223">
        <v>0</v>
      </c>
      <c r="N77" s="223">
        <v>0</v>
      </c>
      <c r="O77" s="223">
        <v>25724.846187530002</v>
      </c>
    </row>
    <row r="78" spans="1:16" s="234" customFormat="1" ht="12.75" x14ac:dyDescent="0.2">
      <c r="A78" s="224" t="s">
        <v>724</v>
      </c>
      <c r="B78" s="225" t="s">
        <v>786</v>
      </c>
      <c r="C78" s="225"/>
      <c r="F78" s="231">
        <v>0</v>
      </c>
      <c r="G78" s="231">
        <v>924.10190921000003</v>
      </c>
      <c r="H78" s="231">
        <v>23102.54773025</v>
      </c>
      <c r="I78" s="231">
        <v>0</v>
      </c>
      <c r="J78" s="231">
        <v>0</v>
      </c>
      <c r="K78" s="231">
        <v>0</v>
      </c>
      <c r="L78" s="231">
        <v>0</v>
      </c>
      <c r="M78" s="231">
        <v>0</v>
      </c>
      <c r="N78" s="231">
        <v>0</v>
      </c>
      <c r="O78" s="231">
        <v>23102.54773025</v>
      </c>
    </row>
    <row r="79" spans="1:16" s="234" customFormat="1" ht="12.75" x14ac:dyDescent="0.2">
      <c r="A79" s="224" t="s">
        <v>737</v>
      </c>
      <c r="B79" s="225" t="s">
        <v>787</v>
      </c>
      <c r="C79" s="225"/>
      <c r="F79" s="231">
        <v>0</v>
      </c>
      <c r="G79" s="231">
        <v>22.415973439999998</v>
      </c>
      <c r="H79" s="231">
        <v>560.39933599999995</v>
      </c>
      <c r="I79" s="231">
        <v>1.34495841</v>
      </c>
      <c r="J79" s="231">
        <v>400.79760618</v>
      </c>
      <c r="K79" s="231">
        <v>0</v>
      </c>
      <c r="L79" s="231">
        <v>0</v>
      </c>
      <c r="M79" s="231">
        <v>0</v>
      </c>
      <c r="N79" s="231">
        <v>0</v>
      </c>
      <c r="O79" s="231">
        <v>961.19694217999995</v>
      </c>
    </row>
    <row r="80" spans="1:16" s="234" customFormat="1" ht="12.75" x14ac:dyDescent="0.2">
      <c r="A80" s="278" t="s">
        <v>788</v>
      </c>
      <c r="B80" s="279" t="s">
        <v>789</v>
      </c>
      <c r="C80" s="279"/>
      <c r="D80" s="251"/>
      <c r="E80" s="251"/>
      <c r="F80" s="252">
        <v>0</v>
      </c>
      <c r="G80" s="252">
        <v>14.923044969999999</v>
      </c>
      <c r="H80" s="252">
        <v>373.07612425000002</v>
      </c>
      <c r="I80" s="252">
        <v>2.1556701899999999</v>
      </c>
      <c r="J80" s="252">
        <v>642.38971661999994</v>
      </c>
      <c r="K80" s="252">
        <v>0</v>
      </c>
      <c r="L80" s="252">
        <v>0</v>
      </c>
      <c r="M80" s="252">
        <v>0</v>
      </c>
      <c r="N80" s="252">
        <v>0</v>
      </c>
      <c r="O80" s="252">
        <v>1015.46584087</v>
      </c>
    </row>
    <row r="81" spans="1:30" s="234" customFormat="1" ht="12.75" x14ac:dyDescent="0.2">
      <c r="A81" s="259" t="s">
        <v>764</v>
      </c>
      <c r="B81" s="260" t="s">
        <v>790</v>
      </c>
      <c r="C81" s="260"/>
      <c r="D81" s="280"/>
      <c r="E81" s="280"/>
      <c r="F81" s="281">
        <v>469.51434692999999</v>
      </c>
      <c r="G81" s="281">
        <v>0.24093676</v>
      </c>
      <c r="H81" s="281">
        <v>6.0234189999999996</v>
      </c>
      <c r="I81" s="281">
        <v>0.57079835000000001</v>
      </c>
      <c r="J81" s="281">
        <v>170.0979083</v>
      </c>
      <c r="K81" s="281">
        <v>0</v>
      </c>
      <c r="L81" s="281">
        <v>0</v>
      </c>
      <c r="M81" s="281">
        <v>0</v>
      </c>
      <c r="N81" s="281">
        <v>0</v>
      </c>
      <c r="O81" s="281">
        <v>645.63567422999995</v>
      </c>
    </row>
    <row r="82" spans="1:30" s="267" customFormat="1" ht="12.75" x14ac:dyDescent="0.2">
      <c r="A82" s="263" t="s">
        <v>791</v>
      </c>
      <c r="B82" s="264"/>
      <c r="C82" s="264"/>
      <c r="F82" s="223">
        <v>-47330.195376999996</v>
      </c>
      <c r="G82" s="223">
        <v>31.743041000000002</v>
      </c>
      <c r="H82" s="223">
        <v>793.57602499999996</v>
      </c>
      <c r="I82" s="223">
        <v>1.123478</v>
      </c>
      <c r="J82" s="223">
        <v>334.79644400000001</v>
      </c>
      <c r="K82" s="223">
        <v>0</v>
      </c>
      <c r="L82" s="223">
        <v>0</v>
      </c>
      <c r="M82" s="223">
        <v>0</v>
      </c>
      <c r="N82" s="223">
        <v>0</v>
      </c>
      <c r="O82" s="223">
        <v>-46201.822908000002</v>
      </c>
    </row>
    <row r="83" spans="1:30" s="234" customFormat="1" ht="12.75" x14ac:dyDescent="0.2">
      <c r="A83" s="224" t="s">
        <v>724</v>
      </c>
      <c r="B83" s="225" t="s">
        <v>792</v>
      </c>
      <c r="C83" s="225"/>
      <c r="F83" s="231">
        <v>-166719.45525599999</v>
      </c>
      <c r="G83" s="231">
        <v>9.7517580000000006</v>
      </c>
      <c r="H83" s="231">
        <v>243.79395</v>
      </c>
      <c r="I83" s="231">
        <v>0.38059700000000002</v>
      </c>
      <c r="J83" s="231">
        <v>113.417906</v>
      </c>
      <c r="K83" s="231">
        <v>0</v>
      </c>
      <c r="L83" s="231">
        <v>0</v>
      </c>
      <c r="M83" s="231">
        <v>0</v>
      </c>
      <c r="N83" s="231">
        <v>0</v>
      </c>
      <c r="O83" s="231">
        <v>-166362.24340000001</v>
      </c>
    </row>
    <row r="84" spans="1:30" s="234" customFormat="1" ht="12.75" x14ac:dyDescent="0.2">
      <c r="A84" s="224" t="s">
        <v>737</v>
      </c>
      <c r="B84" s="225" t="s">
        <v>793</v>
      </c>
      <c r="C84" s="225"/>
      <c r="F84" s="231">
        <v>-11857.489511</v>
      </c>
      <c r="G84" s="231">
        <v>3.1832739999999999</v>
      </c>
      <c r="H84" s="231">
        <v>79.581850000000003</v>
      </c>
      <c r="I84" s="231">
        <v>0.17103199999999999</v>
      </c>
      <c r="J84" s="231">
        <v>50.967536000000003</v>
      </c>
      <c r="K84" s="231">
        <v>0</v>
      </c>
      <c r="L84" s="231">
        <v>0</v>
      </c>
      <c r="M84" s="231">
        <v>0</v>
      </c>
      <c r="N84" s="231">
        <v>0</v>
      </c>
      <c r="O84" s="231">
        <v>-11726.940124999999</v>
      </c>
    </row>
    <row r="85" spans="1:30" s="234" customFormat="1" ht="12.75" x14ac:dyDescent="0.2">
      <c r="A85" s="278" t="s">
        <v>758</v>
      </c>
      <c r="B85" s="279" t="s">
        <v>794</v>
      </c>
      <c r="C85" s="279"/>
      <c r="F85" s="231">
        <v>0</v>
      </c>
      <c r="G85" s="231">
        <v>12.886749999999999</v>
      </c>
      <c r="H85" s="231">
        <v>322.16874999999999</v>
      </c>
      <c r="I85" s="231">
        <v>0.33410000000000001</v>
      </c>
      <c r="J85" s="231">
        <v>99.561800000000005</v>
      </c>
      <c r="K85" s="231">
        <v>0</v>
      </c>
      <c r="L85" s="231">
        <v>0</v>
      </c>
      <c r="M85" s="231">
        <v>0</v>
      </c>
      <c r="N85" s="231">
        <v>0</v>
      </c>
      <c r="O85" s="231">
        <v>421.73054999999999</v>
      </c>
    </row>
    <row r="86" spans="1:30" s="234" customFormat="1" ht="12.75" x14ac:dyDescent="0.2">
      <c r="A86" s="278" t="s">
        <v>764</v>
      </c>
      <c r="B86" s="279" t="s">
        <v>795</v>
      </c>
      <c r="C86" s="279"/>
      <c r="F86" s="231">
        <v>2743.3084039999999</v>
      </c>
      <c r="G86" s="231">
        <v>1.013771</v>
      </c>
      <c r="H86" s="231">
        <v>25.344275</v>
      </c>
      <c r="I86" s="231">
        <v>4.8857999999999999E-2</v>
      </c>
      <c r="J86" s="231">
        <v>14.559684000000001</v>
      </c>
      <c r="K86" s="231">
        <v>0</v>
      </c>
      <c r="L86" s="231">
        <v>0</v>
      </c>
      <c r="M86" s="231">
        <v>0</v>
      </c>
      <c r="N86" s="231">
        <v>0</v>
      </c>
      <c r="O86" s="231">
        <v>2783.2123630000001</v>
      </c>
    </row>
    <row r="87" spans="1:30" s="234" customFormat="1" ht="12.75" x14ac:dyDescent="0.2">
      <c r="A87" s="278" t="s">
        <v>776</v>
      </c>
      <c r="B87" s="279" t="s">
        <v>796</v>
      </c>
      <c r="C87" s="279"/>
      <c r="D87" s="251"/>
      <c r="E87" s="251"/>
      <c r="F87" s="252">
        <v>3808.4738940000002</v>
      </c>
      <c r="G87" s="252">
        <v>4.9074879999999999</v>
      </c>
      <c r="H87" s="252">
        <v>122.6872</v>
      </c>
      <c r="I87" s="252">
        <v>0.188891</v>
      </c>
      <c r="J87" s="252">
        <v>56.289518000000001</v>
      </c>
      <c r="K87" s="252">
        <v>0</v>
      </c>
      <c r="L87" s="252">
        <v>0</v>
      </c>
      <c r="M87" s="252">
        <v>0</v>
      </c>
      <c r="N87" s="252">
        <v>0</v>
      </c>
      <c r="O87" s="252">
        <v>3987.4506120000001</v>
      </c>
    </row>
    <row r="88" spans="1:30" s="234" customFormat="1" ht="12.75" x14ac:dyDescent="0.2">
      <c r="A88" s="259" t="s">
        <v>778</v>
      </c>
      <c r="B88" s="260" t="s">
        <v>797</v>
      </c>
      <c r="C88" s="260"/>
      <c r="D88" s="280"/>
      <c r="E88" s="280"/>
      <c r="F88" s="281">
        <v>124694.96709200001</v>
      </c>
      <c r="G88" s="281">
        <v>0</v>
      </c>
      <c r="H88" s="281">
        <v>0</v>
      </c>
      <c r="I88" s="281">
        <v>0</v>
      </c>
      <c r="J88" s="281">
        <v>0</v>
      </c>
      <c r="K88" s="281">
        <v>0</v>
      </c>
      <c r="L88" s="281">
        <v>0</v>
      </c>
      <c r="M88" s="281">
        <v>0</v>
      </c>
      <c r="N88" s="281">
        <v>0</v>
      </c>
      <c r="O88" s="281">
        <v>124694.96709200001</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816</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572155.72326217999</v>
      </c>
      <c r="G7" s="218">
        <v>4260.8254893185604</v>
      </c>
      <c r="H7" s="218">
        <v>106520.637232964</v>
      </c>
      <c r="I7" s="218">
        <v>138.172016755306</v>
      </c>
      <c r="J7" s="218">
        <v>41175.260993081203</v>
      </c>
      <c r="K7" s="218">
        <v>6077.8325725283303</v>
      </c>
      <c r="L7" s="218">
        <v>2601.8637405664999</v>
      </c>
      <c r="M7" s="218">
        <v>644.34504499019795</v>
      </c>
      <c r="N7" s="218">
        <v>0.16838582133333399</v>
      </c>
      <c r="O7" s="218">
        <v>729175.83123213099</v>
      </c>
    </row>
    <row r="8" spans="1:16" ht="15.75" thickTop="1" x14ac:dyDescent="0.2">
      <c r="A8" s="220" t="s">
        <v>723</v>
      </c>
      <c r="B8" s="221"/>
      <c r="C8" s="221"/>
      <c r="F8" s="223">
        <v>530512.78417232796</v>
      </c>
      <c r="G8" s="223">
        <v>1990.5111374083001</v>
      </c>
      <c r="H8" s="223">
        <v>49762.778435207503</v>
      </c>
      <c r="I8" s="223">
        <v>34.833238415905697</v>
      </c>
      <c r="J8" s="223">
        <v>10380.305047939901</v>
      </c>
      <c r="K8" s="223">
        <v>0</v>
      </c>
      <c r="L8" s="223">
        <v>0</v>
      </c>
      <c r="M8" s="223">
        <v>0</v>
      </c>
      <c r="N8" s="223">
        <v>0</v>
      </c>
      <c r="O8" s="223">
        <v>590655.86765547597</v>
      </c>
    </row>
    <row r="9" spans="1:16" x14ac:dyDescent="0.2">
      <c r="A9" s="224" t="s">
        <v>724</v>
      </c>
      <c r="B9" s="225" t="s">
        <v>725</v>
      </c>
      <c r="C9" s="225"/>
      <c r="F9" s="226">
        <v>327140.50997826498</v>
      </c>
      <c r="G9" s="226">
        <v>210.98696940869399</v>
      </c>
      <c r="H9" s="226">
        <v>5274.6742352173396</v>
      </c>
      <c r="I9" s="226">
        <v>8.9440638343597403</v>
      </c>
      <c r="J9" s="226">
        <v>2665.3310226392</v>
      </c>
      <c r="K9" s="226">
        <v>0</v>
      </c>
      <c r="L9" s="226">
        <v>0</v>
      </c>
      <c r="M9" s="226">
        <v>0</v>
      </c>
      <c r="N9" s="226">
        <v>0</v>
      </c>
      <c r="O9" s="226">
        <v>335080.51523612102</v>
      </c>
      <c r="P9" s="227"/>
    </row>
    <row r="10" spans="1:16" x14ac:dyDescent="0.2">
      <c r="A10" s="228"/>
      <c r="B10" s="229" t="s">
        <v>726</v>
      </c>
      <c r="C10" s="230"/>
      <c r="F10" s="231">
        <v>112424.90674557599</v>
      </c>
      <c r="G10" s="231">
        <v>5.5087798565093804</v>
      </c>
      <c r="H10" s="231">
        <v>137.719496412735</v>
      </c>
      <c r="I10" s="231">
        <v>2.3394813478350098</v>
      </c>
      <c r="J10" s="231">
        <v>697.16544165483299</v>
      </c>
      <c r="K10" s="231">
        <v>0</v>
      </c>
      <c r="L10" s="231">
        <v>0</v>
      </c>
      <c r="M10" s="231">
        <v>0</v>
      </c>
      <c r="N10" s="231">
        <v>0</v>
      </c>
      <c r="O10" s="231">
        <v>113259.791683644</v>
      </c>
    </row>
    <row r="11" spans="1:16" x14ac:dyDescent="0.2">
      <c r="A11" s="228"/>
      <c r="B11" s="232" t="s">
        <v>727</v>
      </c>
      <c r="C11" s="230"/>
      <c r="F11" s="231">
        <v>19532.833537555802</v>
      </c>
      <c r="G11" s="231">
        <v>0.46361821726637797</v>
      </c>
      <c r="H11" s="231">
        <v>11.5904554316594</v>
      </c>
      <c r="I11" s="231">
        <v>0.152927336840634</v>
      </c>
      <c r="J11" s="231">
        <v>45.572346378508897</v>
      </c>
      <c r="K11" s="231">
        <v>0</v>
      </c>
      <c r="L11" s="231">
        <v>0</v>
      </c>
      <c r="M11" s="231">
        <v>0</v>
      </c>
      <c r="N11" s="231">
        <v>0</v>
      </c>
      <c r="O11" s="231">
        <v>19589.996339366</v>
      </c>
    </row>
    <row r="12" spans="1:16" s="234" customFormat="1" ht="12.75" x14ac:dyDescent="0.2">
      <c r="A12" s="228"/>
      <c r="B12" s="232" t="s">
        <v>728</v>
      </c>
      <c r="C12" s="233"/>
      <c r="F12" s="231">
        <v>73902.6135775203</v>
      </c>
      <c r="G12" s="231">
        <v>81.330163935087995</v>
      </c>
      <c r="H12" s="231">
        <v>2033.2540983772001</v>
      </c>
      <c r="I12" s="231">
        <v>1.6601014308936199</v>
      </c>
      <c r="J12" s="231">
        <v>494.710226406299</v>
      </c>
      <c r="K12" s="231">
        <v>0</v>
      </c>
      <c r="L12" s="231">
        <v>0</v>
      </c>
      <c r="M12" s="231">
        <v>0</v>
      </c>
      <c r="N12" s="231">
        <v>0</v>
      </c>
      <c r="O12" s="231">
        <v>76430.577902303805</v>
      </c>
    </row>
    <row r="13" spans="1:16" s="234" customFormat="1" ht="12.75" x14ac:dyDescent="0.2">
      <c r="A13" s="228"/>
      <c r="B13" s="229" t="s">
        <v>729</v>
      </c>
      <c r="C13" s="229"/>
      <c r="F13" s="231">
        <v>43995.375621578904</v>
      </c>
      <c r="G13" s="231">
        <v>2.5058216926198802</v>
      </c>
      <c r="H13" s="231">
        <v>62.645542315497103</v>
      </c>
      <c r="I13" s="231">
        <v>1.83505787371312</v>
      </c>
      <c r="J13" s="231">
        <v>546.84724636650799</v>
      </c>
      <c r="K13" s="231">
        <v>0</v>
      </c>
      <c r="L13" s="231">
        <v>0</v>
      </c>
      <c r="M13" s="231">
        <v>0</v>
      </c>
      <c r="N13" s="231">
        <v>0</v>
      </c>
      <c r="O13" s="231">
        <v>44604.868410260897</v>
      </c>
    </row>
    <row r="14" spans="1:16" s="237" customFormat="1" ht="12" x14ac:dyDescent="0.2">
      <c r="A14" s="235"/>
      <c r="B14" s="230"/>
      <c r="C14" s="236" t="s">
        <v>2</v>
      </c>
      <c r="F14" s="238">
        <v>5728.7252944190996</v>
      </c>
      <c r="G14" s="238">
        <v>0.16381737728658399</v>
      </c>
      <c r="H14" s="238">
        <v>4.0954344321646001</v>
      </c>
      <c r="I14" s="238">
        <v>0.136109734780123</v>
      </c>
      <c r="J14" s="238">
        <v>40.560700964476801</v>
      </c>
      <c r="K14" s="238">
        <v>0</v>
      </c>
      <c r="L14" s="238">
        <v>0</v>
      </c>
      <c r="M14" s="238">
        <v>0</v>
      </c>
      <c r="N14" s="238">
        <v>0</v>
      </c>
      <c r="O14" s="238">
        <v>5773.3814298157404</v>
      </c>
    </row>
    <row r="15" spans="1:16" s="237" customFormat="1" ht="12" x14ac:dyDescent="0.2">
      <c r="A15" s="235"/>
      <c r="B15" s="230"/>
      <c r="C15" s="236" t="s">
        <v>730</v>
      </c>
      <c r="F15" s="238">
        <v>3808.87551677088</v>
      </c>
      <c r="G15" s="238">
        <v>9.09192958838871E-2</v>
      </c>
      <c r="H15" s="238">
        <v>2.2729823970971799</v>
      </c>
      <c r="I15" s="238">
        <v>6.51189887991587E-2</v>
      </c>
      <c r="J15" s="238">
        <v>19.4054586621493</v>
      </c>
      <c r="K15" s="238">
        <v>0</v>
      </c>
      <c r="L15" s="238">
        <v>0</v>
      </c>
      <c r="M15" s="238">
        <v>0</v>
      </c>
      <c r="N15" s="238">
        <v>0</v>
      </c>
      <c r="O15" s="238">
        <v>3830.55395783012</v>
      </c>
    </row>
    <row r="16" spans="1:16" s="237" customFormat="1" ht="12" x14ac:dyDescent="0.2">
      <c r="A16" s="235"/>
      <c r="B16" s="230"/>
      <c r="C16" s="236" t="s">
        <v>731</v>
      </c>
      <c r="F16" s="238">
        <v>8751.6501364495398</v>
      </c>
      <c r="G16" s="238">
        <v>0.172932668323133</v>
      </c>
      <c r="H16" s="238">
        <v>4.3233167080783304</v>
      </c>
      <c r="I16" s="238">
        <v>0.151430327037128</v>
      </c>
      <c r="J16" s="238">
        <v>45.1262374570642</v>
      </c>
      <c r="K16" s="238">
        <v>0</v>
      </c>
      <c r="L16" s="238">
        <v>0</v>
      </c>
      <c r="M16" s="238">
        <v>0</v>
      </c>
      <c r="N16" s="238">
        <v>0</v>
      </c>
      <c r="O16" s="238">
        <v>8801.0996906146793</v>
      </c>
    </row>
    <row r="17" spans="1:16" s="237" customFormat="1" ht="12" x14ac:dyDescent="0.2">
      <c r="A17" s="235"/>
      <c r="B17" s="230"/>
      <c r="C17" s="236" t="s">
        <v>732</v>
      </c>
      <c r="F17" s="238">
        <v>6001.09502941345</v>
      </c>
      <c r="G17" s="238">
        <v>1.22095820833678</v>
      </c>
      <c r="H17" s="238">
        <v>30.523955208419501</v>
      </c>
      <c r="I17" s="238">
        <v>0.94189969817019603</v>
      </c>
      <c r="J17" s="238">
        <v>280.68611005471797</v>
      </c>
      <c r="K17" s="238">
        <v>0</v>
      </c>
      <c r="L17" s="238">
        <v>0</v>
      </c>
      <c r="M17" s="238">
        <v>0</v>
      </c>
      <c r="N17" s="238">
        <v>0</v>
      </c>
      <c r="O17" s="238">
        <v>6312.3050946765898</v>
      </c>
    </row>
    <row r="18" spans="1:16" s="237" customFormat="1" ht="12" x14ac:dyDescent="0.2">
      <c r="A18" s="235"/>
      <c r="B18" s="230"/>
      <c r="C18" s="236" t="s">
        <v>35</v>
      </c>
      <c r="F18" s="238">
        <v>4878.7210230253604</v>
      </c>
      <c r="G18" s="238">
        <v>0.233208964240636</v>
      </c>
      <c r="H18" s="238">
        <v>5.8302241060158897</v>
      </c>
      <c r="I18" s="238">
        <v>5.68176061050654E-2</v>
      </c>
      <c r="J18" s="238">
        <v>16.9316466193095</v>
      </c>
      <c r="K18" s="238">
        <v>0</v>
      </c>
      <c r="L18" s="238">
        <v>0</v>
      </c>
      <c r="M18" s="238">
        <v>0</v>
      </c>
      <c r="N18" s="238">
        <v>0</v>
      </c>
      <c r="O18" s="238">
        <v>4901.48289375069</v>
      </c>
    </row>
    <row r="19" spans="1:16" s="237" customFormat="1" ht="12" x14ac:dyDescent="0.2">
      <c r="A19" s="235"/>
      <c r="B19" s="230"/>
      <c r="C19" s="236" t="s">
        <v>733</v>
      </c>
      <c r="F19" s="238">
        <v>14826.308621500501</v>
      </c>
      <c r="G19" s="238">
        <v>0.62398517854886404</v>
      </c>
      <c r="H19" s="238">
        <v>15.5996294637216</v>
      </c>
      <c r="I19" s="238">
        <v>0.483681518821444</v>
      </c>
      <c r="J19" s="238">
        <v>144.13709260879</v>
      </c>
      <c r="K19" s="238">
        <v>0</v>
      </c>
      <c r="L19" s="238">
        <v>0</v>
      </c>
      <c r="M19" s="238">
        <v>0</v>
      </c>
      <c r="N19" s="238">
        <v>0</v>
      </c>
      <c r="O19" s="238">
        <v>14986.045343573</v>
      </c>
    </row>
    <row r="20" spans="1:16" s="234" customFormat="1" ht="12.75" x14ac:dyDescent="0.2">
      <c r="A20" s="228"/>
      <c r="B20" s="229" t="s">
        <v>734</v>
      </c>
      <c r="C20" s="239"/>
      <c r="F20" s="231">
        <v>1377.3812</v>
      </c>
      <c r="G20" s="231">
        <v>2.3969600000000001E-2</v>
      </c>
      <c r="H20" s="231">
        <v>0.59923999999999999</v>
      </c>
      <c r="I20" s="231">
        <v>3.4434800000000002E-2</v>
      </c>
      <c r="J20" s="231">
        <v>10.2615704</v>
      </c>
      <c r="K20" s="231">
        <v>0</v>
      </c>
      <c r="L20" s="231">
        <v>0</v>
      </c>
      <c r="M20" s="231">
        <v>0</v>
      </c>
      <c r="N20" s="231">
        <v>0</v>
      </c>
      <c r="O20" s="231">
        <v>1388.2420104</v>
      </c>
    </row>
    <row r="21" spans="1:16" s="234" customFormat="1" ht="12.75" x14ac:dyDescent="0.2">
      <c r="A21" s="228"/>
      <c r="B21" s="229" t="s">
        <v>735</v>
      </c>
      <c r="C21" s="229"/>
      <c r="F21" s="231">
        <v>29777.169281055802</v>
      </c>
      <c r="G21" s="231">
        <v>0.56248160162925498</v>
      </c>
      <c r="H21" s="231">
        <v>14.0620400407314</v>
      </c>
      <c r="I21" s="231">
        <v>0.65557203264844199</v>
      </c>
      <c r="J21" s="231">
        <v>195.36046572923601</v>
      </c>
      <c r="K21" s="231">
        <v>0</v>
      </c>
      <c r="L21" s="231">
        <v>0</v>
      </c>
      <c r="M21" s="231">
        <v>0</v>
      </c>
      <c r="N21" s="231">
        <v>0</v>
      </c>
      <c r="O21" s="231">
        <v>29986.5917868258</v>
      </c>
    </row>
    <row r="22" spans="1:16" s="234" customFormat="1" ht="12.75" x14ac:dyDescent="0.2">
      <c r="A22" s="228"/>
      <c r="B22" s="229" t="s">
        <v>181</v>
      </c>
      <c r="C22" s="229"/>
      <c r="F22" s="231">
        <v>43478.586049999998</v>
      </c>
      <c r="G22" s="231">
        <v>120.546612041267</v>
      </c>
      <c r="H22" s="231">
        <v>3013.66530103168</v>
      </c>
      <c r="I22" s="231">
        <v>2.1910903280410698</v>
      </c>
      <c r="J22" s="231">
        <v>652.94491775623806</v>
      </c>
      <c r="K22" s="231">
        <v>0</v>
      </c>
      <c r="L22" s="231">
        <v>0</v>
      </c>
      <c r="M22" s="231">
        <v>0</v>
      </c>
      <c r="N22" s="231">
        <v>0</v>
      </c>
      <c r="O22" s="231">
        <v>47145.196268787899</v>
      </c>
    </row>
    <row r="23" spans="1:16" s="234" customFormat="1" ht="12.75" x14ac:dyDescent="0.2">
      <c r="A23" s="228"/>
      <c r="B23" s="229" t="s">
        <v>736</v>
      </c>
      <c r="C23" s="229"/>
      <c r="F23" s="231">
        <v>2651.6439649777499</v>
      </c>
      <c r="G23" s="231">
        <v>4.5522464313652998E-2</v>
      </c>
      <c r="H23" s="231">
        <v>1.1380616078413199</v>
      </c>
      <c r="I23" s="231">
        <v>7.5398684387852605E-2</v>
      </c>
      <c r="J23" s="231">
        <v>22.4688079475801</v>
      </c>
      <c r="K23" s="231">
        <v>0</v>
      </c>
      <c r="L23" s="231">
        <v>0</v>
      </c>
      <c r="M23" s="231">
        <v>0</v>
      </c>
      <c r="N23" s="231">
        <v>0</v>
      </c>
      <c r="O23" s="231">
        <v>2675.2508345331698</v>
      </c>
    </row>
    <row r="24" spans="1:16" s="240" customFormat="1" ht="14.25" x14ac:dyDescent="0.2">
      <c r="A24" s="224" t="s">
        <v>737</v>
      </c>
      <c r="B24" s="225" t="s">
        <v>738</v>
      </c>
      <c r="C24" s="225"/>
      <c r="F24" s="226">
        <v>188639.99012882001</v>
      </c>
      <c r="G24" s="226">
        <v>25.456833310532701</v>
      </c>
      <c r="H24" s="226">
        <v>636.420832763318</v>
      </c>
      <c r="I24" s="226">
        <v>25.756041427572899</v>
      </c>
      <c r="J24" s="226">
        <v>7675.3003454167401</v>
      </c>
      <c r="K24" s="226">
        <v>0</v>
      </c>
      <c r="L24" s="226">
        <v>0</v>
      </c>
      <c r="M24" s="226">
        <v>0</v>
      </c>
      <c r="N24" s="226">
        <v>0</v>
      </c>
      <c r="O24" s="226">
        <v>196951.71130699999</v>
      </c>
      <c r="P24" s="241"/>
    </row>
    <row r="25" spans="1:16" s="234" customFormat="1" ht="12.75" x14ac:dyDescent="0.2">
      <c r="A25" s="228"/>
      <c r="B25" s="232" t="s">
        <v>739</v>
      </c>
      <c r="C25" s="229"/>
      <c r="F25" s="231">
        <v>7271.0447428592497</v>
      </c>
      <c r="G25" s="231">
        <v>0.36383415277616499</v>
      </c>
      <c r="H25" s="231">
        <v>9.0958538194041303</v>
      </c>
      <c r="I25" s="231">
        <v>0.21574051520860099</v>
      </c>
      <c r="J25" s="231">
        <v>64.290673532163197</v>
      </c>
      <c r="K25" s="231">
        <v>0</v>
      </c>
      <c r="L25" s="231">
        <v>0</v>
      </c>
      <c r="M25" s="231">
        <v>0</v>
      </c>
      <c r="N25" s="231">
        <v>0</v>
      </c>
      <c r="O25" s="231">
        <v>7344.43127021082</v>
      </c>
    </row>
    <row r="26" spans="1:16" s="234" customFormat="1" ht="12.75" x14ac:dyDescent="0.2">
      <c r="A26" s="228"/>
      <c r="B26" s="229" t="s">
        <v>740</v>
      </c>
      <c r="C26" s="229"/>
      <c r="F26" s="231">
        <v>132811.839137459</v>
      </c>
      <c r="G26" s="231">
        <v>9.9827730069431109</v>
      </c>
      <c r="H26" s="231">
        <v>249.56932517357799</v>
      </c>
      <c r="I26" s="231">
        <v>13.356674943107899</v>
      </c>
      <c r="J26" s="231">
        <v>3980.2891330461498</v>
      </c>
      <c r="K26" s="231">
        <v>0</v>
      </c>
      <c r="L26" s="231">
        <v>0</v>
      </c>
      <c r="M26" s="231">
        <v>0</v>
      </c>
      <c r="N26" s="231">
        <v>0</v>
      </c>
      <c r="O26" s="231">
        <v>137041.697595679</v>
      </c>
    </row>
    <row r="27" spans="1:16" s="237" customFormat="1" ht="12" x14ac:dyDescent="0.2">
      <c r="A27" s="235"/>
      <c r="B27" s="230"/>
      <c r="C27" s="236" t="s">
        <v>741</v>
      </c>
      <c r="F27" s="238">
        <v>38608.7596672664</v>
      </c>
      <c r="G27" s="238">
        <v>3.69171560099536</v>
      </c>
      <c r="H27" s="238">
        <v>92.292890024884102</v>
      </c>
      <c r="I27" s="238">
        <v>4.7090422809681103</v>
      </c>
      <c r="J27" s="238">
        <v>1403.2945997285001</v>
      </c>
      <c r="K27" s="238">
        <v>0</v>
      </c>
      <c r="L27" s="238">
        <v>0</v>
      </c>
      <c r="M27" s="238">
        <v>0</v>
      </c>
      <c r="N27" s="238">
        <v>0</v>
      </c>
      <c r="O27" s="238">
        <v>40104.3471570197</v>
      </c>
    </row>
    <row r="28" spans="1:16" s="237" customFormat="1" ht="12" x14ac:dyDescent="0.2">
      <c r="A28" s="235"/>
      <c r="B28" s="230"/>
      <c r="C28" s="236" t="s">
        <v>742</v>
      </c>
      <c r="F28" s="238">
        <v>38643.571559354001</v>
      </c>
      <c r="G28" s="238">
        <v>3.6985756511054699</v>
      </c>
      <c r="H28" s="238">
        <v>92.464391277636906</v>
      </c>
      <c r="I28" s="238">
        <v>5.4197724919120898</v>
      </c>
      <c r="J28" s="238">
        <v>1615.0922025898001</v>
      </c>
      <c r="K28" s="238">
        <v>0</v>
      </c>
      <c r="L28" s="238">
        <v>0</v>
      </c>
      <c r="M28" s="238">
        <v>0</v>
      </c>
      <c r="N28" s="238">
        <v>0</v>
      </c>
      <c r="O28" s="238">
        <v>40351.128153221398</v>
      </c>
    </row>
    <row r="29" spans="1:16" s="237" customFormat="1" ht="12" x14ac:dyDescent="0.2">
      <c r="A29" s="235"/>
      <c r="B29" s="230"/>
      <c r="C29" s="236" t="s">
        <v>743</v>
      </c>
      <c r="F29" s="238">
        <v>12202.348024099299</v>
      </c>
      <c r="G29" s="238">
        <v>0.62902877998023798</v>
      </c>
      <c r="H29" s="238">
        <v>15.7257194995059</v>
      </c>
      <c r="I29" s="238">
        <v>0.91066256068637397</v>
      </c>
      <c r="J29" s="238">
        <v>271.37744308453898</v>
      </c>
      <c r="K29" s="238">
        <v>0</v>
      </c>
      <c r="L29" s="238">
        <v>0</v>
      </c>
      <c r="M29" s="238">
        <v>0</v>
      </c>
      <c r="N29" s="238">
        <v>0</v>
      </c>
      <c r="O29" s="238">
        <v>12489.4511866834</v>
      </c>
    </row>
    <row r="30" spans="1:16" s="237" customFormat="1" ht="12" x14ac:dyDescent="0.2">
      <c r="A30" s="235"/>
      <c r="B30" s="230"/>
      <c r="C30" s="236" t="s">
        <v>744</v>
      </c>
      <c r="F30" s="238">
        <v>235.53258514721699</v>
      </c>
      <c r="G30" s="238">
        <v>0.103209880086435</v>
      </c>
      <c r="H30" s="238">
        <v>2.5802470021608799</v>
      </c>
      <c r="I30" s="238">
        <v>4.3723046875004104E-3</v>
      </c>
      <c r="J30" s="238">
        <v>1.3029467968751201</v>
      </c>
      <c r="K30" s="238">
        <v>0</v>
      </c>
      <c r="L30" s="238">
        <v>0</v>
      </c>
      <c r="M30" s="238">
        <v>0</v>
      </c>
      <c r="N30" s="238">
        <v>0</v>
      </c>
      <c r="O30" s="238">
        <v>239.415778946253</v>
      </c>
      <c r="P30" s="242"/>
    </row>
    <row r="31" spans="1:16" s="237" customFormat="1" ht="12" x14ac:dyDescent="0.2">
      <c r="A31" s="235"/>
      <c r="B31" s="230"/>
      <c r="C31" s="236" t="s">
        <v>745</v>
      </c>
      <c r="F31" s="238">
        <v>613.35909186836898</v>
      </c>
      <c r="G31" s="238">
        <v>1.22261603868127E-2</v>
      </c>
      <c r="H31" s="238">
        <v>0.30565400967031803</v>
      </c>
      <c r="I31" s="238">
        <v>4.9294451153810599E-2</v>
      </c>
      <c r="J31" s="238">
        <v>14.689746443835499</v>
      </c>
      <c r="K31" s="238">
        <v>0</v>
      </c>
      <c r="L31" s="238">
        <v>0</v>
      </c>
      <c r="M31" s="238">
        <v>0</v>
      </c>
      <c r="N31" s="238">
        <v>0</v>
      </c>
      <c r="O31" s="238">
        <v>628.354492321875</v>
      </c>
    </row>
    <row r="32" spans="1:16" s="237" customFormat="1" ht="12" x14ac:dyDescent="0.2">
      <c r="A32" s="235"/>
      <c r="B32" s="230"/>
      <c r="C32" s="236" t="s">
        <v>746</v>
      </c>
      <c r="D32" s="243"/>
      <c r="E32" s="243"/>
      <c r="F32" s="244">
        <v>337.58716172779202</v>
      </c>
      <c r="G32" s="244">
        <v>8.53380185780293E-3</v>
      </c>
      <c r="H32" s="244">
        <v>0.21334504644507299</v>
      </c>
      <c r="I32" s="244">
        <v>2.6876717605838499E-2</v>
      </c>
      <c r="J32" s="244">
        <v>8.0092618465398697</v>
      </c>
      <c r="K32" s="244">
        <v>0</v>
      </c>
      <c r="L32" s="244">
        <v>0</v>
      </c>
      <c r="M32" s="244">
        <v>0</v>
      </c>
      <c r="N32" s="244">
        <v>0</v>
      </c>
      <c r="O32" s="244">
        <v>345.80976862077699</v>
      </c>
    </row>
    <row r="33" spans="1:15" s="237" customFormat="1" ht="12" x14ac:dyDescent="0.2">
      <c r="A33" s="235"/>
      <c r="B33" s="230"/>
      <c r="C33" s="236" t="s">
        <v>747</v>
      </c>
      <c r="D33" s="243"/>
      <c r="E33" s="243"/>
      <c r="F33" s="244">
        <v>41998.346729003097</v>
      </c>
      <c r="G33" s="244">
        <v>1.76415398924922</v>
      </c>
      <c r="H33" s="244">
        <v>44.103849731230497</v>
      </c>
      <c r="I33" s="244">
        <v>2.2334620958915101</v>
      </c>
      <c r="J33" s="244">
        <v>665.57170457567099</v>
      </c>
      <c r="K33" s="244">
        <v>0</v>
      </c>
      <c r="L33" s="244">
        <v>0</v>
      </c>
      <c r="M33" s="244">
        <v>0</v>
      </c>
      <c r="N33" s="244">
        <v>0</v>
      </c>
      <c r="O33" s="244">
        <v>42708.022283309998</v>
      </c>
    </row>
    <row r="34" spans="1:15" s="237" customFormat="1" ht="12" x14ac:dyDescent="0.2">
      <c r="A34" s="235"/>
      <c r="B34" s="230"/>
      <c r="C34" s="245" t="s">
        <v>748</v>
      </c>
      <c r="D34" s="243"/>
      <c r="E34" s="243"/>
      <c r="F34" s="244">
        <v>172.33431899317901</v>
      </c>
      <c r="G34" s="244">
        <v>7.5329143281759603E-2</v>
      </c>
      <c r="H34" s="244">
        <v>1.88322858204399</v>
      </c>
      <c r="I34" s="244">
        <v>3.1920402026590499E-3</v>
      </c>
      <c r="J34" s="244">
        <v>0.95122798039239698</v>
      </c>
      <c r="K34" s="244">
        <v>0</v>
      </c>
      <c r="L34" s="244">
        <v>0</v>
      </c>
      <c r="M34" s="244">
        <v>0</v>
      </c>
      <c r="N34" s="244">
        <v>0</v>
      </c>
      <c r="O34" s="244">
        <v>175.16877555561501</v>
      </c>
    </row>
    <row r="35" spans="1:15" s="249" customFormat="1" ht="12.75" x14ac:dyDescent="0.2">
      <c r="A35" s="228"/>
      <c r="B35" s="229" t="s">
        <v>749</v>
      </c>
      <c r="C35" s="246"/>
      <c r="D35" s="247"/>
      <c r="E35" s="247"/>
      <c r="F35" s="248">
        <v>7039.0518371758199</v>
      </c>
      <c r="G35" s="248">
        <v>0.39653203899392298</v>
      </c>
      <c r="H35" s="248">
        <v>9.9133009748480596</v>
      </c>
      <c r="I35" s="248">
        <v>2.7337076330640602</v>
      </c>
      <c r="J35" s="248">
        <v>814.64487465309003</v>
      </c>
      <c r="K35" s="248">
        <v>0</v>
      </c>
      <c r="L35" s="248">
        <v>0</v>
      </c>
      <c r="M35" s="248">
        <v>0</v>
      </c>
      <c r="N35" s="248">
        <v>0</v>
      </c>
      <c r="O35" s="248">
        <v>7863.6100128037497</v>
      </c>
    </row>
    <row r="36" spans="1:15" s="249" customFormat="1" ht="12.75" x14ac:dyDescent="0.2">
      <c r="A36" s="228"/>
      <c r="B36" s="232" t="s">
        <v>750</v>
      </c>
      <c r="C36" s="246"/>
      <c r="D36" s="247"/>
      <c r="E36" s="247"/>
      <c r="F36" s="248">
        <v>6215.2565992513601</v>
      </c>
      <c r="G36" s="248">
        <v>0.57126401907347701</v>
      </c>
      <c r="H36" s="248">
        <v>14.2816004768369</v>
      </c>
      <c r="I36" s="248">
        <v>0.16323069256293801</v>
      </c>
      <c r="J36" s="248">
        <v>48.642746383755501</v>
      </c>
      <c r="K36" s="248">
        <v>0</v>
      </c>
      <c r="L36" s="248">
        <v>0</v>
      </c>
      <c r="M36" s="248">
        <v>0</v>
      </c>
      <c r="N36" s="248">
        <v>0</v>
      </c>
      <c r="O36" s="248">
        <v>6278.1809461119601</v>
      </c>
    </row>
    <row r="37" spans="1:15" s="234" customFormat="1" ht="12.75" x14ac:dyDescent="0.2">
      <c r="A37" s="228"/>
      <c r="B37" s="229" t="s">
        <v>751</v>
      </c>
      <c r="C37" s="250"/>
      <c r="D37" s="251"/>
      <c r="E37" s="251"/>
      <c r="F37" s="252">
        <v>35302.797812074197</v>
      </c>
      <c r="G37" s="252">
        <v>14.142430092746</v>
      </c>
      <c r="H37" s="252">
        <v>353.560752318651</v>
      </c>
      <c r="I37" s="252">
        <v>9.2866876436294401</v>
      </c>
      <c r="J37" s="252">
        <v>2767.4329178015701</v>
      </c>
      <c r="K37" s="252">
        <v>0</v>
      </c>
      <c r="L37" s="252">
        <v>0</v>
      </c>
      <c r="M37" s="252">
        <v>0</v>
      </c>
      <c r="N37" s="252">
        <v>0</v>
      </c>
      <c r="O37" s="252">
        <v>38423.7914821944</v>
      </c>
    </row>
    <row r="38" spans="1:15" s="237" customFormat="1" ht="12" x14ac:dyDescent="0.2">
      <c r="A38" s="235"/>
      <c r="B38" s="230"/>
      <c r="C38" s="236" t="s">
        <v>752</v>
      </c>
      <c r="F38" s="238">
        <v>10699.383763525901</v>
      </c>
      <c r="G38" s="238">
        <v>0.66082228897293005</v>
      </c>
      <c r="H38" s="238">
        <v>16.520557224323301</v>
      </c>
      <c r="I38" s="238">
        <v>4.1249930119142704</v>
      </c>
      <c r="J38" s="238">
        <v>1229.24791755045</v>
      </c>
      <c r="K38" s="238">
        <v>0</v>
      </c>
      <c r="L38" s="238">
        <v>0</v>
      </c>
      <c r="M38" s="238">
        <v>0</v>
      </c>
      <c r="N38" s="238">
        <v>0</v>
      </c>
      <c r="O38" s="238">
        <v>11945.1522383007</v>
      </c>
    </row>
    <row r="39" spans="1:15" s="237" customFormat="1" ht="12" x14ac:dyDescent="0.2">
      <c r="A39" s="235"/>
      <c r="B39" s="230"/>
      <c r="C39" s="236" t="s">
        <v>753</v>
      </c>
      <c r="F39" s="238">
        <v>1798.5584198543499</v>
      </c>
      <c r="G39" s="238">
        <v>1.07816487380055</v>
      </c>
      <c r="H39" s="238">
        <v>26.954121845013798</v>
      </c>
      <c r="I39" s="238">
        <v>0.47477483959968497</v>
      </c>
      <c r="J39" s="238">
        <v>141.48290220070601</v>
      </c>
      <c r="K39" s="238">
        <v>0</v>
      </c>
      <c r="L39" s="238">
        <v>0</v>
      </c>
      <c r="M39" s="238">
        <v>0</v>
      </c>
      <c r="N39" s="238">
        <v>0</v>
      </c>
      <c r="O39" s="238">
        <v>1966.9954439000701</v>
      </c>
    </row>
    <row r="40" spans="1:15" s="237" customFormat="1" ht="12" x14ac:dyDescent="0.2">
      <c r="A40" s="235"/>
      <c r="B40" s="230"/>
      <c r="C40" s="236" t="s">
        <v>754</v>
      </c>
      <c r="F40" s="238">
        <v>10701.575404143199</v>
      </c>
      <c r="G40" s="238">
        <v>0.94026058630042397</v>
      </c>
      <c r="H40" s="238">
        <v>23.5065146575106</v>
      </c>
      <c r="I40" s="238">
        <v>3.8671595485593802</v>
      </c>
      <c r="J40" s="238">
        <v>1152.41354547069</v>
      </c>
      <c r="K40" s="238">
        <v>0</v>
      </c>
      <c r="L40" s="238">
        <v>0</v>
      </c>
      <c r="M40" s="238">
        <v>0</v>
      </c>
      <c r="N40" s="238">
        <v>0</v>
      </c>
      <c r="O40" s="238">
        <v>11877.4954642714</v>
      </c>
    </row>
    <row r="41" spans="1:15" s="237" customFormat="1" ht="12" x14ac:dyDescent="0.2">
      <c r="A41" s="235"/>
      <c r="B41" s="230"/>
      <c r="C41" s="236" t="s">
        <v>755</v>
      </c>
      <c r="F41" s="238">
        <v>593.53893721694999</v>
      </c>
      <c r="G41" s="238">
        <v>0.52034884669666603</v>
      </c>
      <c r="H41" s="238">
        <v>13.008721167416599</v>
      </c>
      <c r="I41" s="238">
        <v>7.2047263501405404E-2</v>
      </c>
      <c r="J41" s="238">
        <v>21.470084523418802</v>
      </c>
      <c r="K41" s="238">
        <v>0</v>
      </c>
      <c r="L41" s="238">
        <v>0</v>
      </c>
      <c r="M41" s="238">
        <v>0</v>
      </c>
      <c r="N41" s="238">
        <v>0</v>
      </c>
      <c r="O41" s="238">
        <v>628.01774290778496</v>
      </c>
    </row>
    <row r="42" spans="1:15" s="237" customFormat="1" ht="12" x14ac:dyDescent="0.2">
      <c r="A42" s="235"/>
      <c r="B42" s="230"/>
      <c r="C42" s="236" t="s">
        <v>756</v>
      </c>
      <c r="F42" s="238">
        <v>4228.9176873338001</v>
      </c>
      <c r="G42" s="238">
        <v>3.64215664697547</v>
      </c>
      <c r="H42" s="238">
        <v>91.0539161743867</v>
      </c>
      <c r="I42" s="238">
        <v>0.54793398005470395</v>
      </c>
      <c r="J42" s="238">
        <v>163.28432605630201</v>
      </c>
      <c r="K42" s="238">
        <v>0</v>
      </c>
      <c r="L42" s="238">
        <v>0</v>
      </c>
      <c r="M42" s="238">
        <v>0</v>
      </c>
      <c r="N42" s="238">
        <v>0</v>
      </c>
      <c r="O42" s="238">
        <v>4483.2559295644896</v>
      </c>
    </row>
    <row r="43" spans="1:15" s="237" customFormat="1" ht="12" x14ac:dyDescent="0.2">
      <c r="A43" s="235"/>
      <c r="B43" s="230"/>
      <c r="C43" s="253" t="s">
        <v>757</v>
      </c>
      <c r="F43" s="238">
        <v>7280.8235999999997</v>
      </c>
      <c r="G43" s="238">
        <v>7.3006768500000003</v>
      </c>
      <c r="H43" s="238">
        <v>182.51692125</v>
      </c>
      <c r="I43" s="238">
        <v>0.19977900000000001</v>
      </c>
      <c r="J43" s="238">
        <v>59.534142000000003</v>
      </c>
      <c r="K43" s="238">
        <v>0</v>
      </c>
      <c r="L43" s="238">
        <v>0</v>
      </c>
      <c r="M43" s="238">
        <v>0</v>
      </c>
      <c r="N43" s="238">
        <v>0</v>
      </c>
      <c r="O43" s="238">
        <v>7522.8746632499997</v>
      </c>
    </row>
    <row r="44" spans="1:15" s="240" customFormat="1" ht="12.75" x14ac:dyDescent="0.2">
      <c r="A44" s="224" t="s">
        <v>758</v>
      </c>
      <c r="B44" s="225" t="s">
        <v>759</v>
      </c>
      <c r="C44" s="225"/>
      <c r="F44" s="226">
        <v>14732.198665243401</v>
      </c>
      <c r="G44" s="226">
        <v>1754.0673346890701</v>
      </c>
      <c r="H44" s="226">
        <v>43851.683367226797</v>
      </c>
      <c r="I44" s="226">
        <v>0.13313315397304501</v>
      </c>
      <c r="J44" s="226">
        <v>39.673679883967402</v>
      </c>
      <c r="K44" s="226">
        <v>0</v>
      </c>
      <c r="L44" s="226">
        <v>0</v>
      </c>
      <c r="M44" s="226">
        <v>0</v>
      </c>
      <c r="N44" s="226">
        <v>0</v>
      </c>
      <c r="O44" s="226">
        <v>58623.555712354202</v>
      </c>
    </row>
    <row r="45" spans="1:15" s="234" customFormat="1" ht="12.75" x14ac:dyDescent="0.2">
      <c r="A45" s="228"/>
      <c r="B45" s="229" t="s">
        <v>760</v>
      </c>
      <c r="C45" s="229"/>
      <c r="F45" s="231">
        <v>0</v>
      </c>
      <c r="G45" s="231">
        <v>52.178431429983</v>
      </c>
      <c r="H45" s="231">
        <v>1304.4607857495801</v>
      </c>
      <c r="I45" s="231">
        <v>0</v>
      </c>
      <c r="J45" s="231">
        <v>0</v>
      </c>
      <c r="K45" s="231">
        <v>0</v>
      </c>
      <c r="L45" s="231">
        <v>0</v>
      </c>
      <c r="M45" s="231">
        <v>0</v>
      </c>
      <c r="N45" s="231">
        <v>0</v>
      </c>
      <c r="O45" s="231">
        <v>1304.4607857495801</v>
      </c>
    </row>
    <row r="46" spans="1:15" s="234" customFormat="1" ht="12.75" x14ac:dyDescent="0.2">
      <c r="A46" s="228"/>
      <c r="B46" s="229" t="s">
        <v>761</v>
      </c>
      <c r="C46" s="229"/>
      <c r="F46" s="231">
        <v>14732.198665243401</v>
      </c>
      <c r="G46" s="231">
        <v>1701.8889032590901</v>
      </c>
      <c r="H46" s="231">
        <v>42547.222581477203</v>
      </c>
      <c r="I46" s="231">
        <v>0.13313315397304501</v>
      </c>
      <c r="J46" s="231">
        <v>39.673679883967402</v>
      </c>
      <c r="K46" s="231">
        <v>0</v>
      </c>
      <c r="L46" s="231">
        <v>0</v>
      </c>
      <c r="M46" s="231">
        <v>0</v>
      </c>
      <c r="N46" s="231">
        <v>0</v>
      </c>
      <c r="O46" s="231">
        <v>57319.094926604601</v>
      </c>
    </row>
    <row r="47" spans="1:15" s="237" customFormat="1" ht="12" x14ac:dyDescent="0.2">
      <c r="A47" s="254"/>
      <c r="B47" s="255"/>
      <c r="C47" s="230" t="s">
        <v>762</v>
      </c>
      <c r="F47" s="238">
        <v>208.745320407376</v>
      </c>
      <c r="G47" s="238">
        <v>231.497727923192</v>
      </c>
      <c r="H47" s="238">
        <v>5787.4431980798099</v>
      </c>
      <c r="I47" s="238">
        <v>0.11376493548909999</v>
      </c>
      <c r="J47" s="238">
        <v>33.9019507757518</v>
      </c>
      <c r="K47" s="238">
        <v>0</v>
      </c>
      <c r="L47" s="238">
        <v>0</v>
      </c>
      <c r="M47" s="238">
        <v>0</v>
      </c>
      <c r="N47" s="238">
        <v>0</v>
      </c>
      <c r="O47" s="238">
        <v>6030.0904692629301</v>
      </c>
    </row>
    <row r="48" spans="1:15" s="237" customFormat="1" ht="12" x14ac:dyDescent="0.2">
      <c r="A48" s="254"/>
      <c r="B48" s="255"/>
      <c r="C48" s="230" t="s">
        <v>763</v>
      </c>
      <c r="F48" s="238">
        <v>65.732492634617898</v>
      </c>
      <c r="G48" s="238">
        <v>522.27511206131396</v>
      </c>
      <c r="H48" s="238">
        <v>13056.877801532801</v>
      </c>
      <c r="I48" s="238">
        <v>0</v>
      </c>
      <c r="J48" s="238">
        <v>0</v>
      </c>
      <c r="K48" s="238">
        <v>0</v>
      </c>
      <c r="L48" s="238">
        <v>0</v>
      </c>
      <c r="M48" s="238">
        <v>0</v>
      </c>
      <c r="N48" s="238">
        <v>0</v>
      </c>
      <c r="O48" s="238">
        <v>13122.6102941675</v>
      </c>
    </row>
    <row r="49" spans="1:16" s="237" customFormat="1" ht="12" x14ac:dyDescent="0.2">
      <c r="A49" s="256"/>
      <c r="B49" s="257"/>
      <c r="C49" s="258" t="s">
        <v>380</v>
      </c>
      <c r="D49" s="243"/>
      <c r="E49" s="243"/>
      <c r="F49" s="244">
        <v>9772.8307925865993</v>
      </c>
      <c r="G49" s="244">
        <v>926.54236284813396</v>
      </c>
      <c r="H49" s="244">
        <v>23163.559071203399</v>
      </c>
      <c r="I49" s="244">
        <v>0</v>
      </c>
      <c r="J49" s="244">
        <v>0</v>
      </c>
      <c r="K49" s="244">
        <v>0</v>
      </c>
      <c r="L49" s="244">
        <v>0</v>
      </c>
      <c r="M49" s="244">
        <v>0</v>
      </c>
      <c r="N49" s="244">
        <v>0</v>
      </c>
      <c r="O49" s="244">
        <v>32936.389863789998</v>
      </c>
    </row>
    <row r="50" spans="1:16" s="237" customFormat="1" ht="12" x14ac:dyDescent="0.2">
      <c r="A50" s="256"/>
      <c r="B50" s="257"/>
      <c r="C50" s="258" t="s">
        <v>381</v>
      </c>
      <c r="D50" s="243"/>
      <c r="E50" s="243"/>
      <c r="F50" s="244">
        <v>4684.8900596147896</v>
      </c>
      <c r="G50" s="244">
        <v>21.573700426449602</v>
      </c>
      <c r="H50" s="244">
        <v>539.34251066124</v>
      </c>
      <c r="I50" s="244">
        <v>1.9368218483944901E-2</v>
      </c>
      <c r="J50" s="244">
        <v>5.7717291082155899</v>
      </c>
      <c r="K50" s="244">
        <v>0</v>
      </c>
      <c r="L50" s="244">
        <v>0</v>
      </c>
      <c r="M50" s="244">
        <v>0</v>
      </c>
      <c r="N50" s="244">
        <v>0</v>
      </c>
      <c r="O50" s="244">
        <v>5230.0042993842399</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39431.445711300999</v>
      </c>
      <c r="G52" s="266">
        <v>3.2892012766221601</v>
      </c>
      <c r="H52" s="266">
        <v>82.230031915554093</v>
      </c>
      <c r="I52" s="266">
        <v>13.038854042813201</v>
      </c>
      <c r="J52" s="266">
        <v>3885.5785047583299</v>
      </c>
      <c r="K52" s="266">
        <v>6077.8325725283303</v>
      </c>
      <c r="L52" s="266">
        <v>2601.8637405664999</v>
      </c>
      <c r="M52" s="266">
        <v>644.34504499019795</v>
      </c>
      <c r="N52" s="266">
        <v>0.16838582133333399</v>
      </c>
      <c r="O52" s="266">
        <v>52723.463991881297</v>
      </c>
    </row>
    <row r="53" spans="1:16" s="240" customFormat="1" ht="12.75" x14ac:dyDescent="0.2">
      <c r="A53" s="224" t="s">
        <v>724</v>
      </c>
      <c r="B53" s="225" t="s">
        <v>767</v>
      </c>
      <c r="C53" s="225"/>
      <c r="D53" s="268"/>
      <c r="E53" s="268"/>
      <c r="F53" s="269">
        <v>9273.7861068335296</v>
      </c>
      <c r="G53" s="269">
        <v>0</v>
      </c>
      <c r="H53" s="269">
        <v>0</v>
      </c>
      <c r="I53" s="269">
        <v>0</v>
      </c>
      <c r="J53" s="269">
        <v>0</v>
      </c>
      <c r="K53" s="269">
        <v>0</v>
      </c>
      <c r="L53" s="269">
        <v>0</v>
      </c>
      <c r="M53" s="269">
        <v>0</v>
      </c>
      <c r="N53" s="269">
        <v>0</v>
      </c>
      <c r="O53" s="269">
        <v>9273.7861068335296</v>
      </c>
    </row>
    <row r="54" spans="1:16" s="273" customFormat="1" ht="12" x14ac:dyDescent="0.2">
      <c r="A54" s="235"/>
      <c r="B54" s="270"/>
      <c r="C54" s="236" t="s">
        <v>560</v>
      </c>
      <c r="D54" s="271"/>
      <c r="E54" s="271"/>
      <c r="F54" s="272">
        <v>6983.8661466829899</v>
      </c>
      <c r="G54" s="272">
        <v>0</v>
      </c>
      <c r="H54" s="272">
        <v>0</v>
      </c>
      <c r="I54" s="272">
        <v>0</v>
      </c>
      <c r="J54" s="272">
        <v>0</v>
      </c>
      <c r="K54" s="272">
        <v>0</v>
      </c>
      <c r="L54" s="272">
        <v>0</v>
      </c>
      <c r="M54" s="272">
        <v>0</v>
      </c>
      <c r="N54" s="272">
        <v>0</v>
      </c>
      <c r="O54" s="272">
        <v>6983.8661466829899</v>
      </c>
      <c r="P54" s="271"/>
    </row>
    <row r="55" spans="1:16" s="273" customFormat="1" ht="12" x14ac:dyDescent="0.2">
      <c r="A55" s="235"/>
      <c r="B55" s="270"/>
      <c r="C55" s="236" t="s">
        <v>191</v>
      </c>
      <c r="D55" s="271"/>
      <c r="E55" s="271"/>
      <c r="F55" s="272">
        <v>1538.2899011285699</v>
      </c>
      <c r="G55" s="272">
        <v>0</v>
      </c>
      <c r="H55" s="272">
        <v>0</v>
      </c>
      <c r="I55" s="272">
        <v>0</v>
      </c>
      <c r="J55" s="272">
        <v>0</v>
      </c>
      <c r="K55" s="272">
        <v>0</v>
      </c>
      <c r="L55" s="272">
        <v>0</v>
      </c>
      <c r="M55" s="272">
        <v>0</v>
      </c>
      <c r="N55" s="272">
        <v>0</v>
      </c>
      <c r="O55" s="272">
        <v>1538.2899011285699</v>
      </c>
      <c r="P55" s="271"/>
    </row>
    <row r="56" spans="1:16" s="273" customFormat="1" ht="12" x14ac:dyDescent="0.2">
      <c r="A56" s="235"/>
      <c r="B56" s="270"/>
      <c r="C56" s="236" t="s">
        <v>768</v>
      </c>
      <c r="D56" s="271"/>
      <c r="E56" s="271"/>
      <c r="F56" s="272">
        <v>751.63005902196505</v>
      </c>
      <c r="G56" s="272">
        <v>0</v>
      </c>
      <c r="H56" s="272">
        <v>0</v>
      </c>
      <c r="I56" s="272">
        <v>0</v>
      </c>
      <c r="J56" s="272">
        <v>0</v>
      </c>
      <c r="K56" s="272">
        <v>0</v>
      </c>
      <c r="L56" s="272">
        <v>0</v>
      </c>
      <c r="M56" s="272">
        <v>0</v>
      </c>
      <c r="N56" s="272">
        <v>0</v>
      </c>
      <c r="O56" s="272">
        <v>751.63005902196505</v>
      </c>
      <c r="P56" s="271"/>
    </row>
    <row r="57" spans="1:16" s="275" customFormat="1" ht="12.75" x14ac:dyDescent="0.2">
      <c r="A57" s="224" t="s">
        <v>737</v>
      </c>
      <c r="B57" s="225" t="s">
        <v>769</v>
      </c>
      <c r="C57" s="225"/>
      <c r="D57" s="274"/>
      <c r="E57" s="274"/>
      <c r="F57" s="269">
        <v>4787.2910217019698</v>
      </c>
      <c r="G57" s="269">
        <v>3.1901022766221598</v>
      </c>
      <c r="H57" s="269">
        <v>79.752556915554095</v>
      </c>
      <c r="I57" s="269">
        <v>11.936839490606999</v>
      </c>
      <c r="J57" s="269">
        <v>3557.17816820089</v>
      </c>
      <c r="K57" s="269">
        <v>0</v>
      </c>
      <c r="L57" s="269">
        <v>0</v>
      </c>
      <c r="M57" s="269">
        <v>0</v>
      </c>
      <c r="N57" s="269">
        <v>0</v>
      </c>
      <c r="O57" s="269">
        <v>8424.2217468184099</v>
      </c>
      <c r="P57" s="274"/>
    </row>
    <row r="58" spans="1:16" s="277" customFormat="1" ht="12" x14ac:dyDescent="0.2">
      <c r="A58" s="235"/>
      <c r="B58" s="270"/>
      <c r="C58" s="236" t="s">
        <v>192</v>
      </c>
      <c r="D58" s="276"/>
      <c r="E58" s="276"/>
      <c r="F58" s="272">
        <v>2805.04440098547</v>
      </c>
      <c r="G58" s="272">
        <v>0</v>
      </c>
      <c r="H58" s="272">
        <v>0</v>
      </c>
      <c r="I58" s="272">
        <v>0</v>
      </c>
      <c r="J58" s="272">
        <v>0</v>
      </c>
      <c r="K58" s="272">
        <v>0</v>
      </c>
      <c r="L58" s="272">
        <v>0</v>
      </c>
      <c r="M58" s="272">
        <v>0</v>
      </c>
      <c r="N58" s="272">
        <v>0</v>
      </c>
      <c r="O58" s="272">
        <v>2805.04440098547</v>
      </c>
      <c r="P58" s="276"/>
    </row>
    <row r="59" spans="1:16" s="277" customFormat="1" ht="12" x14ac:dyDescent="0.2">
      <c r="A59" s="235"/>
      <c r="B59" s="270"/>
      <c r="C59" s="236" t="s">
        <v>190</v>
      </c>
      <c r="D59" s="276"/>
      <c r="E59" s="276"/>
      <c r="F59" s="272">
        <v>0</v>
      </c>
      <c r="G59" s="272">
        <v>0</v>
      </c>
      <c r="H59" s="272">
        <v>0</v>
      </c>
      <c r="I59" s="272">
        <v>4.1335987799999998</v>
      </c>
      <c r="J59" s="272">
        <v>1231.8124364400001</v>
      </c>
      <c r="K59" s="272">
        <v>0</v>
      </c>
      <c r="L59" s="272">
        <v>0</v>
      </c>
      <c r="M59" s="272">
        <v>0</v>
      </c>
      <c r="N59" s="272">
        <v>0</v>
      </c>
      <c r="O59" s="272">
        <v>1231.8124364400001</v>
      </c>
      <c r="P59" s="276"/>
    </row>
    <row r="60" spans="1:16" s="277" customFormat="1" ht="12" x14ac:dyDescent="0.2">
      <c r="A60" s="235"/>
      <c r="B60" s="270"/>
      <c r="C60" s="236" t="s">
        <v>770</v>
      </c>
      <c r="D60" s="276"/>
      <c r="E60" s="276"/>
      <c r="F60" s="272">
        <v>0</v>
      </c>
      <c r="G60" s="272">
        <v>0</v>
      </c>
      <c r="H60" s="272">
        <v>0</v>
      </c>
      <c r="I60" s="272">
        <v>7.7695210000000001</v>
      </c>
      <c r="J60" s="272">
        <v>2315.317258</v>
      </c>
      <c r="K60" s="272">
        <v>0</v>
      </c>
      <c r="L60" s="272">
        <v>0</v>
      </c>
      <c r="M60" s="272">
        <v>0</v>
      </c>
      <c r="N60" s="272">
        <v>0</v>
      </c>
      <c r="O60" s="272">
        <v>2315.317258</v>
      </c>
      <c r="P60" s="276"/>
    </row>
    <row r="61" spans="1:16" s="277" customFormat="1" ht="12" x14ac:dyDescent="0.2">
      <c r="A61" s="235"/>
      <c r="B61" s="270"/>
      <c r="C61" s="236" t="s">
        <v>771</v>
      </c>
      <c r="D61" s="276"/>
      <c r="E61" s="276"/>
      <c r="F61" s="272">
        <v>1982.2466207165</v>
      </c>
      <c r="G61" s="272">
        <v>3.1901022766221598</v>
      </c>
      <c r="H61" s="272">
        <v>79.752556915554095</v>
      </c>
      <c r="I61" s="272">
        <v>3.3719710607003198E-2</v>
      </c>
      <c r="J61" s="272">
        <v>10.048473760886999</v>
      </c>
      <c r="K61" s="272">
        <v>0</v>
      </c>
      <c r="L61" s="272">
        <v>0</v>
      </c>
      <c r="M61" s="272">
        <v>0</v>
      </c>
      <c r="N61" s="272">
        <v>0</v>
      </c>
      <c r="O61" s="272">
        <v>2072.0476513929402</v>
      </c>
      <c r="P61" s="276"/>
    </row>
    <row r="62" spans="1:16" s="240" customFormat="1" ht="12.75" x14ac:dyDescent="0.2">
      <c r="A62" s="224" t="s">
        <v>758</v>
      </c>
      <c r="B62" s="225" t="s">
        <v>772</v>
      </c>
      <c r="C62" s="225"/>
      <c r="D62" s="268"/>
      <c r="E62" s="268"/>
      <c r="F62" s="269">
        <v>15975.8537607487</v>
      </c>
      <c r="G62" s="269">
        <v>9.9099000000000007E-2</v>
      </c>
      <c r="H62" s="269">
        <v>2.4774750000000001</v>
      </c>
      <c r="I62" s="269">
        <v>0</v>
      </c>
      <c r="J62" s="269">
        <v>0</v>
      </c>
      <c r="K62" s="269">
        <v>0</v>
      </c>
      <c r="L62" s="269">
        <v>2588.7057</v>
      </c>
      <c r="M62" s="269">
        <v>438.41364080712799</v>
      </c>
      <c r="N62" s="269">
        <v>0</v>
      </c>
      <c r="O62" s="269">
        <v>19005.450576555799</v>
      </c>
      <c r="P62" s="268"/>
    </row>
    <row r="63" spans="1:16" s="273" customFormat="1" ht="12" x14ac:dyDescent="0.2">
      <c r="A63" s="235"/>
      <c r="B63" s="230"/>
      <c r="C63" s="230" t="s">
        <v>773</v>
      </c>
      <c r="D63" s="271"/>
      <c r="E63" s="271"/>
      <c r="F63" s="272">
        <v>10803.6597607487</v>
      </c>
      <c r="G63" s="272">
        <v>9.9099000000000007E-2</v>
      </c>
      <c r="H63" s="272">
        <v>2.4774750000000001</v>
      </c>
      <c r="I63" s="272">
        <v>0</v>
      </c>
      <c r="J63" s="272">
        <v>0</v>
      </c>
      <c r="K63" s="272">
        <v>0</v>
      </c>
      <c r="L63" s="272">
        <v>0</v>
      </c>
      <c r="M63" s="272">
        <v>0</v>
      </c>
      <c r="N63" s="272">
        <v>0</v>
      </c>
      <c r="O63" s="272">
        <v>10806.1372357487</v>
      </c>
      <c r="P63" s="271"/>
    </row>
    <row r="64" spans="1:16" s="273" customFormat="1" ht="12" x14ac:dyDescent="0.2">
      <c r="A64" s="235"/>
      <c r="B64" s="230"/>
      <c r="C64" s="230" t="s">
        <v>252</v>
      </c>
      <c r="D64" s="271"/>
      <c r="E64" s="271"/>
      <c r="F64" s="272">
        <v>5172.1940000000004</v>
      </c>
      <c r="G64" s="272">
        <v>0</v>
      </c>
      <c r="H64" s="272">
        <v>0</v>
      </c>
      <c r="I64" s="272">
        <v>0</v>
      </c>
      <c r="J64" s="272">
        <v>0</v>
      </c>
      <c r="K64" s="272">
        <v>0</v>
      </c>
      <c r="L64" s="272">
        <v>2588.7057</v>
      </c>
      <c r="M64" s="272">
        <v>3.5707280334728</v>
      </c>
      <c r="N64" s="272">
        <v>0</v>
      </c>
      <c r="O64" s="272">
        <v>7764.4704280334699</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434.84291277365497</v>
      </c>
      <c r="N65" s="272">
        <v>0</v>
      </c>
      <c r="O65" s="272">
        <v>434.84291277365497</v>
      </c>
      <c r="P65" s="271"/>
    </row>
    <row r="66" spans="1:16" s="234" customFormat="1" x14ac:dyDescent="0.25">
      <c r="A66" s="278" t="s">
        <v>764</v>
      </c>
      <c r="B66" s="279" t="s">
        <v>775</v>
      </c>
      <c r="C66" s="279"/>
      <c r="D66" s="251"/>
      <c r="E66" s="251"/>
      <c r="F66" s="252">
        <v>0</v>
      </c>
      <c r="G66" s="252">
        <v>0</v>
      </c>
      <c r="H66" s="252">
        <v>0</v>
      </c>
      <c r="I66" s="252">
        <v>0</v>
      </c>
      <c r="J66" s="252">
        <v>0</v>
      </c>
      <c r="K66" s="252">
        <v>6077.8325725283303</v>
      </c>
      <c r="L66" s="252">
        <v>8.8562558740272905</v>
      </c>
      <c r="M66" s="252">
        <v>1.7619641830697801</v>
      </c>
      <c r="N66" s="252">
        <v>0.16838582133333399</v>
      </c>
      <c r="O66" s="252">
        <v>6088.6191784067596</v>
      </c>
      <c r="P66" s="251"/>
    </row>
    <row r="67" spans="1:16" s="234" customFormat="1" ht="12.75" x14ac:dyDescent="0.2">
      <c r="A67" s="278" t="s">
        <v>776</v>
      </c>
      <c r="B67" s="279" t="s">
        <v>777</v>
      </c>
      <c r="C67" s="279"/>
      <c r="D67" s="251"/>
      <c r="E67" s="251"/>
      <c r="F67" s="252">
        <v>9394.5148099248199</v>
      </c>
      <c r="G67" s="252">
        <v>0</v>
      </c>
      <c r="H67" s="252">
        <v>0</v>
      </c>
      <c r="I67" s="252">
        <v>0</v>
      </c>
      <c r="J67" s="252">
        <v>0</v>
      </c>
      <c r="K67" s="252">
        <v>0</v>
      </c>
      <c r="L67" s="252">
        <v>0</v>
      </c>
      <c r="M67" s="252">
        <v>0</v>
      </c>
      <c r="N67" s="252">
        <v>0</v>
      </c>
      <c r="O67" s="252">
        <v>9394.5148099248199</v>
      </c>
      <c r="P67" s="251"/>
    </row>
    <row r="68" spans="1:16" s="234" customFormat="1" ht="12.75" x14ac:dyDescent="0.2">
      <c r="A68" s="259" t="s">
        <v>778</v>
      </c>
      <c r="B68" s="260" t="s">
        <v>779</v>
      </c>
      <c r="C68" s="260"/>
      <c r="D68" s="280"/>
      <c r="E68" s="280"/>
      <c r="F68" s="281">
        <v>1.2092039699149699E-5</v>
      </c>
      <c r="G68" s="281">
        <v>0</v>
      </c>
      <c r="H68" s="281">
        <v>0</v>
      </c>
      <c r="I68" s="281">
        <v>1.1020145522061999</v>
      </c>
      <c r="J68" s="281">
        <v>328.40033655744799</v>
      </c>
      <c r="K68" s="281">
        <v>0</v>
      </c>
      <c r="L68" s="281">
        <v>4.3017846924712604</v>
      </c>
      <c r="M68" s="281">
        <v>204.16944000000001</v>
      </c>
      <c r="N68" s="281">
        <v>0</v>
      </c>
      <c r="O68" s="281">
        <v>536.87157334195899</v>
      </c>
      <c r="P68" s="251"/>
    </row>
    <row r="69" spans="1:16" s="267" customFormat="1" ht="12.75" x14ac:dyDescent="0.2">
      <c r="A69" s="282" t="s">
        <v>780</v>
      </c>
      <c r="B69" s="283"/>
      <c r="C69" s="283"/>
      <c r="D69" s="284"/>
      <c r="E69" s="284"/>
      <c r="F69" s="285">
        <v>1722.1991863999999</v>
      </c>
      <c r="G69" s="285">
        <v>1295.4841710836399</v>
      </c>
      <c r="H69" s="285">
        <v>32387.104277091101</v>
      </c>
      <c r="I69" s="285">
        <v>86.201803606587006</v>
      </c>
      <c r="J69" s="285">
        <v>25688.137474762902</v>
      </c>
      <c r="K69" s="285">
        <v>0</v>
      </c>
      <c r="L69" s="285">
        <v>0</v>
      </c>
      <c r="M69" s="285">
        <v>0</v>
      </c>
      <c r="N69" s="285">
        <v>0</v>
      </c>
      <c r="O69" s="285">
        <v>59797.440938254003</v>
      </c>
      <c r="P69" s="265"/>
    </row>
    <row r="70" spans="1:16" s="234" customFormat="1" ht="12.75" x14ac:dyDescent="0.2">
      <c r="A70" s="278" t="s">
        <v>724</v>
      </c>
      <c r="B70" s="279" t="s">
        <v>27</v>
      </c>
      <c r="C70" s="279"/>
      <c r="D70" s="251"/>
      <c r="E70" s="251"/>
      <c r="F70" s="252">
        <v>0</v>
      </c>
      <c r="G70" s="252">
        <v>1140.80520259427</v>
      </c>
      <c r="H70" s="252">
        <v>28520.130064856701</v>
      </c>
      <c r="I70" s="252">
        <v>0</v>
      </c>
      <c r="J70" s="252">
        <v>0</v>
      </c>
      <c r="K70" s="252">
        <v>0</v>
      </c>
      <c r="L70" s="252">
        <v>0</v>
      </c>
      <c r="M70" s="252">
        <v>0</v>
      </c>
      <c r="N70" s="252">
        <v>0</v>
      </c>
      <c r="O70" s="252">
        <v>28520.130064856701</v>
      </c>
      <c r="P70" s="251"/>
    </row>
    <row r="71" spans="1:16" s="234" customFormat="1" ht="12.75" x14ac:dyDescent="0.2">
      <c r="A71" s="278" t="s">
        <v>737</v>
      </c>
      <c r="B71" s="279" t="s">
        <v>28</v>
      </c>
      <c r="C71" s="279"/>
      <c r="D71" s="251"/>
      <c r="E71" s="251"/>
      <c r="F71" s="252">
        <v>0</v>
      </c>
      <c r="G71" s="252">
        <v>153.136115340022</v>
      </c>
      <c r="H71" s="252">
        <v>3828.4028835005602</v>
      </c>
      <c r="I71" s="252">
        <v>17.265210623204101</v>
      </c>
      <c r="J71" s="252">
        <v>5145.03276571482</v>
      </c>
      <c r="K71" s="252">
        <v>0</v>
      </c>
      <c r="L71" s="252">
        <v>0</v>
      </c>
      <c r="M71" s="252">
        <v>0</v>
      </c>
      <c r="N71" s="252">
        <v>0</v>
      </c>
      <c r="O71" s="252">
        <v>8973.4356492153693</v>
      </c>
      <c r="P71" s="251"/>
    </row>
    <row r="72" spans="1:16" s="234" customFormat="1" ht="12.75" x14ac:dyDescent="0.2">
      <c r="A72" s="224" t="s">
        <v>758</v>
      </c>
      <c r="B72" s="225" t="s">
        <v>781</v>
      </c>
      <c r="C72" s="225"/>
      <c r="F72" s="231">
        <v>0</v>
      </c>
      <c r="G72" s="231">
        <v>0</v>
      </c>
      <c r="H72" s="231">
        <v>0</v>
      </c>
      <c r="I72" s="231">
        <v>68.896593086918202</v>
      </c>
      <c r="J72" s="231">
        <v>20531.184739901601</v>
      </c>
      <c r="K72" s="231">
        <v>0</v>
      </c>
      <c r="L72" s="231">
        <v>0</v>
      </c>
      <c r="M72" s="231">
        <v>0</v>
      </c>
      <c r="N72" s="231">
        <v>0</v>
      </c>
      <c r="O72" s="231">
        <v>20531.184739901601</v>
      </c>
    </row>
    <row r="73" spans="1:16" s="237" customFormat="1" ht="12" x14ac:dyDescent="0.2">
      <c r="A73" s="286"/>
      <c r="B73" s="258"/>
      <c r="C73" s="258" t="s">
        <v>782</v>
      </c>
      <c r="D73" s="243"/>
      <c r="E73" s="243"/>
      <c r="F73" s="244">
        <v>0</v>
      </c>
      <c r="G73" s="244">
        <v>0</v>
      </c>
      <c r="H73" s="244">
        <v>0</v>
      </c>
      <c r="I73" s="244">
        <v>56.704317881803803</v>
      </c>
      <c r="J73" s="244">
        <v>16897.886728777499</v>
      </c>
      <c r="K73" s="244">
        <v>0</v>
      </c>
      <c r="L73" s="244">
        <v>0</v>
      </c>
      <c r="M73" s="244">
        <v>0</v>
      </c>
      <c r="N73" s="244">
        <v>0</v>
      </c>
      <c r="O73" s="244">
        <v>16897.886728777499</v>
      </c>
    </row>
    <row r="74" spans="1:16" s="237" customFormat="1" ht="12" x14ac:dyDescent="0.2">
      <c r="A74" s="286"/>
      <c r="B74" s="258"/>
      <c r="C74" s="258" t="s">
        <v>783</v>
      </c>
      <c r="D74" s="243"/>
      <c r="E74" s="243"/>
      <c r="F74" s="244">
        <v>0</v>
      </c>
      <c r="G74" s="244">
        <v>0</v>
      </c>
      <c r="H74" s="244">
        <v>0</v>
      </c>
      <c r="I74" s="244">
        <v>12.192275205114401</v>
      </c>
      <c r="J74" s="244">
        <v>3633.29801112409</v>
      </c>
      <c r="K74" s="244">
        <v>0</v>
      </c>
      <c r="L74" s="244">
        <v>0</v>
      </c>
      <c r="M74" s="244">
        <v>0</v>
      </c>
      <c r="N74" s="244">
        <v>0</v>
      </c>
      <c r="O74" s="244">
        <v>3633.29801112409</v>
      </c>
    </row>
    <row r="75" spans="1:16" s="234" customFormat="1" ht="12.75" x14ac:dyDescent="0.2">
      <c r="A75" s="278" t="s">
        <v>764</v>
      </c>
      <c r="B75" s="279" t="s">
        <v>193</v>
      </c>
      <c r="C75" s="287"/>
      <c r="D75" s="251"/>
      <c r="E75" s="251"/>
      <c r="F75" s="252">
        <v>0</v>
      </c>
      <c r="G75" s="252">
        <v>1.5428531493532001</v>
      </c>
      <c r="H75" s="252">
        <v>38.571328733829901</v>
      </c>
      <c r="I75" s="252">
        <v>3.9999896464712498E-2</v>
      </c>
      <c r="J75" s="252">
        <v>11.9199691464843</v>
      </c>
      <c r="K75" s="252">
        <v>0</v>
      </c>
      <c r="L75" s="252">
        <v>0</v>
      </c>
      <c r="M75" s="252">
        <v>0</v>
      </c>
      <c r="N75" s="252">
        <v>0</v>
      </c>
      <c r="O75" s="252">
        <v>50.491297880314299</v>
      </c>
    </row>
    <row r="76" spans="1:16" s="234" customFormat="1" ht="12.75" x14ac:dyDescent="0.2">
      <c r="A76" s="259" t="s">
        <v>776</v>
      </c>
      <c r="B76" s="260" t="s">
        <v>784</v>
      </c>
      <c r="C76" s="288"/>
      <c r="D76" s="280"/>
      <c r="E76" s="280"/>
      <c r="F76" s="281">
        <v>1722.1991863999999</v>
      </c>
      <c r="G76" s="281">
        <v>0</v>
      </c>
      <c r="H76" s="281">
        <v>0</v>
      </c>
      <c r="I76" s="281">
        <v>0</v>
      </c>
      <c r="J76" s="281">
        <v>0</v>
      </c>
      <c r="K76" s="281">
        <v>0</v>
      </c>
      <c r="L76" s="281">
        <v>0</v>
      </c>
      <c r="M76" s="281">
        <v>0</v>
      </c>
      <c r="N76" s="281">
        <v>0</v>
      </c>
      <c r="O76" s="281">
        <v>1722.1991863999999</v>
      </c>
    </row>
    <row r="77" spans="1:16" s="234" customFormat="1" ht="12.75" x14ac:dyDescent="0.2">
      <c r="A77" s="220" t="s">
        <v>785</v>
      </c>
      <c r="B77" s="289"/>
      <c r="C77" s="289"/>
      <c r="F77" s="223">
        <v>489.29419215000001</v>
      </c>
      <c r="G77" s="223">
        <v>971.54097954999997</v>
      </c>
      <c r="H77" s="223">
        <v>24288.524488750001</v>
      </c>
      <c r="I77" s="223">
        <v>4.09812069</v>
      </c>
      <c r="J77" s="223">
        <v>1221.23996562</v>
      </c>
      <c r="K77" s="223">
        <v>0</v>
      </c>
      <c r="L77" s="223">
        <v>0</v>
      </c>
      <c r="M77" s="223">
        <v>0</v>
      </c>
      <c r="N77" s="223">
        <v>0</v>
      </c>
      <c r="O77" s="223">
        <v>25999.058646519999</v>
      </c>
    </row>
    <row r="78" spans="1:16" s="234" customFormat="1" ht="12.75" x14ac:dyDescent="0.2">
      <c r="A78" s="224" t="s">
        <v>724</v>
      </c>
      <c r="B78" s="225" t="s">
        <v>786</v>
      </c>
      <c r="C78" s="225"/>
      <c r="F78" s="231">
        <v>0</v>
      </c>
      <c r="G78" s="231">
        <v>934.07511152999996</v>
      </c>
      <c r="H78" s="231">
        <v>23351.87778825</v>
      </c>
      <c r="I78" s="231">
        <v>0</v>
      </c>
      <c r="J78" s="231">
        <v>0</v>
      </c>
      <c r="K78" s="231">
        <v>0</v>
      </c>
      <c r="L78" s="231">
        <v>0</v>
      </c>
      <c r="M78" s="231">
        <v>0</v>
      </c>
      <c r="N78" s="231">
        <v>0</v>
      </c>
      <c r="O78" s="231">
        <v>23351.87778825</v>
      </c>
    </row>
    <row r="79" spans="1:16" s="234" customFormat="1" ht="12.75" x14ac:dyDescent="0.2">
      <c r="A79" s="224" t="s">
        <v>737</v>
      </c>
      <c r="B79" s="225" t="s">
        <v>787</v>
      </c>
      <c r="C79" s="225"/>
      <c r="F79" s="231">
        <v>0</v>
      </c>
      <c r="G79" s="231">
        <v>22.393399259999999</v>
      </c>
      <c r="H79" s="231">
        <v>559.83498150000003</v>
      </c>
      <c r="I79" s="231">
        <v>1.34360396</v>
      </c>
      <c r="J79" s="231">
        <v>400.39398008000001</v>
      </c>
      <c r="K79" s="231">
        <v>0</v>
      </c>
      <c r="L79" s="231">
        <v>0</v>
      </c>
      <c r="M79" s="231">
        <v>0</v>
      </c>
      <c r="N79" s="231">
        <v>0</v>
      </c>
      <c r="O79" s="231">
        <v>960.22896158000003</v>
      </c>
    </row>
    <row r="80" spans="1:16" s="234" customFormat="1" ht="12.75" x14ac:dyDescent="0.2">
      <c r="A80" s="278" t="s">
        <v>788</v>
      </c>
      <c r="B80" s="279" t="s">
        <v>789</v>
      </c>
      <c r="C80" s="279"/>
      <c r="D80" s="251"/>
      <c r="E80" s="251"/>
      <c r="F80" s="252">
        <v>0</v>
      </c>
      <c r="G80" s="252">
        <v>14.834051949999999</v>
      </c>
      <c r="H80" s="252">
        <v>370.85129875000001</v>
      </c>
      <c r="I80" s="252">
        <v>2.1433359900000002</v>
      </c>
      <c r="J80" s="252">
        <v>638.71412501999998</v>
      </c>
      <c r="K80" s="252">
        <v>0</v>
      </c>
      <c r="L80" s="252">
        <v>0</v>
      </c>
      <c r="M80" s="252">
        <v>0</v>
      </c>
      <c r="N80" s="252">
        <v>0</v>
      </c>
      <c r="O80" s="252">
        <v>1009.5654237700001</v>
      </c>
    </row>
    <row r="81" spans="1:30" s="234" customFormat="1" ht="12.75" x14ac:dyDescent="0.2">
      <c r="A81" s="259" t="s">
        <v>764</v>
      </c>
      <c r="B81" s="260" t="s">
        <v>790</v>
      </c>
      <c r="C81" s="260"/>
      <c r="D81" s="280"/>
      <c r="E81" s="280"/>
      <c r="F81" s="281">
        <v>489.29419215000001</v>
      </c>
      <c r="G81" s="281">
        <v>0.23841681000000001</v>
      </c>
      <c r="H81" s="281">
        <v>5.9604202500000003</v>
      </c>
      <c r="I81" s="281">
        <v>0.61118074</v>
      </c>
      <c r="J81" s="281">
        <v>182.13186052</v>
      </c>
      <c r="K81" s="281">
        <v>0</v>
      </c>
      <c r="L81" s="281">
        <v>0</v>
      </c>
      <c r="M81" s="281">
        <v>0</v>
      </c>
      <c r="N81" s="281">
        <v>0</v>
      </c>
      <c r="O81" s="281">
        <v>677.38647291999996</v>
      </c>
    </row>
    <row r="82" spans="1:30" s="267" customFormat="1" ht="12.75" x14ac:dyDescent="0.2">
      <c r="A82" s="263" t="s">
        <v>791</v>
      </c>
      <c r="B82" s="264"/>
      <c r="C82" s="264"/>
      <c r="F82" s="223">
        <v>-33781.673648000004</v>
      </c>
      <c r="G82" s="223">
        <v>35.944155000000002</v>
      </c>
      <c r="H82" s="223">
        <v>898.60387500000002</v>
      </c>
      <c r="I82" s="223">
        <v>1.2889219999999999</v>
      </c>
      <c r="J82" s="223">
        <v>384.09875599999998</v>
      </c>
      <c r="K82" s="223">
        <v>0</v>
      </c>
      <c r="L82" s="223">
        <v>0</v>
      </c>
      <c r="M82" s="223">
        <v>0</v>
      </c>
      <c r="N82" s="223">
        <v>0</v>
      </c>
      <c r="O82" s="223">
        <v>-32498.971017</v>
      </c>
    </row>
    <row r="83" spans="1:30" s="234" customFormat="1" ht="12.75" x14ac:dyDescent="0.2">
      <c r="A83" s="224" t="s">
        <v>724</v>
      </c>
      <c r="B83" s="225" t="s">
        <v>792</v>
      </c>
      <c r="C83" s="225"/>
      <c r="F83" s="231">
        <v>-158070.38557300001</v>
      </c>
      <c r="G83" s="231">
        <v>10.925269</v>
      </c>
      <c r="H83" s="231">
        <v>273.13172500000002</v>
      </c>
      <c r="I83" s="231">
        <v>0.44888400000000001</v>
      </c>
      <c r="J83" s="231">
        <v>133.76743200000001</v>
      </c>
      <c r="K83" s="231">
        <v>0</v>
      </c>
      <c r="L83" s="231">
        <v>0</v>
      </c>
      <c r="M83" s="231">
        <v>0</v>
      </c>
      <c r="N83" s="231">
        <v>0</v>
      </c>
      <c r="O83" s="231">
        <v>-157663.486416</v>
      </c>
    </row>
    <row r="84" spans="1:30" s="234" customFormat="1" ht="12.75" x14ac:dyDescent="0.2">
      <c r="A84" s="224" t="s">
        <v>737</v>
      </c>
      <c r="B84" s="225" t="s">
        <v>793</v>
      </c>
      <c r="C84" s="225"/>
      <c r="F84" s="231">
        <v>-11718.542439000001</v>
      </c>
      <c r="G84" s="231">
        <v>3.8092410000000001</v>
      </c>
      <c r="H84" s="231">
        <v>95.231025000000002</v>
      </c>
      <c r="I84" s="231">
        <v>0.19895599999999999</v>
      </c>
      <c r="J84" s="231">
        <v>59.288888</v>
      </c>
      <c r="K84" s="231">
        <v>0</v>
      </c>
      <c r="L84" s="231">
        <v>0</v>
      </c>
      <c r="M84" s="231">
        <v>0</v>
      </c>
      <c r="N84" s="231">
        <v>0</v>
      </c>
      <c r="O84" s="231">
        <v>-11564.022526000001</v>
      </c>
    </row>
    <row r="85" spans="1:30" s="234" customFormat="1" ht="12.75" x14ac:dyDescent="0.2">
      <c r="A85" s="278" t="s">
        <v>758</v>
      </c>
      <c r="B85" s="279" t="s">
        <v>794</v>
      </c>
      <c r="C85" s="279"/>
      <c r="F85" s="231">
        <v>0</v>
      </c>
      <c r="G85" s="231">
        <v>14.7303</v>
      </c>
      <c r="H85" s="231">
        <v>368.25749999999999</v>
      </c>
      <c r="I85" s="231">
        <v>0.38186999999999999</v>
      </c>
      <c r="J85" s="231">
        <v>113.79725999999999</v>
      </c>
      <c r="K85" s="231">
        <v>0</v>
      </c>
      <c r="L85" s="231">
        <v>0</v>
      </c>
      <c r="M85" s="231">
        <v>0</v>
      </c>
      <c r="N85" s="231">
        <v>0</v>
      </c>
      <c r="O85" s="231">
        <v>482.05475999999999</v>
      </c>
    </row>
    <row r="86" spans="1:30" s="234" customFormat="1" ht="12.75" x14ac:dyDescent="0.2">
      <c r="A86" s="278" t="s">
        <v>764</v>
      </c>
      <c r="B86" s="279" t="s">
        <v>795</v>
      </c>
      <c r="C86" s="279"/>
      <c r="F86" s="231">
        <v>2792.5820269999999</v>
      </c>
      <c r="G86" s="231">
        <v>0.93996199999999996</v>
      </c>
      <c r="H86" s="231">
        <v>23.49905</v>
      </c>
      <c r="I86" s="231">
        <v>4.5699999999999998E-2</v>
      </c>
      <c r="J86" s="231">
        <v>13.618600000000001</v>
      </c>
      <c r="K86" s="231">
        <v>0</v>
      </c>
      <c r="L86" s="231">
        <v>0</v>
      </c>
      <c r="M86" s="231">
        <v>0</v>
      </c>
      <c r="N86" s="231">
        <v>0</v>
      </c>
      <c r="O86" s="231">
        <v>2829.6996770000001</v>
      </c>
    </row>
    <row r="87" spans="1:30" s="234" customFormat="1" ht="12.75" x14ac:dyDescent="0.2">
      <c r="A87" s="278" t="s">
        <v>776</v>
      </c>
      <c r="B87" s="279" t="s">
        <v>796</v>
      </c>
      <c r="C87" s="279"/>
      <c r="D87" s="251"/>
      <c r="E87" s="251"/>
      <c r="F87" s="252">
        <v>3990.9999229999999</v>
      </c>
      <c r="G87" s="252">
        <v>5.5393829999999999</v>
      </c>
      <c r="H87" s="252">
        <v>138.48457500000001</v>
      </c>
      <c r="I87" s="252">
        <v>0.21351200000000001</v>
      </c>
      <c r="J87" s="252">
        <v>63.626576</v>
      </c>
      <c r="K87" s="252">
        <v>0</v>
      </c>
      <c r="L87" s="252">
        <v>0</v>
      </c>
      <c r="M87" s="252">
        <v>0</v>
      </c>
      <c r="N87" s="252">
        <v>0</v>
      </c>
      <c r="O87" s="252">
        <v>4193.1110740000004</v>
      </c>
    </row>
    <row r="88" spans="1:30" s="234" customFormat="1" ht="12.75" x14ac:dyDescent="0.2">
      <c r="A88" s="259" t="s">
        <v>778</v>
      </c>
      <c r="B88" s="260" t="s">
        <v>797</v>
      </c>
      <c r="C88" s="260"/>
      <c r="D88" s="280"/>
      <c r="E88" s="280"/>
      <c r="F88" s="281">
        <v>129223.672414</v>
      </c>
      <c r="G88" s="281">
        <v>0</v>
      </c>
      <c r="H88" s="281">
        <v>0</v>
      </c>
      <c r="I88" s="281">
        <v>0</v>
      </c>
      <c r="J88" s="281">
        <v>0</v>
      </c>
      <c r="K88" s="281">
        <v>0</v>
      </c>
      <c r="L88" s="281">
        <v>0</v>
      </c>
      <c r="M88" s="281">
        <v>0</v>
      </c>
      <c r="N88" s="281">
        <v>0</v>
      </c>
      <c r="O88" s="281">
        <v>129223.672414</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817</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590264.05993037997</v>
      </c>
      <c r="G7" s="218">
        <v>4424.4919734299701</v>
      </c>
      <c r="H7" s="218">
        <v>110612.299335749</v>
      </c>
      <c r="I7" s="218">
        <v>132.199798370096</v>
      </c>
      <c r="J7" s="218">
        <v>39395.539914288602</v>
      </c>
      <c r="K7" s="218">
        <v>6036.1903151003098</v>
      </c>
      <c r="L7" s="218">
        <v>2534.6583359536398</v>
      </c>
      <c r="M7" s="218">
        <v>726.19307674184597</v>
      </c>
      <c r="N7" s="218">
        <v>0.17705628400000001</v>
      </c>
      <c r="O7" s="218">
        <v>749569.11796449695</v>
      </c>
    </row>
    <row r="8" spans="1:16" ht="15.75" thickTop="1" x14ac:dyDescent="0.2">
      <c r="A8" s="220" t="s">
        <v>723</v>
      </c>
      <c r="B8" s="221"/>
      <c r="C8" s="221"/>
      <c r="F8" s="223">
        <v>546793.59772590199</v>
      </c>
      <c r="G8" s="223">
        <v>2044.89250386873</v>
      </c>
      <c r="H8" s="223">
        <v>51122.3125967183</v>
      </c>
      <c r="I8" s="223">
        <v>36.452560016919897</v>
      </c>
      <c r="J8" s="223">
        <v>10862.862885042099</v>
      </c>
      <c r="K8" s="223">
        <v>0</v>
      </c>
      <c r="L8" s="223">
        <v>0</v>
      </c>
      <c r="M8" s="223">
        <v>0</v>
      </c>
      <c r="N8" s="223">
        <v>0</v>
      </c>
      <c r="O8" s="223">
        <v>608778.77320766298</v>
      </c>
    </row>
    <row r="9" spans="1:16" x14ac:dyDescent="0.2">
      <c r="A9" s="224" t="s">
        <v>724</v>
      </c>
      <c r="B9" s="225" t="s">
        <v>725</v>
      </c>
      <c r="C9" s="225"/>
      <c r="F9" s="226">
        <v>342927.027712857</v>
      </c>
      <c r="G9" s="226">
        <v>215.38871418159201</v>
      </c>
      <c r="H9" s="226">
        <v>5384.7178545397901</v>
      </c>
      <c r="I9" s="226">
        <v>9.2400785578048392</v>
      </c>
      <c r="J9" s="226">
        <v>2753.54341022584</v>
      </c>
      <c r="K9" s="226">
        <v>0</v>
      </c>
      <c r="L9" s="226">
        <v>0</v>
      </c>
      <c r="M9" s="226">
        <v>0</v>
      </c>
      <c r="N9" s="226">
        <v>0</v>
      </c>
      <c r="O9" s="226">
        <v>351065.28897762299</v>
      </c>
      <c r="P9" s="227"/>
    </row>
    <row r="10" spans="1:16" x14ac:dyDescent="0.2">
      <c r="A10" s="228"/>
      <c r="B10" s="229" t="s">
        <v>726</v>
      </c>
      <c r="C10" s="230"/>
      <c r="F10" s="231">
        <v>119918.041717781</v>
      </c>
      <c r="G10" s="231">
        <v>5.4201369671930202</v>
      </c>
      <c r="H10" s="231">
        <v>135.503424179825</v>
      </c>
      <c r="I10" s="231">
        <v>2.4377727686787498</v>
      </c>
      <c r="J10" s="231">
        <v>726.45628506626804</v>
      </c>
      <c r="K10" s="231">
        <v>0</v>
      </c>
      <c r="L10" s="231">
        <v>0</v>
      </c>
      <c r="M10" s="231">
        <v>0</v>
      </c>
      <c r="N10" s="231">
        <v>0</v>
      </c>
      <c r="O10" s="231">
        <v>120780.001427027</v>
      </c>
    </row>
    <row r="11" spans="1:16" x14ac:dyDescent="0.2">
      <c r="A11" s="228"/>
      <c r="B11" s="232" t="s">
        <v>727</v>
      </c>
      <c r="C11" s="230"/>
      <c r="F11" s="231">
        <v>20678.850243459699</v>
      </c>
      <c r="G11" s="231">
        <v>0.49525010738019898</v>
      </c>
      <c r="H11" s="231">
        <v>12.381252684505</v>
      </c>
      <c r="I11" s="231">
        <v>0.15257777823466701</v>
      </c>
      <c r="J11" s="231">
        <v>45.468177913930703</v>
      </c>
      <c r="K11" s="231">
        <v>0</v>
      </c>
      <c r="L11" s="231">
        <v>0</v>
      </c>
      <c r="M11" s="231">
        <v>0</v>
      </c>
      <c r="N11" s="231">
        <v>0</v>
      </c>
      <c r="O11" s="231">
        <v>20736.6996740582</v>
      </c>
    </row>
    <row r="12" spans="1:16" s="234" customFormat="1" ht="12.75" x14ac:dyDescent="0.2">
      <c r="A12" s="228"/>
      <c r="B12" s="232" t="s">
        <v>728</v>
      </c>
      <c r="C12" s="233"/>
      <c r="F12" s="231">
        <v>77279.122910373393</v>
      </c>
      <c r="G12" s="231">
        <v>88.300576738338094</v>
      </c>
      <c r="H12" s="231">
        <v>2207.5144184584501</v>
      </c>
      <c r="I12" s="231">
        <v>1.70604038543181</v>
      </c>
      <c r="J12" s="231">
        <v>508.40003485868101</v>
      </c>
      <c r="K12" s="231">
        <v>0</v>
      </c>
      <c r="L12" s="231">
        <v>0</v>
      </c>
      <c r="M12" s="231">
        <v>0</v>
      </c>
      <c r="N12" s="231">
        <v>0</v>
      </c>
      <c r="O12" s="231">
        <v>79995.037363690499</v>
      </c>
    </row>
    <row r="13" spans="1:16" s="234" customFormat="1" ht="12.75" x14ac:dyDescent="0.2">
      <c r="A13" s="228"/>
      <c r="B13" s="229" t="s">
        <v>729</v>
      </c>
      <c r="C13" s="229"/>
      <c r="F13" s="231">
        <v>46532.288391557202</v>
      </c>
      <c r="G13" s="231">
        <v>2.73854619995062</v>
      </c>
      <c r="H13" s="231">
        <v>68.463654998765406</v>
      </c>
      <c r="I13" s="231">
        <v>2.01002433295807</v>
      </c>
      <c r="J13" s="231">
        <v>598.98725122150495</v>
      </c>
      <c r="K13" s="231">
        <v>0</v>
      </c>
      <c r="L13" s="231">
        <v>0</v>
      </c>
      <c r="M13" s="231">
        <v>0</v>
      </c>
      <c r="N13" s="231">
        <v>0</v>
      </c>
      <c r="O13" s="231">
        <v>47199.739297777502</v>
      </c>
    </row>
    <row r="14" spans="1:16" s="237" customFormat="1" ht="12" x14ac:dyDescent="0.2">
      <c r="A14" s="235"/>
      <c r="B14" s="230"/>
      <c r="C14" s="236" t="s">
        <v>2</v>
      </c>
      <c r="F14" s="238">
        <v>5952.725483966</v>
      </c>
      <c r="G14" s="238">
        <v>0.16728228526238301</v>
      </c>
      <c r="H14" s="238">
        <v>4.1820571315595698</v>
      </c>
      <c r="I14" s="238">
        <v>0.138638127286354</v>
      </c>
      <c r="J14" s="238">
        <v>41.314161931333402</v>
      </c>
      <c r="K14" s="238">
        <v>0</v>
      </c>
      <c r="L14" s="238">
        <v>0</v>
      </c>
      <c r="M14" s="238">
        <v>0</v>
      </c>
      <c r="N14" s="238">
        <v>0</v>
      </c>
      <c r="O14" s="238">
        <v>5998.2217030288903</v>
      </c>
    </row>
    <row r="15" spans="1:16" s="237" customFormat="1" ht="12" x14ac:dyDescent="0.2">
      <c r="A15" s="235"/>
      <c r="B15" s="230"/>
      <c r="C15" s="236" t="s">
        <v>730</v>
      </c>
      <c r="F15" s="238">
        <v>3832.2757009342899</v>
      </c>
      <c r="G15" s="238">
        <v>8.8912037443615005E-2</v>
      </c>
      <c r="H15" s="238">
        <v>2.2228009360903802</v>
      </c>
      <c r="I15" s="238">
        <v>6.3985556795588705E-2</v>
      </c>
      <c r="J15" s="238">
        <v>19.067695925085399</v>
      </c>
      <c r="K15" s="238">
        <v>0</v>
      </c>
      <c r="L15" s="238">
        <v>0</v>
      </c>
      <c r="M15" s="238">
        <v>0</v>
      </c>
      <c r="N15" s="238">
        <v>0</v>
      </c>
      <c r="O15" s="238">
        <v>3853.5661977954701</v>
      </c>
    </row>
    <row r="16" spans="1:16" s="237" customFormat="1" ht="12" x14ac:dyDescent="0.2">
      <c r="A16" s="235"/>
      <c r="B16" s="230"/>
      <c r="C16" s="236" t="s">
        <v>731</v>
      </c>
      <c r="F16" s="238">
        <v>8673.8758630562406</v>
      </c>
      <c r="G16" s="238">
        <v>0.17188320569891599</v>
      </c>
      <c r="H16" s="238">
        <v>4.2970801424728897</v>
      </c>
      <c r="I16" s="238">
        <v>0.15000546690243799</v>
      </c>
      <c r="J16" s="238">
        <v>44.701629136926599</v>
      </c>
      <c r="K16" s="238">
        <v>0</v>
      </c>
      <c r="L16" s="238">
        <v>0</v>
      </c>
      <c r="M16" s="238">
        <v>0</v>
      </c>
      <c r="N16" s="238">
        <v>0</v>
      </c>
      <c r="O16" s="238">
        <v>8722.8745723356406</v>
      </c>
    </row>
    <row r="17" spans="1:16" s="237" customFormat="1" ht="12" x14ac:dyDescent="0.2">
      <c r="A17" s="235"/>
      <c r="B17" s="230"/>
      <c r="C17" s="236" t="s">
        <v>732</v>
      </c>
      <c r="F17" s="238">
        <v>7435.4249086458203</v>
      </c>
      <c r="G17" s="238">
        <v>1.3872926560221901</v>
      </c>
      <c r="H17" s="238">
        <v>34.682316400554797</v>
      </c>
      <c r="I17" s="238">
        <v>1.07023977329746</v>
      </c>
      <c r="J17" s="238">
        <v>318.93145244264201</v>
      </c>
      <c r="K17" s="238">
        <v>0</v>
      </c>
      <c r="L17" s="238">
        <v>0</v>
      </c>
      <c r="M17" s="238">
        <v>0</v>
      </c>
      <c r="N17" s="238">
        <v>0</v>
      </c>
      <c r="O17" s="238">
        <v>7789.0386774890203</v>
      </c>
    </row>
    <row r="18" spans="1:16" s="237" customFormat="1" ht="12" x14ac:dyDescent="0.2">
      <c r="A18" s="235"/>
      <c r="B18" s="230"/>
      <c r="C18" s="236" t="s">
        <v>35</v>
      </c>
      <c r="F18" s="238">
        <v>5016.0796843632997</v>
      </c>
      <c r="G18" s="238">
        <v>0.23520039638111001</v>
      </c>
      <c r="H18" s="238">
        <v>5.8800099095277503</v>
      </c>
      <c r="I18" s="238">
        <v>5.8572515475465298E-2</v>
      </c>
      <c r="J18" s="238">
        <v>17.4546096116886</v>
      </c>
      <c r="K18" s="238">
        <v>0</v>
      </c>
      <c r="L18" s="238">
        <v>0</v>
      </c>
      <c r="M18" s="238">
        <v>0</v>
      </c>
      <c r="N18" s="238">
        <v>0</v>
      </c>
      <c r="O18" s="238">
        <v>5039.4143038845205</v>
      </c>
    </row>
    <row r="19" spans="1:16" s="237" customFormat="1" ht="12" x14ac:dyDescent="0.2">
      <c r="A19" s="235"/>
      <c r="B19" s="230"/>
      <c r="C19" s="236" t="s">
        <v>733</v>
      </c>
      <c r="F19" s="238">
        <v>15621.906750591599</v>
      </c>
      <c r="G19" s="238">
        <v>0.68797561914240002</v>
      </c>
      <c r="H19" s="238">
        <v>17.199390478560002</v>
      </c>
      <c r="I19" s="238">
        <v>0.52858289320077001</v>
      </c>
      <c r="J19" s="238">
        <v>157.51770217382901</v>
      </c>
      <c r="K19" s="238">
        <v>0</v>
      </c>
      <c r="L19" s="238">
        <v>0</v>
      </c>
      <c r="M19" s="238">
        <v>0</v>
      </c>
      <c r="N19" s="238">
        <v>0</v>
      </c>
      <c r="O19" s="238">
        <v>15796.623843244</v>
      </c>
    </row>
    <row r="20" spans="1:16" s="234" customFormat="1" ht="12.75" x14ac:dyDescent="0.2">
      <c r="A20" s="228"/>
      <c r="B20" s="229" t="s">
        <v>734</v>
      </c>
      <c r="C20" s="239"/>
      <c r="F20" s="231">
        <v>1400.9197200000001</v>
      </c>
      <c r="G20" s="231">
        <v>2.4256199999999999E-2</v>
      </c>
      <c r="H20" s="231">
        <v>0.60640499999999997</v>
      </c>
      <c r="I20" s="231">
        <v>3.40472E-2</v>
      </c>
      <c r="J20" s="231">
        <v>10.1460656</v>
      </c>
      <c r="K20" s="231">
        <v>0</v>
      </c>
      <c r="L20" s="231">
        <v>0</v>
      </c>
      <c r="M20" s="231">
        <v>0</v>
      </c>
      <c r="N20" s="231">
        <v>0</v>
      </c>
      <c r="O20" s="231">
        <v>1411.6721906</v>
      </c>
    </row>
    <row r="21" spans="1:16" s="234" customFormat="1" ht="12.75" x14ac:dyDescent="0.2">
      <c r="A21" s="228"/>
      <c r="B21" s="229" t="s">
        <v>735</v>
      </c>
      <c r="C21" s="229"/>
      <c r="F21" s="231">
        <v>30285.989649368901</v>
      </c>
      <c r="G21" s="231">
        <v>0.58752091916170701</v>
      </c>
      <c r="H21" s="231">
        <v>14.688022979042699</v>
      </c>
      <c r="I21" s="231">
        <v>0.66730811655762201</v>
      </c>
      <c r="J21" s="231">
        <v>198.85781873417099</v>
      </c>
      <c r="K21" s="231">
        <v>0</v>
      </c>
      <c r="L21" s="231">
        <v>0</v>
      </c>
      <c r="M21" s="231">
        <v>0</v>
      </c>
      <c r="N21" s="231">
        <v>0</v>
      </c>
      <c r="O21" s="231">
        <v>30499.535491082101</v>
      </c>
    </row>
    <row r="22" spans="1:16" s="234" customFormat="1" ht="12.75" x14ac:dyDescent="0.2">
      <c r="A22" s="228"/>
      <c r="B22" s="229" t="s">
        <v>181</v>
      </c>
      <c r="C22" s="229"/>
      <c r="F22" s="231">
        <v>44164.344929999999</v>
      </c>
      <c r="G22" s="231">
        <v>117.77686552611399</v>
      </c>
      <c r="H22" s="231">
        <v>2944.4216381528399</v>
      </c>
      <c r="I22" s="231">
        <v>2.15581990907926</v>
      </c>
      <c r="J22" s="231">
        <v>642.43433290561802</v>
      </c>
      <c r="K22" s="231">
        <v>0</v>
      </c>
      <c r="L22" s="231">
        <v>0</v>
      </c>
      <c r="M22" s="231">
        <v>0</v>
      </c>
      <c r="N22" s="231">
        <v>0</v>
      </c>
      <c r="O22" s="231">
        <v>47751.200901058502</v>
      </c>
    </row>
    <row r="23" spans="1:16" s="234" customFormat="1" ht="12.75" x14ac:dyDescent="0.2">
      <c r="A23" s="228"/>
      <c r="B23" s="229" t="s">
        <v>736</v>
      </c>
      <c r="C23" s="229"/>
      <c r="F23" s="231">
        <v>2667.47015031725</v>
      </c>
      <c r="G23" s="231">
        <v>4.5561523454310603E-2</v>
      </c>
      <c r="H23" s="231">
        <v>1.13903808635777</v>
      </c>
      <c r="I23" s="231">
        <v>7.6488066864655396E-2</v>
      </c>
      <c r="J23" s="231">
        <v>22.793443925667301</v>
      </c>
      <c r="K23" s="231">
        <v>0</v>
      </c>
      <c r="L23" s="231">
        <v>0</v>
      </c>
      <c r="M23" s="231">
        <v>0</v>
      </c>
      <c r="N23" s="231">
        <v>0</v>
      </c>
      <c r="O23" s="231">
        <v>2691.4026323292801</v>
      </c>
    </row>
    <row r="24" spans="1:16" s="240" customFormat="1" ht="14.25" x14ac:dyDescent="0.2">
      <c r="A24" s="224" t="s">
        <v>737</v>
      </c>
      <c r="B24" s="225" t="s">
        <v>738</v>
      </c>
      <c r="C24" s="225"/>
      <c r="F24" s="226">
        <v>189189.708893125</v>
      </c>
      <c r="G24" s="226">
        <v>26.602588437506402</v>
      </c>
      <c r="H24" s="226">
        <v>665.06471093766095</v>
      </c>
      <c r="I24" s="226">
        <v>27.082612881246799</v>
      </c>
      <c r="J24" s="226">
        <v>8070.6186386115596</v>
      </c>
      <c r="K24" s="226">
        <v>0</v>
      </c>
      <c r="L24" s="226">
        <v>0</v>
      </c>
      <c r="M24" s="226">
        <v>0</v>
      </c>
      <c r="N24" s="226">
        <v>0</v>
      </c>
      <c r="O24" s="226">
        <v>197925.39224267501</v>
      </c>
      <c r="P24" s="241"/>
    </row>
    <row r="25" spans="1:16" s="234" customFormat="1" ht="12.75" x14ac:dyDescent="0.2">
      <c r="A25" s="228"/>
      <c r="B25" s="232" t="s">
        <v>739</v>
      </c>
      <c r="C25" s="229"/>
      <c r="F25" s="231">
        <v>7682.1460945332701</v>
      </c>
      <c r="G25" s="231">
        <v>0.34084925130858101</v>
      </c>
      <c r="H25" s="231">
        <v>8.5212312827145205</v>
      </c>
      <c r="I25" s="231">
        <v>0.22766085657798801</v>
      </c>
      <c r="J25" s="231">
        <v>67.842935260240296</v>
      </c>
      <c r="K25" s="231">
        <v>0</v>
      </c>
      <c r="L25" s="231">
        <v>0</v>
      </c>
      <c r="M25" s="231">
        <v>0</v>
      </c>
      <c r="N25" s="231">
        <v>0</v>
      </c>
      <c r="O25" s="231">
        <v>7758.5102610762297</v>
      </c>
    </row>
    <row r="26" spans="1:16" s="234" customFormat="1" ht="12.75" x14ac:dyDescent="0.2">
      <c r="A26" s="228"/>
      <c r="B26" s="229" t="s">
        <v>740</v>
      </c>
      <c r="C26" s="229"/>
      <c r="F26" s="231">
        <v>132321.79388833701</v>
      </c>
      <c r="G26" s="231">
        <v>10.360474301393101</v>
      </c>
      <c r="H26" s="231">
        <v>259.01185753482702</v>
      </c>
      <c r="I26" s="231">
        <v>14.788020814117401</v>
      </c>
      <c r="J26" s="231">
        <v>4406.8302026069896</v>
      </c>
      <c r="K26" s="231">
        <v>0</v>
      </c>
      <c r="L26" s="231">
        <v>0</v>
      </c>
      <c r="M26" s="231">
        <v>0</v>
      </c>
      <c r="N26" s="231">
        <v>0</v>
      </c>
      <c r="O26" s="231">
        <v>136987.63594847801</v>
      </c>
    </row>
    <row r="27" spans="1:16" s="237" customFormat="1" ht="12" x14ac:dyDescent="0.2">
      <c r="A27" s="235"/>
      <c r="B27" s="230"/>
      <c r="C27" s="236" t="s">
        <v>741</v>
      </c>
      <c r="F27" s="238">
        <v>39610.166985446798</v>
      </c>
      <c r="G27" s="238">
        <v>3.9366897783511301</v>
      </c>
      <c r="H27" s="238">
        <v>98.417244458778299</v>
      </c>
      <c r="I27" s="238">
        <v>5.4986864490629097</v>
      </c>
      <c r="J27" s="238">
        <v>1638.6085618207501</v>
      </c>
      <c r="K27" s="238">
        <v>0</v>
      </c>
      <c r="L27" s="238">
        <v>0</v>
      </c>
      <c r="M27" s="238">
        <v>0</v>
      </c>
      <c r="N27" s="238">
        <v>0</v>
      </c>
      <c r="O27" s="238">
        <v>41347.192791726302</v>
      </c>
    </row>
    <row r="28" spans="1:16" s="237" customFormat="1" ht="12" x14ac:dyDescent="0.2">
      <c r="A28" s="235"/>
      <c r="B28" s="230"/>
      <c r="C28" s="236" t="s">
        <v>742</v>
      </c>
      <c r="F28" s="238">
        <v>38746.8903795562</v>
      </c>
      <c r="G28" s="238">
        <v>3.8156375956236599</v>
      </c>
      <c r="H28" s="238">
        <v>95.390939890591397</v>
      </c>
      <c r="I28" s="238">
        <v>6.1981848795442103</v>
      </c>
      <c r="J28" s="238">
        <v>1847.0590941041801</v>
      </c>
      <c r="K28" s="238">
        <v>0</v>
      </c>
      <c r="L28" s="238">
        <v>0</v>
      </c>
      <c r="M28" s="238">
        <v>0</v>
      </c>
      <c r="N28" s="238">
        <v>0</v>
      </c>
      <c r="O28" s="238">
        <v>40689.340413550897</v>
      </c>
    </row>
    <row r="29" spans="1:16" s="237" customFormat="1" ht="12" x14ac:dyDescent="0.2">
      <c r="A29" s="235"/>
      <c r="B29" s="230"/>
      <c r="C29" s="236" t="s">
        <v>743</v>
      </c>
      <c r="F29" s="238">
        <v>12188.7428543442</v>
      </c>
      <c r="G29" s="238">
        <v>0.66943572505985305</v>
      </c>
      <c r="H29" s="238">
        <v>16.7358931264963</v>
      </c>
      <c r="I29" s="238">
        <v>0.88774686577572004</v>
      </c>
      <c r="J29" s="238">
        <v>264.548566001165</v>
      </c>
      <c r="K29" s="238">
        <v>0</v>
      </c>
      <c r="L29" s="238">
        <v>0</v>
      </c>
      <c r="M29" s="238">
        <v>0</v>
      </c>
      <c r="N29" s="238">
        <v>0</v>
      </c>
      <c r="O29" s="238">
        <v>12470.027313471801</v>
      </c>
    </row>
    <row r="30" spans="1:16" s="237" customFormat="1" ht="12" x14ac:dyDescent="0.2">
      <c r="A30" s="235"/>
      <c r="B30" s="230"/>
      <c r="C30" s="236" t="s">
        <v>744</v>
      </c>
      <c r="F30" s="238">
        <v>229.88026537015801</v>
      </c>
      <c r="G30" s="238">
        <v>0.104325388667022</v>
      </c>
      <c r="H30" s="238">
        <v>2.60813471667554</v>
      </c>
      <c r="I30" s="238">
        <v>4.2890607785717599E-3</v>
      </c>
      <c r="J30" s="238">
        <v>1.27814011201438</v>
      </c>
      <c r="K30" s="238">
        <v>0</v>
      </c>
      <c r="L30" s="238">
        <v>0</v>
      </c>
      <c r="M30" s="238">
        <v>0</v>
      </c>
      <c r="N30" s="238">
        <v>0</v>
      </c>
      <c r="O30" s="238">
        <v>233.76654019884799</v>
      </c>
      <c r="P30" s="242"/>
    </row>
    <row r="31" spans="1:16" s="237" customFormat="1" ht="12" x14ac:dyDescent="0.2">
      <c r="A31" s="235"/>
      <c r="B31" s="230"/>
      <c r="C31" s="236" t="s">
        <v>745</v>
      </c>
      <c r="F31" s="238">
        <v>662.13631589110901</v>
      </c>
      <c r="G31" s="238">
        <v>1.32713871237459E-2</v>
      </c>
      <c r="H31" s="238">
        <v>0.33178467809364698</v>
      </c>
      <c r="I31" s="238">
        <v>5.3178107464721597E-2</v>
      </c>
      <c r="J31" s="238">
        <v>15.8470760244871</v>
      </c>
      <c r="K31" s="238">
        <v>0</v>
      </c>
      <c r="L31" s="238">
        <v>0</v>
      </c>
      <c r="M31" s="238">
        <v>0</v>
      </c>
      <c r="N31" s="238">
        <v>0</v>
      </c>
      <c r="O31" s="238">
        <v>678.31517659369001</v>
      </c>
    </row>
    <row r="32" spans="1:16" s="237" customFormat="1" ht="12" x14ac:dyDescent="0.2">
      <c r="A32" s="235"/>
      <c r="B32" s="230"/>
      <c r="C32" s="236" t="s">
        <v>746</v>
      </c>
      <c r="D32" s="243"/>
      <c r="E32" s="243"/>
      <c r="F32" s="244">
        <v>306.32000439345597</v>
      </c>
      <c r="G32" s="244">
        <v>7.7434053155222803E-3</v>
      </c>
      <c r="H32" s="244">
        <v>0.19358513288805701</v>
      </c>
      <c r="I32" s="244">
        <v>2.42820779942572E-2</v>
      </c>
      <c r="J32" s="244">
        <v>7.2360592422886496</v>
      </c>
      <c r="K32" s="244">
        <v>0</v>
      </c>
      <c r="L32" s="244">
        <v>0</v>
      </c>
      <c r="M32" s="244">
        <v>0</v>
      </c>
      <c r="N32" s="244">
        <v>0</v>
      </c>
      <c r="O32" s="244">
        <v>313.74964876863203</v>
      </c>
    </row>
    <row r="33" spans="1:15" s="237" customFormat="1" ht="12" x14ac:dyDescent="0.2">
      <c r="A33" s="235"/>
      <c r="B33" s="230"/>
      <c r="C33" s="236" t="s">
        <v>747</v>
      </c>
      <c r="D33" s="243"/>
      <c r="E33" s="243"/>
      <c r="F33" s="244">
        <v>40326.218042303102</v>
      </c>
      <c r="G33" s="244">
        <v>1.7042930741153199</v>
      </c>
      <c r="H33" s="244">
        <v>42.607326852882899</v>
      </c>
      <c r="I33" s="244">
        <v>2.1169987058710098</v>
      </c>
      <c r="J33" s="244">
        <v>630.86561434956002</v>
      </c>
      <c r="K33" s="244">
        <v>0</v>
      </c>
      <c r="L33" s="244">
        <v>0</v>
      </c>
      <c r="M33" s="244">
        <v>0</v>
      </c>
      <c r="N33" s="244">
        <v>0</v>
      </c>
      <c r="O33" s="244">
        <v>40999.690983505498</v>
      </c>
    </row>
    <row r="34" spans="1:15" s="237" customFormat="1" ht="12" x14ac:dyDescent="0.2">
      <c r="A34" s="235"/>
      <c r="B34" s="230"/>
      <c r="C34" s="245" t="s">
        <v>748</v>
      </c>
      <c r="D34" s="243"/>
      <c r="E34" s="243"/>
      <c r="F34" s="244">
        <v>251.43904103160699</v>
      </c>
      <c r="G34" s="244">
        <v>0.10907794713683</v>
      </c>
      <c r="H34" s="244">
        <v>2.7269486784207602</v>
      </c>
      <c r="I34" s="244">
        <v>4.6546676260070599E-3</v>
      </c>
      <c r="J34" s="244">
        <v>1.3870909525501001</v>
      </c>
      <c r="K34" s="244">
        <v>0</v>
      </c>
      <c r="L34" s="244">
        <v>0</v>
      </c>
      <c r="M34" s="244">
        <v>0</v>
      </c>
      <c r="N34" s="244">
        <v>0</v>
      </c>
      <c r="O34" s="244">
        <v>255.553080662578</v>
      </c>
    </row>
    <row r="35" spans="1:15" s="249" customFormat="1" ht="12.75" x14ac:dyDescent="0.2">
      <c r="A35" s="228"/>
      <c r="B35" s="229" t="s">
        <v>749</v>
      </c>
      <c r="C35" s="246"/>
      <c r="D35" s="247"/>
      <c r="E35" s="247"/>
      <c r="F35" s="248">
        <v>6641.7756575580097</v>
      </c>
      <c r="G35" s="248">
        <v>0.373334484407916</v>
      </c>
      <c r="H35" s="248">
        <v>9.3333621101978892</v>
      </c>
      <c r="I35" s="248">
        <v>2.5737827699909999</v>
      </c>
      <c r="J35" s="248">
        <v>766.98726545731699</v>
      </c>
      <c r="K35" s="248">
        <v>0</v>
      </c>
      <c r="L35" s="248">
        <v>0</v>
      </c>
      <c r="M35" s="248">
        <v>0</v>
      </c>
      <c r="N35" s="248">
        <v>0</v>
      </c>
      <c r="O35" s="248">
        <v>7418.0962851255199</v>
      </c>
    </row>
    <row r="36" spans="1:15" s="249" customFormat="1" ht="12.75" x14ac:dyDescent="0.2">
      <c r="A36" s="228"/>
      <c r="B36" s="232" t="s">
        <v>750</v>
      </c>
      <c r="C36" s="246"/>
      <c r="D36" s="247"/>
      <c r="E36" s="247"/>
      <c r="F36" s="248">
        <v>6442.4739833038502</v>
      </c>
      <c r="G36" s="248">
        <v>0.59264934398040303</v>
      </c>
      <c r="H36" s="248">
        <v>14.816233599510101</v>
      </c>
      <c r="I36" s="248">
        <v>0.169333077630484</v>
      </c>
      <c r="J36" s="248">
        <v>50.461257133884097</v>
      </c>
      <c r="K36" s="248">
        <v>0</v>
      </c>
      <c r="L36" s="248">
        <v>0</v>
      </c>
      <c r="M36" s="248">
        <v>0</v>
      </c>
      <c r="N36" s="248">
        <v>0</v>
      </c>
      <c r="O36" s="248">
        <v>6507.7514740372499</v>
      </c>
    </row>
    <row r="37" spans="1:15" s="234" customFormat="1" ht="12.75" x14ac:dyDescent="0.2">
      <c r="A37" s="228"/>
      <c r="B37" s="229" t="s">
        <v>751</v>
      </c>
      <c r="C37" s="250"/>
      <c r="D37" s="251"/>
      <c r="E37" s="251"/>
      <c r="F37" s="252">
        <v>36101.519269393699</v>
      </c>
      <c r="G37" s="252">
        <v>14.9352810564165</v>
      </c>
      <c r="H37" s="252">
        <v>373.38202641041198</v>
      </c>
      <c r="I37" s="252">
        <v>9.3238153629299596</v>
      </c>
      <c r="J37" s="252">
        <v>2778.4969781531299</v>
      </c>
      <c r="K37" s="252">
        <v>0</v>
      </c>
      <c r="L37" s="252">
        <v>0</v>
      </c>
      <c r="M37" s="252">
        <v>0</v>
      </c>
      <c r="N37" s="252">
        <v>0</v>
      </c>
      <c r="O37" s="252">
        <v>39253.398273957202</v>
      </c>
    </row>
    <row r="38" spans="1:15" s="237" customFormat="1" ht="12" x14ac:dyDescent="0.2">
      <c r="A38" s="235"/>
      <c r="B38" s="230"/>
      <c r="C38" s="236" t="s">
        <v>752</v>
      </c>
      <c r="F38" s="238">
        <v>10974.369128927099</v>
      </c>
      <c r="G38" s="238">
        <v>0.67288798448019305</v>
      </c>
      <c r="H38" s="238">
        <v>16.822199612004798</v>
      </c>
      <c r="I38" s="238">
        <v>4.2313877021199504</v>
      </c>
      <c r="J38" s="238">
        <v>1260.95353523175</v>
      </c>
      <c r="K38" s="238">
        <v>0</v>
      </c>
      <c r="L38" s="238">
        <v>0</v>
      </c>
      <c r="M38" s="238">
        <v>0</v>
      </c>
      <c r="N38" s="238">
        <v>0</v>
      </c>
      <c r="O38" s="238">
        <v>12252.1448637708</v>
      </c>
    </row>
    <row r="39" spans="1:15" s="237" customFormat="1" ht="12" x14ac:dyDescent="0.2">
      <c r="A39" s="235"/>
      <c r="B39" s="230"/>
      <c r="C39" s="236" t="s">
        <v>753</v>
      </c>
      <c r="F39" s="238">
        <v>1760.7680472428999</v>
      </c>
      <c r="G39" s="238">
        <v>1.08853256911869</v>
      </c>
      <c r="H39" s="238">
        <v>27.213314227967299</v>
      </c>
      <c r="I39" s="238">
        <v>0.45716070814484999</v>
      </c>
      <c r="J39" s="238">
        <v>136.23389102716499</v>
      </c>
      <c r="K39" s="238">
        <v>0</v>
      </c>
      <c r="L39" s="238">
        <v>0</v>
      </c>
      <c r="M39" s="238">
        <v>0</v>
      </c>
      <c r="N39" s="238">
        <v>0</v>
      </c>
      <c r="O39" s="238">
        <v>1924.2152524980299</v>
      </c>
    </row>
    <row r="40" spans="1:15" s="237" customFormat="1" ht="12" x14ac:dyDescent="0.2">
      <c r="A40" s="235"/>
      <c r="B40" s="230"/>
      <c r="C40" s="236" t="s">
        <v>754</v>
      </c>
      <c r="F40" s="238">
        <v>10353.259902624301</v>
      </c>
      <c r="G40" s="238">
        <v>0.85871855383768503</v>
      </c>
      <c r="H40" s="238">
        <v>21.467963845942101</v>
      </c>
      <c r="I40" s="238">
        <v>3.7820399789363601</v>
      </c>
      <c r="J40" s="238">
        <v>1127.04791372304</v>
      </c>
      <c r="K40" s="238">
        <v>0</v>
      </c>
      <c r="L40" s="238">
        <v>0</v>
      </c>
      <c r="M40" s="238">
        <v>0</v>
      </c>
      <c r="N40" s="238">
        <v>0</v>
      </c>
      <c r="O40" s="238">
        <v>11501.7757801933</v>
      </c>
    </row>
    <row r="41" spans="1:15" s="237" customFormat="1" ht="12" x14ac:dyDescent="0.2">
      <c r="A41" s="235"/>
      <c r="B41" s="230"/>
      <c r="C41" s="236" t="s">
        <v>755</v>
      </c>
      <c r="F41" s="238">
        <v>616.06200667765199</v>
      </c>
      <c r="G41" s="238">
        <v>0.55327035166974703</v>
      </c>
      <c r="H41" s="238">
        <v>13.831758791743701</v>
      </c>
      <c r="I41" s="238">
        <v>7.1132984475136496E-2</v>
      </c>
      <c r="J41" s="238">
        <v>21.197629373590701</v>
      </c>
      <c r="K41" s="238">
        <v>0</v>
      </c>
      <c r="L41" s="238">
        <v>0</v>
      </c>
      <c r="M41" s="238">
        <v>0</v>
      </c>
      <c r="N41" s="238">
        <v>0</v>
      </c>
      <c r="O41" s="238">
        <v>651.09139484298703</v>
      </c>
    </row>
    <row r="42" spans="1:15" s="237" customFormat="1" ht="12" x14ac:dyDescent="0.2">
      <c r="A42" s="235"/>
      <c r="B42" s="230"/>
      <c r="C42" s="236" t="s">
        <v>756</v>
      </c>
      <c r="F42" s="238">
        <v>4221.7628839217496</v>
      </c>
      <c r="G42" s="238">
        <v>3.5734876723101499</v>
      </c>
      <c r="H42" s="238">
        <v>89.337191807753698</v>
      </c>
      <c r="I42" s="238">
        <v>0.55946798925366004</v>
      </c>
      <c r="J42" s="238">
        <v>166.72146079759099</v>
      </c>
      <c r="K42" s="238">
        <v>0</v>
      </c>
      <c r="L42" s="238">
        <v>0</v>
      </c>
      <c r="M42" s="238">
        <v>0</v>
      </c>
      <c r="N42" s="238">
        <v>0</v>
      </c>
      <c r="O42" s="238">
        <v>4477.8215365270898</v>
      </c>
    </row>
    <row r="43" spans="1:15" s="237" customFormat="1" ht="12" x14ac:dyDescent="0.2">
      <c r="A43" s="235"/>
      <c r="B43" s="230"/>
      <c r="C43" s="253" t="s">
        <v>757</v>
      </c>
      <c r="F43" s="238">
        <v>8175.2973000000002</v>
      </c>
      <c r="G43" s="238">
        <v>8.1883839250000001</v>
      </c>
      <c r="H43" s="238">
        <v>204.70959812500001</v>
      </c>
      <c r="I43" s="238">
        <v>0.22262599999999999</v>
      </c>
      <c r="J43" s="238">
        <v>66.342547999999994</v>
      </c>
      <c r="K43" s="238">
        <v>0</v>
      </c>
      <c r="L43" s="238">
        <v>0</v>
      </c>
      <c r="M43" s="238">
        <v>0</v>
      </c>
      <c r="N43" s="238">
        <v>0</v>
      </c>
      <c r="O43" s="238">
        <v>8446.3494461249993</v>
      </c>
    </row>
    <row r="44" spans="1:15" s="240" customFormat="1" ht="12.75" x14ac:dyDescent="0.2">
      <c r="A44" s="224" t="s">
        <v>758</v>
      </c>
      <c r="B44" s="225" t="s">
        <v>759</v>
      </c>
      <c r="C44" s="225"/>
      <c r="F44" s="226">
        <v>14676.7757199196</v>
      </c>
      <c r="G44" s="226">
        <v>1802.90120124963</v>
      </c>
      <c r="H44" s="226">
        <v>45072.5300312408</v>
      </c>
      <c r="I44" s="226">
        <v>0.12986857786825401</v>
      </c>
      <c r="J44" s="226">
        <v>38.700836204739801</v>
      </c>
      <c r="K44" s="226">
        <v>0</v>
      </c>
      <c r="L44" s="226">
        <v>0</v>
      </c>
      <c r="M44" s="226">
        <v>0</v>
      </c>
      <c r="N44" s="226">
        <v>0</v>
      </c>
      <c r="O44" s="226">
        <v>59788.006587365198</v>
      </c>
    </row>
    <row r="45" spans="1:15" s="234" customFormat="1" ht="12.75" x14ac:dyDescent="0.2">
      <c r="A45" s="228"/>
      <c r="B45" s="229" t="s">
        <v>760</v>
      </c>
      <c r="C45" s="229"/>
      <c r="F45" s="231">
        <v>0</v>
      </c>
      <c r="G45" s="231">
        <v>53.397645183294003</v>
      </c>
      <c r="H45" s="231">
        <v>1334.94112958235</v>
      </c>
      <c r="I45" s="231">
        <v>0</v>
      </c>
      <c r="J45" s="231">
        <v>0</v>
      </c>
      <c r="K45" s="231">
        <v>0</v>
      </c>
      <c r="L45" s="231">
        <v>0</v>
      </c>
      <c r="M45" s="231">
        <v>0</v>
      </c>
      <c r="N45" s="231">
        <v>0</v>
      </c>
      <c r="O45" s="231">
        <v>1334.94112958235</v>
      </c>
    </row>
    <row r="46" spans="1:15" s="234" customFormat="1" ht="12.75" x14ac:dyDescent="0.2">
      <c r="A46" s="228"/>
      <c r="B46" s="229" t="s">
        <v>761</v>
      </c>
      <c r="C46" s="229"/>
      <c r="F46" s="231">
        <v>14676.7757199196</v>
      </c>
      <c r="G46" s="231">
        <v>1749.50355606634</v>
      </c>
      <c r="H46" s="231">
        <v>43737.588901658397</v>
      </c>
      <c r="I46" s="231">
        <v>0.12986857786825401</v>
      </c>
      <c r="J46" s="231">
        <v>38.700836204739801</v>
      </c>
      <c r="K46" s="231">
        <v>0</v>
      </c>
      <c r="L46" s="231">
        <v>0</v>
      </c>
      <c r="M46" s="231">
        <v>0</v>
      </c>
      <c r="N46" s="231">
        <v>0</v>
      </c>
      <c r="O46" s="231">
        <v>58453.065457782803</v>
      </c>
    </row>
    <row r="47" spans="1:15" s="237" customFormat="1" ht="12" x14ac:dyDescent="0.2">
      <c r="A47" s="254"/>
      <c r="B47" s="255"/>
      <c r="C47" s="230" t="s">
        <v>762</v>
      </c>
      <c r="F47" s="238">
        <v>219.13765678076399</v>
      </c>
      <c r="G47" s="238">
        <v>245.18720286521599</v>
      </c>
      <c r="H47" s="238">
        <v>6129.6800716304097</v>
      </c>
      <c r="I47" s="238">
        <v>0.1143816773305</v>
      </c>
      <c r="J47" s="238">
        <v>34.085739844488998</v>
      </c>
      <c r="K47" s="238">
        <v>0</v>
      </c>
      <c r="L47" s="238">
        <v>0</v>
      </c>
      <c r="M47" s="238">
        <v>0</v>
      </c>
      <c r="N47" s="238">
        <v>0</v>
      </c>
      <c r="O47" s="238">
        <v>6382.9034682556603</v>
      </c>
    </row>
    <row r="48" spans="1:15" s="237" customFormat="1" ht="12" x14ac:dyDescent="0.2">
      <c r="A48" s="254"/>
      <c r="B48" s="255"/>
      <c r="C48" s="230" t="s">
        <v>763</v>
      </c>
      <c r="F48" s="238">
        <v>62.885605690757302</v>
      </c>
      <c r="G48" s="238">
        <v>532.64579473612196</v>
      </c>
      <c r="H48" s="238">
        <v>13316.144868403</v>
      </c>
      <c r="I48" s="238">
        <v>0</v>
      </c>
      <c r="J48" s="238">
        <v>0</v>
      </c>
      <c r="K48" s="238">
        <v>0</v>
      </c>
      <c r="L48" s="238">
        <v>0</v>
      </c>
      <c r="M48" s="238">
        <v>0</v>
      </c>
      <c r="N48" s="238">
        <v>0</v>
      </c>
      <c r="O48" s="238">
        <v>13379.030474093801</v>
      </c>
    </row>
    <row r="49" spans="1:16" s="237" customFormat="1" ht="12" x14ac:dyDescent="0.2">
      <c r="A49" s="256"/>
      <c r="B49" s="257"/>
      <c r="C49" s="258" t="s">
        <v>380</v>
      </c>
      <c r="D49" s="243"/>
      <c r="E49" s="243"/>
      <c r="F49" s="244">
        <v>9516.8645645525794</v>
      </c>
      <c r="G49" s="244">
        <v>951.19544098748202</v>
      </c>
      <c r="H49" s="244">
        <v>23779.886024687101</v>
      </c>
      <c r="I49" s="244">
        <v>0</v>
      </c>
      <c r="J49" s="244">
        <v>0</v>
      </c>
      <c r="K49" s="244">
        <v>0</v>
      </c>
      <c r="L49" s="244">
        <v>0</v>
      </c>
      <c r="M49" s="244">
        <v>0</v>
      </c>
      <c r="N49" s="244">
        <v>0</v>
      </c>
      <c r="O49" s="244">
        <v>33296.7505892396</v>
      </c>
    </row>
    <row r="50" spans="1:16" s="237" customFormat="1" ht="12" x14ac:dyDescent="0.2">
      <c r="A50" s="256"/>
      <c r="B50" s="257"/>
      <c r="C50" s="258" t="s">
        <v>381</v>
      </c>
      <c r="D50" s="243"/>
      <c r="E50" s="243"/>
      <c r="F50" s="244">
        <v>4877.8878928955401</v>
      </c>
      <c r="G50" s="244">
        <v>20.475117477517799</v>
      </c>
      <c r="H50" s="244">
        <v>511.87793693794498</v>
      </c>
      <c r="I50" s="244">
        <v>1.54869005377545E-2</v>
      </c>
      <c r="J50" s="244">
        <v>4.6150963602508304</v>
      </c>
      <c r="K50" s="244">
        <v>0</v>
      </c>
      <c r="L50" s="244">
        <v>0</v>
      </c>
      <c r="M50" s="244">
        <v>0</v>
      </c>
      <c r="N50" s="244">
        <v>0</v>
      </c>
      <c r="O50" s="244">
        <v>5394.3809261937304</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41259.810908633997</v>
      </c>
      <c r="G52" s="266">
        <v>3.6385110196073298</v>
      </c>
      <c r="H52" s="266">
        <v>90.962775490183205</v>
      </c>
      <c r="I52" s="266">
        <v>9.5623650452614708</v>
      </c>
      <c r="J52" s="266">
        <v>2849.58478348792</v>
      </c>
      <c r="K52" s="266">
        <v>6036.1903151003098</v>
      </c>
      <c r="L52" s="266">
        <v>2534.6583359536398</v>
      </c>
      <c r="M52" s="266">
        <v>726.19307674184597</v>
      </c>
      <c r="N52" s="266">
        <v>0.17705628400000001</v>
      </c>
      <c r="O52" s="266">
        <v>53497.577251691902</v>
      </c>
    </row>
    <row r="53" spans="1:16" s="240" customFormat="1" ht="12.75" x14ac:dyDescent="0.2">
      <c r="A53" s="224" t="s">
        <v>724</v>
      </c>
      <c r="B53" s="225" t="s">
        <v>767</v>
      </c>
      <c r="C53" s="225"/>
      <c r="D53" s="268"/>
      <c r="E53" s="268"/>
      <c r="F53" s="269">
        <v>10138.6750239305</v>
      </c>
      <c r="G53" s="269">
        <v>0</v>
      </c>
      <c r="H53" s="269">
        <v>0</v>
      </c>
      <c r="I53" s="269">
        <v>0</v>
      </c>
      <c r="J53" s="269">
        <v>0</v>
      </c>
      <c r="K53" s="269">
        <v>0</v>
      </c>
      <c r="L53" s="269">
        <v>0</v>
      </c>
      <c r="M53" s="269">
        <v>0</v>
      </c>
      <c r="N53" s="269">
        <v>0</v>
      </c>
      <c r="O53" s="269">
        <v>10138.6750239305</v>
      </c>
    </row>
    <row r="54" spans="1:16" s="273" customFormat="1" ht="12" x14ac:dyDescent="0.2">
      <c r="A54" s="235"/>
      <c r="B54" s="270"/>
      <c r="C54" s="236" t="s">
        <v>560</v>
      </c>
      <c r="D54" s="271"/>
      <c r="E54" s="271"/>
      <c r="F54" s="272">
        <v>7745.2563975574203</v>
      </c>
      <c r="G54" s="272">
        <v>0</v>
      </c>
      <c r="H54" s="272">
        <v>0</v>
      </c>
      <c r="I54" s="272">
        <v>0</v>
      </c>
      <c r="J54" s="272">
        <v>0</v>
      </c>
      <c r="K54" s="272">
        <v>0</v>
      </c>
      <c r="L54" s="272">
        <v>0</v>
      </c>
      <c r="M54" s="272">
        <v>0</v>
      </c>
      <c r="N54" s="272">
        <v>0</v>
      </c>
      <c r="O54" s="272">
        <v>7745.2563975574203</v>
      </c>
      <c r="P54" s="271"/>
    </row>
    <row r="55" spans="1:16" s="273" customFormat="1" ht="12" x14ac:dyDescent="0.2">
      <c r="A55" s="235"/>
      <c r="B55" s="270"/>
      <c r="C55" s="236" t="s">
        <v>191</v>
      </c>
      <c r="D55" s="271"/>
      <c r="E55" s="271"/>
      <c r="F55" s="272">
        <v>1585.74239470415</v>
      </c>
      <c r="G55" s="272">
        <v>0</v>
      </c>
      <c r="H55" s="272">
        <v>0</v>
      </c>
      <c r="I55" s="272">
        <v>0</v>
      </c>
      <c r="J55" s="272">
        <v>0</v>
      </c>
      <c r="K55" s="272">
        <v>0</v>
      </c>
      <c r="L55" s="272">
        <v>0</v>
      </c>
      <c r="M55" s="272">
        <v>0</v>
      </c>
      <c r="N55" s="272">
        <v>0</v>
      </c>
      <c r="O55" s="272">
        <v>1585.74239470415</v>
      </c>
      <c r="P55" s="271"/>
    </row>
    <row r="56" spans="1:16" s="273" customFormat="1" ht="12" x14ac:dyDescent="0.2">
      <c r="A56" s="235"/>
      <c r="B56" s="270"/>
      <c r="C56" s="236" t="s">
        <v>768</v>
      </c>
      <c r="D56" s="271"/>
      <c r="E56" s="271"/>
      <c r="F56" s="272">
        <v>807.67623166894305</v>
      </c>
      <c r="G56" s="272">
        <v>0</v>
      </c>
      <c r="H56" s="272">
        <v>0</v>
      </c>
      <c r="I56" s="272">
        <v>0</v>
      </c>
      <c r="J56" s="272">
        <v>0</v>
      </c>
      <c r="K56" s="272">
        <v>0</v>
      </c>
      <c r="L56" s="272">
        <v>0</v>
      </c>
      <c r="M56" s="272">
        <v>0</v>
      </c>
      <c r="N56" s="272">
        <v>0</v>
      </c>
      <c r="O56" s="272">
        <v>807.67623166894305</v>
      </c>
      <c r="P56" s="271"/>
    </row>
    <row r="57" spans="1:16" s="275" customFormat="1" ht="12.75" x14ac:dyDescent="0.2">
      <c r="A57" s="224" t="s">
        <v>737</v>
      </c>
      <c r="B57" s="225" t="s">
        <v>769</v>
      </c>
      <c r="C57" s="225"/>
      <c r="D57" s="274"/>
      <c r="E57" s="274"/>
      <c r="F57" s="269">
        <v>4897.0133488649599</v>
      </c>
      <c r="G57" s="269">
        <v>3.53644501960733</v>
      </c>
      <c r="H57" s="269">
        <v>88.411125490183196</v>
      </c>
      <c r="I57" s="269">
        <v>8.5097153109898507</v>
      </c>
      <c r="J57" s="269">
        <v>2535.8951626749699</v>
      </c>
      <c r="K57" s="269">
        <v>0</v>
      </c>
      <c r="L57" s="269">
        <v>0</v>
      </c>
      <c r="M57" s="269">
        <v>0</v>
      </c>
      <c r="N57" s="269">
        <v>0</v>
      </c>
      <c r="O57" s="269">
        <v>7521.3196370301202</v>
      </c>
      <c r="P57" s="274"/>
    </row>
    <row r="58" spans="1:16" s="277" customFormat="1" ht="12" x14ac:dyDescent="0.2">
      <c r="A58" s="235"/>
      <c r="B58" s="270"/>
      <c r="C58" s="236" t="s">
        <v>192</v>
      </c>
      <c r="D58" s="276"/>
      <c r="E58" s="276"/>
      <c r="F58" s="272">
        <v>2574.83286387421</v>
      </c>
      <c r="G58" s="272">
        <v>0</v>
      </c>
      <c r="H58" s="272">
        <v>0</v>
      </c>
      <c r="I58" s="272">
        <v>0</v>
      </c>
      <c r="J58" s="272">
        <v>0</v>
      </c>
      <c r="K58" s="272">
        <v>0</v>
      </c>
      <c r="L58" s="272">
        <v>0</v>
      </c>
      <c r="M58" s="272">
        <v>0</v>
      </c>
      <c r="N58" s="272">
        <v>0</v>
      </c>
      <c r="O58" s="272">
        <v>2574.83286387421</v>
      </c>
      <c r="P58" s="276"/>
    </row>
    <row r="59" spans="1:16" s="277" customFormat="1" ht="12" x14ac:dyDescent="0.2">
      <c r="A59" s="235"/>
      <c r="B59" s="270"/>
      <c r="C59" s="236" t="s">
        <v>190</v>
      </c>
      <c r="D59" s="276"/>
      <c r="E59" s="276"/>
      <c r="F59" s="272">
        <v>0</v>
      </c>
      <c r="G59" s="272">
        <v>0</v>
      </c>
      <c r="H59" s="272">
        <v>0</v>
      </c>
      <c r="I59" s="272">
        <v>3.6583747612000002</v>
      </c>
      <c r="J59" s="272">
        <v>1090.1956788376001</v>
      </c>
      <c r="K59" s="272">
        <v>0</v>
      </c>
      <c r="L59" s="272">
        <v>0</v>
      </c>
      <c r="M59" s="272">
        <v>0</v>
      </c>
      <c r="N59" s="272">
        <v>0</v>
      </c>
      <c r="O59" s="272">
        <v>1090.1956788376001</v>
      </c>
      <c r="P59" s="276"/>
    </row>
    <row r="60" spans="1:16" s="277" customFormat="1" ht="12" x14ac:dyDescent="0.2">
      <c r="A60" s="235"/>
      <c r="B60" s="270"/>
      <c r="C60" s="236" t="s">
        <v>770</v>
      </c>
      <c r="D60" s="276"/>
      <c r="E60" s="276"/>
      <c r="F60" s="272">
        <v>0</v>
      </c>
      <c r="G60" s="272">
        <v>0</v>
      </c>
      <c r="H60" s="272">
        <v>0</v>
      </c>
      <c r="I60" s="272">
        <v>4.8112029999999999</v>
      </c>
      <c r="J60" s="272">
        <v>1433.7384939999999</v>
      </c>
      <c r="K60" s="272">
        <v>0</v>
      </c>
      <c r="L60" s="272">
        <v>0</v>
      </c>
      <c r="M60" s="272">
        <v>0</v>
      </c>
      <c r="N60" s="272">
        <v>0</v>
      </c>
      <c r="O60" s="272">
        <v>1433.7384939999999</v>
      </c>
      <c r="P60" s="276"/>
    </row>
    <row r="61" spans="1:16" s="277" customFormat="1" ht="12" x14ac:dyDescent="0.2">
      <c r="A61" s="235"/>
      <c r="B61" s="270"/>
      <c r="C61" s="236" t="s">
        <v>771</v>
      </c>
      <c r="D61" s="276"/>
      <c r="E61" s="276"/>
      <c r="F61" s="272">
        <v>2322.1804849907498</v>
      </c>
      <c r="G61" s="272">
        <v>3.53644501960733</v>
      </c>
      <c r="H61" s="272">
        <v>88.411125490183196</v>
      </c>
      <c r="I61" s="272">
        <v>4.0137549789849E-2</v>
      </c>
      <c r="J61" s="272">
        <v>11.960989837374999</v>
      </c>
      <c r="K61" s="272">
        <v>0</v>
      </c>
      <c r="L61" s="272">
        <v>0</v>
      </c>
      <c r="M61" s="272">
        <v>0</v>
      </c>
      <c r="N61" s="272">
        <v>0</v>
      </c>
      <c r="O61" s="272">
        <v>2422.5526003183099</v>
      </c>
      <c r="P61" s="276"/>
    </row>
    <row r="62" spans="1:16" s="240" customFormat="1" ht="12.75" x14ac:dyDescent="0.2">
      <c r="A62" s="224" t="s">
        <v>758</v>
      </c>
      <c r="B62" s="225" t="s">
        <v>772</v>
      </c>
      <c r="C62" s="225"/>
      <c r="D62" s="268"/>
      <c r="E62" s="268"/>
      <c r="F62" s="269">
        <v>16238.769531587899</v>
      </c>
      <c r="G62" s="269">
        <v>0.102066</v>
      </c>
      <c r="H62" s="269">
        <v>2.55165</v>
      </c>
      <c r="I62" s="269">
        <v>0</v>
      </c>
      <c r="J62" s="269">
        <v>0</v>
      </c>
      <c r="K62" s="269">
        <v>0</v>
      </c>
      <c r="L62" s="269">
        <v>2523.2947185100002</v>
      </c>
      <c r="M62" s="269">
        <v>500.76243721164798</v>
      </c>
      <c r="N62" s="269">
        <v>0</v>
      </c>
      <c r="O62" s="269">
        <v>19265.378337309601</v>
      </c>
      <c r="P62" s="268"/>
    </row>
    <row r="63" spans="1:16" s="273" customFormat="1" ht="12" x14ac:dyDescent="0.2">
      <c r="A63" s="235"/>
      <c r="B63" s="230"/>
      <c r="C63" s="230" t="s">
        <v>773</v>
      </c>
      <c r="D63" s="271"/>
      <c r="E63" s="271"/>
      <c r="F63" s="272">
        <v>11141.330531587901</v>
      </c>
      <c r="G63" s="272">
        <v>0.102066</v>
      </c>
      <c r="H63" s="272">
        <v>2.55165</v>
      </c>
      <c r="I63" s="272">
        <v>0</v>
      </c>
      <c r="J63" s="272">
        <v>0</v>
      </c>
      <c r="K63" s="272">
        <v>0</v>
      </c>
      <c r="L63" s="272">
        <v>0</v>
      </c>
      <c r="M63" s="272">
        <v>0</v>
      </c>
      <c r="N63" s="272">
        <v>0</v>
      </c>
      <c r="O63" s="272">
        <v>11143.8821815879</v>
      </c>
      <c r="P63" s="271"/>
    </row>
    <row r="64" spans="1:16" s="273" customFormat="1" ht="12" x14ac:dyDescent="0.2">
      <c r="A64" s="235"/>
      <c r="B64" s="230"/>
      <c r="C64" s="230" t="s">
        <v>252</v>
      </c>
      <c r="D64" s="271"/>
      <c r="E64" s="271"/>
      <c r="F64" s="272">
        <v>5097.4390000000003</v>
      </c>
      <c r="G64" s="272">
        <v>0</v>
      </c>
      <c r="H64" s="272">
        <v>0</v>
      </c>
      <c r="I64" s="272">
        <v>0</v>
      </c>
      <c r="J64" s="272">
        <v>0</v>
      </c>
      <c r="K64" s="272">
        <v>0</v>
      </c>
      <c r="L64" s="272">
        <v>2523.2947185100002</v>
      </c>
      <c r="M64" s="272">
        <v>11.87196</v>
      </c>
      <c r="N64" s="272">
        <v>0</v>
      </c>
      <c r="O64" s="272">
        <v>7632.60567851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488.89047721164798</v>
      </c>
      <c r="N65" s="272">
        <v>0</v>
      </c>
      <c r="O65" s="272">
        <v>488.89047721164798</v>
      </c>
      <c r="P65" s="271"/>
    </row>
    <row r="66" spans="1:16" s="234" customFormat="1" x14ac:dyDescent="0.25">
      <c r="A66" s="278" t="s">
        <v>764</v>
      </c>
      <c r="B66" s="279" t="s">
        <v>775</v>
      </c>
      <c r="C66" s="279"/>
      <c r="D66" s="251"/>
      <c r="E66" s="251"/>
      <c r="F66" s="252">
        <v>0</v>
      </c>
      <c r="G66" s="252">
        <v>0</v>
      </c>
      <c r="H66" s="252">
        <v>0</v>
      </c>
      <c r="I66" s="252">
        <v>0</v>
      </c>
      <c r="J66" s="252">
        <v>0</v>
      </c>
      <c r="K66" s="252">
        <v>6036.1903151003098</v>
      </c>
      <c r="L66" s="252">
        <v>7.51367221251133</v>
      </c>
      <c r="M66" s="252">
        <v>0.57703953019772602</v>
      </c>
      <c r="N66" s="252">
        <v>0.17705628400000001</v>
      </c>
      <c r="O66" s="252">
        <v>6044.4580831270196</v>
      </c>
      <c r="P66" s="251"/>
    </row>
    <row r="67" spans="1:16" s="234" customFormat="1" ht="12.75" x14ac:dyDescent="0.2">
      <c r="A67" s="278" t="s">
        <v>776</v>
      </c>
      <c r="B67" s="279" t="s">
        <v>777</v>
      </c>
      <c r="C67" s="279"/>
      <c r="D67" s="251"/>
      <c r="E67" s="251"/>
      <c r="F67" s="252">
        <v>9985.3530042505899</v>
      </c>
      <c r="G67" s="252">
        <v>0</v>
      </c>
      <c r="H67" s="252">
        <v>0</v>
      </c>
      <c r="I67" s="252">
        <v>0</v>
      </c>
      <c r="J67" s="252">
        <v>0</v>
      </c>
      <c r="K67" s="252">
        <v>0</v>
      </c>
      <c r="L67" s="252">
        <v>0</v>
      </c>
      <c r="M67" s="252">
        <v>0</v>
      </c>
      <c r="N67" s="252">
        <v>0</v>
      </c>
      <c r="O67" s="252">
        <v>9985.3530042505899</v>
      </c>
      <c r="P67" s="251"/>
    </row>
    <row r="68" spans="1:16" s="234" customFormat="1" ht="12.75" x14ac:dyDescent="0.2">
      <c r="A68" s="259" t="s">
        <v>778</v>
      </c>
      <c r="B68" s="260" t="s">
        <v>779</v>
      </c>
      <c r="C68" s="260"/>
      <c r="D68" s="280"/>
      <c r="E68" s="280"/>
      <c r="F68" s="281">
        <v>0</v>
      </c>
      <c r="G68" s="281">
        <v>0</v>
      </c>
      <c r="H68" s="281">
        <v>0</v>
      </c>
      <c r="I68" s="281">
        <v>1.0526497342716199</v>
      </c>
      <c r="J68" s="281">
        <v>313.689620812942</v>
      </c>
      <c r="K68" s="281">
        <v>0</v>
      </c>
      <c r="L68" s="281">
        <v>3.8499452311317199</v>
      </c>
      <c r="M68" s="281">
        <v>224.8536</v>
      </c>
      <c r="N68" s="281">
        <v>0</v>
      </c>
      <c r="O68" s="281">
        <v>542.39316604407395</v>
      </c>
      <c r="P68" s="251"/>
    </row>
    <row r="69" spans="1:16" s="267" customFormat="1" ht="12.75" x14ac:dyDescent="0.2">
      <c r="A69" s="282" t="s">
        <v>780</v>
      </c>
      <c r="B69" s="283"/>
      <c r="C69" s="283"/>
      <c r="D69" s="284"/>
      <c r="E69" s="284"/>
      <c r="F69" s="285">
        <v>1744.4915957333301</v>
      </c>
      <c r="G69" s="285">
        <v>1337.4270946716299</v>
      </c>
      <c r="H69" s="285">
        <v>33435.677366790798</v>
      </c>
      <c r="I69" s="285">
        <v>82.128569627914601</v>
      </c>
      <c r="J69" s="285">
        <v>24474.313749118501</v>
      </c>
      <c r="K69" s="285">
        <v>0</v>
      </c>
      <c r="L69" s="285">
        <v>0</v>
      </c>
      <c r="M69" s="285">
        <v>0</v>
      </c>
      <c r="N69" s="285">
        <v>0</v>
      </c>
      <c r="O69" s="285">
        <v>59654.482711642697</v>
      </c>
      <c r="P69" s="265"/>
    </row>
    <row r="70" spans="1:16" s="234" customFormat="1" ht="12.75" x14ac:dyDescent="0.2">
      <c r="A70" s="278" t="s">
        <v>724</v>
      </c>
      <c r="B70" s="279" t="s">
        <v>27</v>
      </c>
      <c r="C70" s="279"/>
      <c r="D70" s="251"/>
      <c r="E70" s="251"/>
      <c r="F70" s="252">
        <v>0</v>
      </c>
      <c r="G70" s="252">
        <v>1175.9406230465599</v>
      </c>
      <c r="H70" s="252">
        <v>29398.515576164002</v>
      </c>
      <c r="I70" s="252">
        <v>0</v>
      </c>
      <c r="J70" s="252">
        <v>0</v>
      </c>
      <c r="K70" s="252">
        <v>0</v>
      </c>
      <c r="L70" s="252">
        <v>0</v>
      </c>
      <c r="M70" s="252">
        <v>0</v>
      </c>
      <c r="N70" s="252">
        <v>0</v>
      </c>
      <c r="O70" s="252">
        <v>29398.515576164002</v>
      </c>
      <c r="P70" s="251"/>
    </row>
    <row r="71" spans="1:16" s="234" customFormat="1" ht="12.75" x14ac:dyDescent="0.2">
      <c r="A71" s="278" t="s">
        <v>737</v>
      </c>
      <c r="B71" s="279" t="s">
        <v>28</v>
      </c>
      <c r="C71" s="279"/>
      <c r="D71" s="251"/>
      <c r="E71" s="251"/>
      <c r="F71" s="252">
        <v>0</v>
      </c>
      <c r="G71" s="252">
        <v>160.289757171085</v>
      </c>
      <c r="H71" s="252">
        <v>4007.2439292771201</v>
      </c>
      <c r="I71" s="252">
        <v>17.733113248697901</v>
      </c>
      <c r="J71" s="252">
        <v>5284.4677481119797</v>
      </c>
      <c r="K71" s="252">
        <v>0</v>
      </c>
      <c r="L71" s="252">
        <v>0</v>
      </c>
      <c r="M71" s="252">
        <v>0</v>
      </c>
      <c r="N71" s="252">
        <v>0</v>
      </c>
      <c r="O71" s="252">
        <v>9291.7116773890993</v>
      </c>
      <c r="P71" s="251"/>
    </row>
    <row r="72" spans="1:16" s="234" customFormat="1" ht="12.75" x14ac:dyDescent="0.2">
      <c r="A72" s="224" t="s">
        <v>758</v>
      </c>
      <c r="B72" s="225" t="s">
        <v>781</v>
      </c>
      <c r="C72" s="225"/>
      <c r="F72" s="231">
        <v>0</v>
      </c>
      <c r="G72" s="231">
        <v>0</v>
      </c>
      <c r="H72" s="231">
        <v>0</v>
      </c>
      <c r="I72" s="231">
        <v>64.364430448928005</v>
      </c>
      <c r="J72" s="231">
        <v>19180.600273780601</v>
      </c>
      <c r="K72" s="231">
        <v>0</v>
      </c>
      <c r="L72" s="231">
        <v>0</v>
      </c>
      <c r="M72" s="231">
        <v>0</v>
      </c>
      <c r="N72" s="231">
        <v>0</v>
      </c>
      <c r="O72" s="231">
        <v>19180.600273780601</v>
      </c>
    </row>
    <row r="73" spans="1:16" s="237" customFormat="1" ht="12" x14ac:dyDescent="0.2">
      <c r="A73" s="286"/>
      <c r="B73" s="258"/>
      <c r="C73" s="258" t="s">
        <v>782</v>
      </c>
      <c r="D73" s="243"/>
      <c r="E73" s="243"/>
      <c r="F73" s="244">
        <v>0</v>
      </c>
      <c r="G73" s="244">
        <v>0</v>
      </c>
      <c r="H73" s="244">
        <v>0</v>
      </c>
      <c r="I73" s="244">
        <v>52.759602795029998</v>
      </c>
      <c r="J73" s="244">
        <v>15722.361632918901</v>
      </c>
      <c r="K73" s="244">
        <v>0</v>
      </c>
      <c r="L73" s="244">
        <v>0</v>
      </c>
      <c r="M73" s="244">
        <v>0</v>
      </c>
      <c r="N73" s="244">
        <v>0</v>
      </c>
      <c r="O73" s="244">
        <v>15722.361632918901</v>
      </c>
    </row>
    <row r="74" spans="1:16" s="237" customFormat="1" ht="12" x14ac:dyDescent="0.2">
      <c r="A74" s="286"/>
      <c r="B74" s="258"/>
      <c r="C74" s="258" t="s">
        <v>783</v>
      </c>
      <c r="D74" s="243"/>
      <c r="E74" s="243"/>
      <c r="F74" s="244">
        <v>0</v>
      </c>
      <c r="G74" s="244">
        <v>0</v>
      </c>
      <c r="H74" s="244">
        <v>0</v>
      </c>
      <c r="I74" s="244">
        <v>11.6048276538981</v>
      </c>
      <c r="J74" s="244">
        <v>3458.2386408616298</v>
      </c>
      <c r="K74" s="244">
        <v>0</v>
      </c>
      <c r="L74" s="244">
        <v>0</v>
      </c>
      <c r="M74" s="244">
        <v>0</v>
      </c>
      <c r="N74" s="244">
        <v>0</v>
      </c>
      <c r="O74" s="244">
        <v>3458.2386408616298</v>
      </c>
    </row>
    <row r="75" spans="1:16" s="234" customFormat="1" ht="12.75" x14ac:dyDescent="0.2">
      <c r="A75" s="278" t="s">
        <v>764</v>
      </c>
      <c r="B75" s="279" t="s">
        <v>193</v>
      </c>
      <c r="C75" s="287"/>
      <c r="D75" s="251"/>
      <c r="E75" s="251"/>
      <c r="F75" s="252">
        <v>0</v>
      </c>
      <c r="G75" s="252">
        <v>1.1967144539888299</v>
      </c>
      <c r="H75" s="252">
        <v>29.917861349720599</v>
      </c>
      <c r="I75" s="252">
        <v>3.10259302885992E-2</v>
      </c>
      <c r="J75" s="252">
        <v>9.2457272260025594</v>
      </c>
      <c r="K75" s="252">
        <v>0</v>
      </c>
      <c r="L75" s="252">
        <v>0</v>
      </c>
      <c r="M75" s="252">
        <v>0</v>
      </c>
      <c r="N75" s="252">
        <v>0</v>
      </c>
      <c r="O75" s="252">
        <v>39.163588575723203</v>
      </c>
    </row>
    <row r="76" spans="1:16" s="234" customFormat="1" ht="12.75" x14ac:dyDescent="0.2">
      <c r="A76" s="259" t="s">
        <v>776</v>
      </c>
      <c r="B76" s="260" t="s">
        <v>784</v>
      </c>
      <c r="C76" s="288"/>
      <c r="D76" s="280"/>
      <c r="E76" s="280"/>
      <c r="F76" s="281">
        <v>1744.4915957333301</v>
      </c>
      <c r="G76" s="281">
        <v>0</v>
      </c>
      <c r="H76" s="281">
        <v>0</v>
      </c>
      <c r="I76" s="281">
        <v>0</v>
      </c>
      <c r="J76" s="281">
        <v>0</v>
      </c>
      <c r="K76" s="281">
        <v>0</v>
      </c>
      <c r="L76" s="281">
        <v>0</v>
      </c>
      <c r="M76" s="281">
        <v>0</v>
      </c>
      <c r="N76" s="281">
        <v>0</v>
      </c>
      <c r="O76" s="281">
        <v>1744.4915957333301</v>
      </c>
    </row>
    <row r="77" spans="1:16" s="234" customFormat="1" ht="12.75" x14ac:dyDescent="0.2">
      <c r="A77" s="220" t="s">
        <v>785</v>
      </c>
      <c r="B77" s="289"/>
      <c r="C77" s="289"/>
      <c r="F77" s="223">
        <v>466.15970011000002</v>
      </c>
      <c r="G77" s="223">
        <v>1038.53386387</v>
      </c>
      <c r="H77" s="223">
        <v>25963.346596750001</v>
      </c>
      <c r="I77" s="223">
        <v>4.0563036800000001</v>
      </c>
      <c r="J77" s="223">
        <v>1208.77849664</v>
      </c>
      <c r="K77" s="223">
        <v>0</v>
      </c>
      <c r="L77" s="223">
        <v>0</v>
      </c>
      <c r="M77" s="223">
        <v>0</v>
      </c>
      <c r="N77" s="223">
        <v>0</v>
      </c>
      <c r="O77" s="223">
        <v>27638.284793499999</v>
      </c>
    </row>
    <row r="78" spans="1:16" s="234" customFormat="1" ht="12.75" x14ac:dyDescent="0.2">
      <c r="A78" s="224" t="s">
        <v>724</v>
      </c>
      <c r="B78" s="225" t="s">
        <v>786</v>
      </c>
      <c r="C78" s="225"/>
      <c r="F78" s="231">
        <v>0</v>
      </c>
      <c r="G78" s="231">
        <v>1000.41802352</v>
      </c>
      <c r="H78" s="231">
        <v>25010.450588</v>
      </c>
      <c r="I78" s="231">
        <v>0</v>
      </c>
      <c r="J78" s="231">
        <v>0</v>
      </c>
      <c r="K78" s="231">
        <v>0</v>
      </c>
      <c r="L78" s="231">
        <v>0</v>
      </c>
      <c r="M78" s="231">
        <v>0</v>
      </c>
      <c r="N78" s="231">
        <v>0</v>
      </c>
      <c r="O78" s="231">
        <v>25010.450588</v>
      </c>
    </row>
    <row r="79" spans="1:16" s="234" customFormat="1" ht="12.75" x14ac:dyDescent="0.2">
      <c r="A79" s="224" t="s">
        <v>737</v>
      </c>
      <c r="B79" s="225" t="s">
        <v>787</v>
      </c>
      <c r="C79" s="225"/>
      <c r="F79" s="231">
        <v>0</v>
      </c>
      <c r="G79" s="231">
        <v>21.999482130000001</v>
      </c>
      <c r="H79" s="231">
        <v>549.98705325000003</v>
      </c>
      <c r="I79" s="231">
        <v>1.3199689299999999</v>
      </c>
      <c r="J79" s="231">
        <v>393.35074114000003</v>
      </c>
      <c r="K79" s="231">
        <v>0</v>
      </c>
      <c r="L79" s="231">
        <v>0</v>
      </c>
      <c r="M79" s="231">
        <v>0</v>
      </c>
      <c r="N79" s="231">
        <v>0</v>
      </c>
      <c r="O79" s="231">
        <v>943.33779439</v>
      </c>
    </row>
    <row r="80" spans="1:16" s="234" customFormat="1" ht="12.75" x14ac:dyDescent="0.2">
      <c r="A80" s="278" t="s">
        <v>788</v>
      </c>
      <c r="B80" s="279" t="s">
        <v>789</v>
      </c>
      <c r="C80" s="279"/>
      <c r="D80" s="251"/>
      <c r="E80" s="251"/>
      <c r="F80" s="252">
        <v>0</v>
      </c>
      <c r="G80" s="252">
        <v>15.88488712</v>
      </c>
      <c r="H80" s="252">
        <v>397.12217800000002</v>
      </c>
      <c r="I80" s="252">
        <v>2.1667457799999998</v>
      </c>
      <c r="J80" s="252">
        <v>645.69024244000002</v>
      </c>
      <c r="K80" s="252">
        <v>0</v>
      </c>
      <c r="L80" s="252">
        <v>0</v>
      </c>
      <c r="M80" s="252">
        <v>0</v>
      </c>
      <c r="N80" s="252">
        <v>0</v>
      </c>
      <c r="O80" s="252">
        <v>1042.8124204400001</v>
      </c>
    </row>
    <row r="81" spans="1:30" s="234" customFormat="1" ht="12.75" x14ac:dyDescent="0.2">
      <c r="A81" s="259" t="s">
        <v>764</v>
      </c>
      <c r="B81" s="260" t="s">
        <v>790</v>
      </c>
      <c r="C81" s="260"/>
      <c r="D81" s="280"/>
      <c r="E81" s="280"/>
      <c r="F81" s="281">
        <v>466.15970011000002</v>
      </c>
      <c r="G81" s="281">
        <v>0.23147110000000001</v>
      </c>
      <c r="H81" s="281">
        <v>5.7867775000000004</v>
      </c>
      <c r="I81" s="281">
        <v>0.56958896999999997</v>
      </c>
      <c r="J81" s="281">
        <v>169.73751306</v>
      </c>
      <c r="K81" s="281">
        <v>0</v>
      </c>
      <c r="L81" s="281">
        <v>0</v>
      </c>
      <c r="M81" s="281">
        <v>0</v>
      </c>
      <c r="N81" s="281">
        <v>0</v>
      </c>
      <c r="O81" s="281">
        <v>641.68399066999996</v>
      </c>
    </row>
    <row r="82" spans="1:30" s="267" customFormat="1" ht="12.75" x14ac:dyDescent="0.2">
      <c r="A82" s="263" t="s">
        <v>791</v>
      </c>
      <c r="B82" s="264"/>
      <c r="C82" s="264"/>
      <c r="F82" s="223">
        <v>-38730.860159999997</v>
      </c>
      <c r="G82" s="223">
        <v>35.650790999999998</v>
      </c>
      <c r="H82" s="223">
        <v>891.26977499999998</v>
      </c>
      <c r="I82" s="223">
        <v>1.303383</v>
      </c>
      <c r="J82" s="223">
        <v>388.40813400000002</v>
      </c>
      <c r="K82" s="223">
        <v>0</v>
      </c>
      <c r="L82" s="223">
        <v>0</v>
      </c>
      <c r="M82" s="223">
        <v>0</v>
      </c>
      <c r="N82" s="223">
        <v>0</v>
      </c>
      <c r="O82" s="223">
        <v>-37451.182250999998</v>
      </c>
    </row>
    <row r="83" spans="1:30" s="234" customFormat="1" ht="12.75" x14ac:dyDescent="0.2">
      <c r="A83" s="224" t="s">
        <v>724</v>
      </c>
      <c r="B83" s="225" t="s">
        <v>792</v>
      </c>
      <c r="C83" s="225"/>
      <c r="F83" s="231">
        <v>-163757.82413600001</v>
      </c>
      <c r="G83" s="231">
        <v>12.013771</v>
      </c>
      <c r="H83" s="231">
        <v>300.34427499999998</v>
      </c>
      <c r="I83" s="231">
        <v>0.497004</v>
      </c>
      <c r="J83" s="231">
        <v>148.107192</v>
      </c>
      <c r="K83" s="231">
        <v>0</v>
      </c>
      <c r="L83" s="231">
        <v>0</v>
      </c>
      <c r="M83" s="231">
        <v>0</v>
      </c>
      <c r="N83" s="231">
        <v>0</v>
      </c>
      <c r="O83" s="231">
        <v>-163309.372669</v>
      </c>
    </row>
    <row r="84" spans="1:30" s="234" customFormat="1" ht="12.75" x14ac:dyDescent="0.2">
      <c r="A84" s="224" t="s">
        <v>737</v>
      </c>
      <c r="B84" s="225" t="s">
        <v>793</v>
      </c>
      <c r="C84" s="225"/>
      <c r="F84" s="231">
        <v>-11642.200064000001</v>
      </c>
      <c r="G84" s="231">
        <v>4.2117969999999998</v>
      </c>
      <c r="H84" s="231">
        <v>105.29492500000001</v>
      </c>
      <c r="I84" s="231">
        <v>0.216644</v>
      </c>
      <c r="J84" s="231">
        <v>64.559911999999997</v>
      </c>
      <c r="K84" s="231">
        <v>0</v>
      </c>
      <c r="L84" s="231">
        <v>0</v>
      </c>
      <c r="M84" s="231">
        <v>0</v>
      </c>
      <c r="N84" s="231">
        <v>0</v>
      </c>
      <c r="O84" s="231">
        <v>-11472.345227</v>
      </c>
    </row>
    <row r="85" spans="1:30" s="234" customFormat="1" ht="12.75" x14ac:dyDescent="0.2">
      <c r="A85" s="278" t="s">
        <v>758</v>
      </c>
      <c r="B85" s="279" t="s">
        <v>794</v>
      </c>
      <c r="C85" s="279"/>
      <c r="F85" s="231">
        <v>0</v>
      </c>
      <c r="G85" s="231">
        <v>13.10661</v>
      </c>
      <c r="H85" s="231">
        <v>327.66525000000001</v>
      </c>
      <c r="I85" s="231">
        <v>0.33978000000000003</v>
      </c>
      <c r="J85" s="231">
        <v>101.25444</v>
      </c>
      <c r="K85" s="231">
        <v>0</v>
      </c>
      <c r="L85" s="231">
        <v>0</v>
      </c>
      <c r="M85" s="231">
        <v>0</v>
      </c>
      <c r="N85" s="231">
        <v>0</v>
      </c>
      <c r="O85" s="231">
        <v>428.91969</v>
      </c>
    </row>
    <row r="86" spans="1:30" s="234" customFormat="1" ht="12.75" x14ac:dyDescent="0.2">
      <c r="A86" s="278" t="s">
        <v>764</v>
      </c>
      <c r="B86" s="279" t="s">
        <v>795</v>
      </c>
      <c r="C86" s="279"/>
      <c r="F86" s="231">
        <v>2750.0356449999999</v>
      </c>
      <c r="G86" s="231">
        <v>0.455536</v>
      </c>
      <c r="H86" s="231">
        <v>11.388400000000001</v>
      </c>
      <c r="I86" s="231">
        <v>2.5276E-2</v>
      </c>
      <c r="J86" s="231">
        <v>7.5322480000000001</v>
      </c>
      <c r="K86" s="231">
        <v>0</v>
      </c>
      <c r="L86" s="231">
        <v>0</v>
      </c>
      <c r="M86" s="231">
        <v>0</v>
      </c>
      <c r="N86" s="231">
        <v>0</v>
      </c>
      <c r="O86" s="231">
        <v>2768.9562930000002</v>
      </c>
    </row>
    <row r="87" spans="1:30" s="234" customFormat="1" ht="12.75" x14ac:dyDescent="0.2">
      <c r="A87" s="278" t="s">
        <v>776</v>
      </c>
      <c r="B87" s="279" t="s">
        <v>796</v>
      </c>
      <c r="C87" s="279"/>
      <c r="D87" s="251"/>
      <c r="E87" s="251"/>
      <c r="F87" s="252">
        <v>3996.5610799999999</v>
      </c>
      <c r="G87" s="252">
        <v>5.8630769999999997</v>
      </c>
      <c r="H87" s="252">
        <v>146.57692499999999</v>
      </c>
      <c r="I87" s="252">
        <v>0.22467899999999999</v>
      </c>
      <c r="J87" s="252">
        <v>66.954341999999997</v>
      </c>
      <c r="K87" s="252">
        <v>0</v>
      </c>
      <c r="L87" s="252">
        <v>0</v>
      </c>
      <c r="M87" s="252">
        <v>0</v>
      </c>
      <c r="N87" s="252">
        <v>0</v>
      </c>
      <c r="O87" s="252">
        <v>4210.0923469999998</v>
      </c>
    </row>
    <row r="88" spans="1:30" s="234" customFormat="1" ht="12.75" x14ac:dyDescent="0.2">
      <c r="A88" s="259" t="s">
        <v>778</v>
      </c>
      <c r="B88" s="260" t="s">
        <v>797</v>
      </c>
      <c r="C88" s="260"/>
      <c r="D88" s="280"/>
      <c r="E88" s="280"/>
      <c r="F88" s="281">
        <v>129922.56731499999</v>
      </c>
      <c r="G88" s="281">
        <v>0</v>
      </c>
      <c r="H88" s="281">
        <v>0</v>
      </c>
      <c r="I88" s="281">
        <v>0</v>
      </c>
      <c r="J88" s="281">
        <v>0</v>
      </c>
      <c r="K88" s="281">
        <v>0</v>
      </c>
      <c r="L88" s="281">
        <v>0</v>
      </c>
      <c r="M88" s="281">
        <v>0</v>
      </c>
      <c r="N88" s="281">
        <v>0</v>
      </c>
      <c r="O88" s="281">
        <v>129922.56731499999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32"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818</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567782.03096208605</v>
      </c>
      <c r="G7" s="218">
        <v>4510.5203312347903</v>
      </c>
      <c r="H7" s="218">
        <v>112763.00828087</v>
      </c>
      <c r="I7" s="218">
        <v>129.53715071539</v>
      </c>
      <c r="J7" s="218">
        <v>38602.070913186202</v>
      </c>
      <c r="K7" s="218">
        <v>5363.2367481214696</v>
      </c>
      <c r="L7" s="218">
        <v>2986.0316431484098</v>
      </c>
      <c r="M7" s="218">
        <v>1526.73967628591</v>
      </c>
      <c r="N7" s="218">
        <v>0.185726746666667</v>
      </c>
      <c r="O7" s="218">
        <v>729023.30395044503</v>
      </c>
    </row>
    <row r="8" spans="1:16" ht="15.75" thickTop="1" x14ac:dyDescent="0.2">
      <c r="A8" s="220" t="s">
        <v>723</v>
      </c>
      <c r="B8" s="221"/>
      <c r="C8" s="221"/>
      <c r="F8" s="223">
        <v>523664.08327474102</v>
      </c>
      <c r="G8" s="223">
        <v>2065.9143295935201</v>
      </c>
      <c r="H8" s="223">
        <v>51647.858239838097</v>
      </c>
      <c r="I8" s="223">
        <v>36.617078964480903</v>
      </c>
      <c r="J8" s="223">
        <v>10911.8895314153</v>
      </c>
      <c r="K8" s="223">
        <v>0</v>
      </c>
      <c r="L8" s="223">
        <v>0</v>
      </c>
      <c r="M8" s="223">
        <v>0</v>
      </c>
      <c r="N8" s="223">
        <v>0</v>
      </c>
      <c r="O8" s="223">
        <v>586223.83104599395</v>
      </c>
    </row>
    <row r="9" spans="1:16" x14ac:dyDescent="0.2">
      <c r="A9" s="224" t="s">
        <v>724</v>
      </c>
      <c r="B9" s="225" t="s">
        <v>725</v>
      </c>
      <c r="C9" s="225"/>
      <c r="F9" s="226">
        <v>322719.48649760598</v>
      </c>
      <c r="G9" s="226">
        <v>209.57984271044401</v>
      </c>
      <c r="H9" s="226">
        <v>5239.4960677611098</v>
      </c>
      <c r="I9" s="226">
        <v>8.9392290746394494</v>
      </c>
      <c r="J9" s="226">
        <v>2663.8902642425601</v>
      </c>
      <c r="K9" s="226">
        <v>0</v>
      </c>
      <c r="L9" s="226">
        <v>0</v>
      </c>
      <c r="M9" s="226">
        <v>0</v>
      </c>
      <c r="N9" s="226">
        <v>0</v>
      </c>
      <c r="O9" s="226">
        <v>330622.87282960903</v>
      </c>
      <c r="P9" s="227"/>
    </row>
    <row r="10" spans="1:16" x14ac:dyDescent="0.2">
      <c r="A10" s="228"/>
      <c r="B10" s="229" t="s">
        <v>726</v>
      </c>
      <c r="C10" s="230"/>
      <c r="F10" s="231">
        <v>115194.027495088</v>
      </c>
      <c r="G10" s="231">
        <v>5.6557559673259101</v>
      </c>
      <c r="H10" s="231">
        <v>141.39389918314799</v>
      </c>
      <c r="I10" s="231">
        <v>2.3715328132849001</v>
      </c>
      <c r="J10" s="231">
        <v>706.71677835889898</v>
      </c>
      <c r="K10" s="231">
        <v>0</v>
      </c>
      <c r="L10" s="231">
        <v>0</v>
      </c>
      <c r="M10" s="231">
        <v>0</v>
      </c>
      <c r="N10" s="231">
        <v>0</v>
      </c>
      <c r="O10" s="231">
        <v>116042.13817263</v>
      </c>
    </row>
    <row r="11" spans="1:16" x14ac:dyDescent="0.2">
      <c r="A11" s="228"/>
      <c r="B11" s="232" t="s">
        <v>727</v>
      </c>
      <c r="C11" s="230"/>
      <c r="F11" s="231">
        <v>20431.927429086201</v>
      </c>
      <c r="G11" s="231">
        <v>0.49201519718082798</v>
      </c>
      <c r="H11" s="231">
        <v>12.3003799295207</v>
      </c>
      <c r="I11" s="231">
        <v>0.15709445720606699</v>
      </c>
      <c r="J11" s="231">
        <v>46.814148247407999</v>
      </c>
      <c r="K11" s="231">
        <v>0</v>
      </c>
      <c r="L11" s="231">
        <v>0</v>
      </c>
      <c r="M11" s="231">
        <v>0</v>
      </c>
      <c r="N11" s="231">
        <v>0</v>
      </c>
      <c r="O11" s="231">
        <v>20491.0419572631</v>
      </c>
    </row>
    <row r="12" spans="1:16" s="234" customFormat="1" ht="12.75" x14ac:dyDescent="0.2">
      <c r="A12" s="228"/>
      <c r="B12" s="232" t="s">
        <v>728</v>
      </c>
      <c r="C12" s="233"/>
      <c r="F12" s="231">
        <v>68896.791383922202</v>
      </c>
      <c r="G12" s="231">
        <v>84.014581420694796</v>
      </c>
      <c r="H12" s="231">
        <v>2100.3645355173699</v>
      </c>
      <c r="I12" s="231">
        <v>1.5814928226779601</v>
      </c>
      <c r="J12" s="231">
        <v>471.28486115803202</v>
      </c>
      <c r="K12" s="231">
        <v>0</v>
      </c>
      <c r="L12" s="231">
        <v>0</v>
      </c>
      <c r="M12" s="231">
        <v>0</v>
      </c>
      <c r="N12" s="231">
        <v>0</v>
      </c>
      <c r="O12" s="231">
        <v>71468.440780597593</v>
      </c>
    </row>
    <row r="13" spans="1:16" s="234" customFormat="1" ht="12.75" x14ac:dyDescent="0.2">
      <c r="A13" s="228"/>
      <c r="B13" s="229" t="s">
        <v>729</v>
      </c>
      <c r="C13" s="229"/>
      <c r="F13" s="231">
        <v>45571.660892075502</v>
      </c>
      <c r="G13" s="231">
        <v>2.7750629587394098</v>
      </c>
      <c r="H13" s="231">
        <v>69.376573968485204</v>
      </c>
      <c r="I13" s="231">
        <v>2.04778853555593</v>
      </c>
      <c r="J13" s="231">
        <v>610.24098359566801</v>
      </c>
      <c r="K13" s="231">
        <v>0</v>
      </c>
      <c r="L13" s="231">
        <v>0</v>
      </c>
      <c r="M13" s="231">
        <v>0</v>
      </c>
      <c r="N13" s="231">
        <v>0</v>
      </c>
      <c r="O13" s="231">
        <v>46251.2784496397</v>
      </c>
    </row>
    <row r="14" spans="1:16" s="237" customFormat="1" ht="12" x14ac:dyDescent="0.2">
      <c r="A14" s="235"/>
      <c r="B14" s="230"/>
      <c r="C14" s="236" t="s">
        <v>2</v>
      </c>
      <c r="F14" s="238">
        <v>5501.5449143135602</v>
      </c>
      <c r="G14" s="238">
        <v>0.160566354021806</v>
      </c>
      <c r="H14" s="238">
        <v>4.0141588505451598</v>
      </c>
      <c r="I14" s="238">
        <v>0.13616460553375001</v>
      </c>
      <c r="J14" s="238">
        <v>40.577052449057497</v>
      </c>
      <c r="K14" s="238">
        <v>0</v>
      </c>
      <c r="L14" s="238">
        <v>0</v>
      </c>
      <c r="M14" s="238">
        <v>0</v>
      </c>
      <c r="N14" s="238">
        <v>0</v>
      </c>
      <c r="O14" s="238">
        <v>5546.1361256131604</v>
      </c>
    </row>
    <row r="15" spans="1:16" s="237" customFormat="1" ht="12" x14ac:dyDescent="0.2">
      <c r="A15" s="235"/>
      <c r="B15" s="230"/>
      <c r="C15" s="236" t="s">
        <v>730</v>
      </c>
      <c r="F15" s="238">
        <v>3470.3242487704601</v>
      </c>
      <c r="G15" s="238">
        <v>7.3770237010727699E-2</v>
      </c>
      <c r="H15" s="238">
        <v>1.84425592526819</v>
      </c>
      <c r="I15" s="238">
        <v>5.3206663556054197E-2</v>
      </c>
      <c r="J15" s="238">
        <v>15.8555857397042</v>
      </c>
      <c r="K15" s="238">
        <v>0</v>
      </c>
      <c r="L15" s="238">
        <v>0</v>
      </c>
      <c r="M15" s="238">
        <v>0</v>
      </c>
      <c r="N15" s="238">
        <v>0</v>
      </c>
      <c r="O15" s="238">
        <v>3488.02409043543</v>
      </c>
    </row>
    <row r="16" spans="1:16" s="237" customFormat="1" ht="12" x14ac:dyDescent="0.2">
      <c r="A16" s="235"/>
      <c r="B16" s="230"/>
      <c r="C16" s="236" t="s">
        <v>731</v>
      </c>
      <c r="F16" s="238">
        <v>8836.0005745441904</v>
      </c>
      <c r="G16" s="238">
        <v>0.17799433868217801</v>
      </c>
      <c r="H16" s="238">
        <v>4.4498584670544501</v>
      </c>
      <c r="I16" s="238">
        <v>0.154179477784711</v>
      </c>
      <c r="J16" s="238">
        <v>45.945484379843897</v>
      </c>
      <c r="K16" s="238">
        <v>0</v>
      </c>
      <c r="L16" s="238">
        <v>0</v>
      </c>
      <c r="M16" s="238">
        <v>0</v>
      </c>
      <c r="N16" s="238">
        <v>0</v>
      </c>
      <c r="O16" s="238">
        <v>8886.3959173910807</v>
      </c>
    </row>
    <row r="17" spans="1:16" s="237" customFormat="1" ht="12" x14ac:dyDescent="0.2">
      <c r="A17" s="235"/>
      <c r="B17" s="230"/>
      <c r="C17" s="236" t="s">
        <v>732</v>
      </c>
      <c r="F17" s="238">
        <v>7163.4551485559195</v>
      </c>
      <c r="G17" s="238">
        <v>1.47717056727167</v>
      </c>
      <c r="H17" s="238">
        <v>36.929264181791801</v>
      </c>
      <c r="I17" s="238">
        <v>1.13021420886394</v>
      </c>
      <c r="J17" s="238">
        <v>336.80383424145498</v>
      </c>
      <c r="K17" s="238">
        <v>0</v>
      </c>
      <c r="L17" s="238">
        <v>0</v>
      </c>
      <c r="M17" s="238">
        <v>0</v>
      </c>
      <c r="N17" s="238">
        <v>0</v>
      </c>
      <c r="O17" s="238">
        <v>7537.1882469791599</v>
      </c>
    </row>
    <row r="18" spans="1:16" s="237" customFormat="1" ht="12" x14ac:dyDescent="0.2">
      <c r="A18" s="235"/>
      <c r="B18" s="230"/>
      <c r="C18" s="236" t="s">
        <v>35</v>
      </c>
      <c r="F18" s="238">
        <v>5717.9879092335996</v>
      </c>
      <c r="G18" s="238">
        <v>0.219326129737626</v>
      </c>
      <c r="H18" s="238">
        <v>5.4831532434406398</v>
      </c>
      <c r="I18" s="238">
        <v>6.1481252056901997E-2</v>
      </c>
      <c r="J18" s="238">
        <v>18.321413112956801</v>
      </c>
      <c r="K18" s="238">
        <v>0</v>
      </c>
      <c r="L18" s="238">
        <v>0</v>
      </c>
      <c r="M18" s="238">
        <v>0</v>
      </c>
      <c r="N18" s="238">
        <v>0</v>
      </c>
      <c r="O18" s="238">
        <v>5741.7924755899903</v>
      </c>
    </row>
    <row r="19" spans="1:16" s="237" customFormat="1" ht="12" x14ac:dyDescent="0.2">
      <c r="A19" s="235"/>
      <c r="B19" s="230"/>
      <c r="C19" s="236" t="s">
        <v>733</v>
      </c>
      <c r="F19" s="238">
        <v>14882.348096657801</v>
      </c>
      <c r="G19" s="238">
        <v>0.66623533201539598</v>
      </c>
      <c r="H19" s="238">
        <v>16.6558833003849</v>
      </c>
      <c r="I19" s="238">
        <v>0.51254232776057296</v>
      </c>
      <c r="J19" s="238">
        <v>152.73761367265101</v>
      </c>
      <c r="K19" s="238">
        <v>0</v>
      </c>
      <c r="L19" s="238">
        <v>0</v>
      </c>
      <c r="M19" s="238">
        <v>0</v>
      </c>
      <c r="N19" s="238">
        <v>0</v>
      </c>
      <c r="O19" s="238">
        <v>15051.741593630801</v>
      </c>
    </row>
    <row r="20" spans="1:16" s="234" customFormat="1" ht="12.75" x14ac:dyDescent="0.2">
      <c r="A20" s="228"/>
      <c r="B20" s="229" t="s">
        <v>734</v>
      </c>
      <c r="C20" s="239"/>
      <c r="F20" s="231">
        <v>1396.2856899999999</v>
      </c>
      <c r="G20" s="231">
        <v>2.4313000000000001E-2</v>
      </c>
      <c r="H20" s="231">
        <v>0.60782499999999995</v>
      </c>
      <c r="I20" s="231">
        <v>3.3110899999999999E-2</v>
      </c>
      <c r="J20" s="231">
        <v>9.8670481999999993</v>
      </c>
      <c r="K20" s="231">
        <v>0</v>
      </c>
      <c r="L20" s="231">
        <v>0</v>
      </c>
      <c r="M20" s="231">
        <v>0</v>
      </c>
      <c r="N20" s="231">
        <v>0</v>
      </c>
      <c r="O20" s="231">
        <v>1406.7605632</v>
      </c>
    </row>
    <row r="21" spans="1:16" s="234" customFormat="1" ht="12.75" x14ac:dyDescent="0.2">
      <c r="A21" s="228"/>
      <c r="B21" s="229" t="s">
        <v>735</v>
      </c>
      <c r="C21" s="229"/>
      <c r="F21" s="231">
        <v>29189.2971866189</v>
      </c>
      <c r="G21" s="231">
        <v>0.54376871912948699</v>
      </c>
      <c r="H21" s="231">
        <v>13.5942179782372</v>
      </c>
      <c r="I21" s="231">
        <v>0.61784860659355001</v>
      </c>
      <c r="J21" s="231">
        <v>184.118884764878</v>
      </c>
      <c r="K21" s="231">
        <v>0</v>
      </c>
      <c r="L21" s="231">
        <v>0</v>
      </c>
      <c r="M21" s="231">
        <v>0</v>
      </c>
      <c r="N21" s="231">
        <v>0</v>
      </c>
      <c r="O21" s="231">
        <v>29387.010289361999</v>
      </c>
    </row>
    <row r="22" spans="1:16" s="234" customFormat="1" ht="12.75" x14ac:dyDescent="0.2">
      <c r="A22" s="228"/>
      <c r="B22" s="229" t="s">
        <v>181</v>
      </c>
      <c r="C22" s="229"/>
      <c r="F22" s="231">
        <v>39944.038670000002</v>
      </c>
      <c r="G22" s="231">
        <v>116.03884141079</v>
      </c>
      <c r="H22" s="231">
        <v>2900.9710352697498</v>
      </c>
      <c r="I22" s="231">
        <v>2.0691620229084999</v>
      </c>
      <c r="J22" s="231">
        <v>616.61028282673203</v>
      </c>
      <c r="K22" s="231">
        <v>0</v>
      </c>
      <c r="L22" s="231">
        <v>0</v>
      </c>
      <c r="M22" s="231">
        <v>0</v>
      </c>
      <c r="N22" s="231">
        <v>0</v>
      </c>
      <c r="O22" s="231">
        <v>43461.6199880965</v>
      </c>
    </row>
    <row r="23" spans="1:16" s="234" customFormat="1" ht="12.75" x14ac:dyDescent="0.2">
      <c r="A23" s="228"/>
      <c r="B23" s="229" t="s">
        <v>736</v>
      </c>
      <c r="C23" s="229"/>
      <c r="F23" s="231">
        <v>2095.4577508149</v>
      </c>
      <c r="G23" s="231">
        <v>3.5504036583766503E-2</v>
      </c>
      <c r="H23" s="231">
        <v>0.88760091459416202</v>
      </c>
      <c r="I23" s="231">
        <v>6.1198916412548501E-2</v>
      </c>
      <c r="J23" s="231">
        <v>18.2372770909395</v>
      </c>
      <c r="K23" s="231">
        <v>0</v>
      </c>
      <c r="L23" s="231">
        <v>0</v>
      </c>
      <c r="M23" s="231">
        <v>0</v>
      </c>
      <c r="N23" s="231">
        <v>0</v>
      </c>
      <c r="O23" s="231">
        <v>2114.5826288204298</v>
      </c>
    </row>
    <row r="24" spans="1:16" s="240" customFormat="1" ht="14.25" x14ac:dyDescent="0.2">
      <c r="A24" s="224" t="s">
        <v>737</v>
      </c>
      <c r="B24" s="225" t="s">
        <v>738</v>
      </c>
      <c r="C24" s="225"/>
      <c r="F24" s="226">
        <v>185351.39427712801</v>
      </c>
      <c r="G24" s="226">
        <v>27.260086454085901</v>
      </c>
      <c r="H24" s="226">
        <v>681.50216135214805</v>
      </c>
      <c r="I24" s="226">
        <v>27.545760022386599</v>
      </c>
      <c r="J24" s="226">
        <v>8208.6364866712102</v>
      </c>
      <c r="K24" s="226">
        <v>0</v>
      </c>
      <c r="L24" s="226">
        <v>0</v>
      </c>
      <c r="M24" s="226">
        <v>0</v>
      </c>
      <c r="N24" s="226">
        <v>0</v>
      </c>
      <c r="O24" s="226">
        <v>194241.532925151</v>
      </c>
      <c r="P24" s="241"/>
    </row>
    <row r="25" spans="1:16" s="234" customFormat="1" ht="12.75" x14ac:dyDescent="0.2">
      <c r="A25" s="228"/>
      <c r="B25" s="232" t="s">
        <v>739</v>
      </c>
      <c r="C25" s="229"/>
      <c r="F25" s="231">
        <v>7746.86237240639</v>
      </c>
      <c r="G25" s="231">
        <v>0.30011481207964402</v>
      </c>
      <c r="H25" s="231">
        <v>7.50287030199111</v>
      </c>
      <c r="I25" s="231">
        <v>0.22890465595460699</v>
      </c>
      <c r="J25" s="231">
        <v>68.213587474472803</v>
      </c>
      <c r="K25" s="231">
        <v>0</v>
      </c>
      <c r="L25" s="231">
        <v>0</v>
      </c>
      <c r="M25" s="231">
        <v>0</v>
      </c>
      <c r="N25" s="231">
        <v>0</v>
      </c>
      <c r="O25" s="231">
        <v>7822.5788301828497</v>
      </c>
    </row>
    <row r="26" spans="1:16" s="234" customFormat="1" ht="12.75" x14ac:dyDescent="0.2">
      <c r="A26" s="228"/>
      <c r="B26" s="229" t="s">
        <v>740</v>
      </c>
      <c r="C26" s="229"/>
      <c r="F26" s="231">
        <v>129385.140286155</v>
      </c>
      <c r="G26" s="231">
        <v>10.401587364084699</v>
      </c>
      <c r="H26" s="231">
        <v>260.03968410211701</v>
      </c>
      <c r="I26" s="231">
        <v>15.6910643350505</v>
      </c>
      <c r="J26" s="231">
        <v>4675.9371718450502</v>
      </c>
      <c r="K26" s="231">
        <v>0</v>
      </c>
      <c r="L26" s="231">
        <v>0</v>
      </c>
      <c r="M26" s="231">
        <v>0</v>
      </c>
      <c r="N26" s="231">
        <v>0</v>
      </c>
      <c r="O26" s="231">
        <v>134321.11714210201</v>
      </c>
    </row>
    <row r="27" spans="1:16" s="237" customFormat="1" ht="12" x14ac:dyDescent="0.2">
      <c r="A27" s="235"/>
      <c r="B27" s="230"/>
      <c r="C27" s="236" t="s">
        <v>741</v>
      </c>
      <c r="F27" s="238">
        <v>40136.5280432012</v>
      </c>
      <c r="G27" s="238">
        <v>4.0594588621824998</v>
      </c>
      <c r="H27" s="238">
        <v>101.486471554562</v>
      </c>
      <c r="I27" s="238">
        <v>6.1178964596069498</v>
      </c>
      <c r="J27" s="238">
        <v>1823.1331449628699</v>
      </c>
      <c r="K27" s="238">
        <v>0</v>
      </c>
      <c r="L27" s="238">
        <v>0</v>
      </c>
      <c r="M27" s="238">
        <v>0</v>
      </c>
      <c r="N27" s="238">
        <v>0</v>
      </c>
      <c r="O27" s="238">
        <v>42061.147659718597</v>
      </c>
    </row>
    <row r="28" spans="1:16" s="237" customFormat="1" ht="12" x14ac:dyDescent="0.2">
      <c r="A28" s="235"/>
      <c r="B28" s="230"/>
      <c r="C28" s="236" t="s">
        <v>742</v>
      </c>
      <c r="F28" s="238">
        <v>37913.081436299901</v>
      </c>
      <c r="G28" s="238">
        <v>3.75925217533343</v>
      </c>
      <c r="H28" s="238">
        <v>93.981304383335697</v>
      </c>
      <c r="I28" s="238">
        <v>6.7084406347224403</v>
      </c>
      <c r="J28" s="238">
        <v>1999.11530914729</v>
      </c>
      <c r="K28" s="238">
        <v>0</v>
      </c>
      <c r="L28" s="238">
        <v>0</v>
      </c>
      <c r="M28" s="238">
        <v>0</v>
      </c>
      <c r="N28" s="238">
        <v>0</v>
      </c>
      <c r="O28" s="238">
        <v>40006.178049830502</v>
      </c>
    </row>
    <row r="29" spans="1:16" s="237" customFormat="1" ht="12" x14ac:dyDescent="0.2">
      <c r="A29" s="235"/>
      <c r="B29" s="230"/>
      <c r="C29" s="236" t="s">
        <v>743</v>
      </c>
      <c r="F29" s="238">
        <v>12037.191794001001</v>
      </c>
      <c r="G29" s="238">
        <v>0.70963594255973295</v>
      </c>
      <c r="H29" s="238">
        <v>17.740898563993301</v>
      </c>
      <c r="I29" s="238">
        <v>0.82548453070641103</v>
      </c>
      <c r="J29" s="238">
        <v>245.99439015050999</v>
      </c>
      <c r="K29" s="238">
        <v>0</v>
      </c>
      <c r="L29" s="238">
        <v>0</v>
      </c>
      <c r="M29" s="238">
        <v>0</v>
      </c>
      <c r="N29" s="238">
        <v>0</v>
      </c>
      <c r="O29" s="238">
        <v>12300.9270827155</v>
      </c>
    </row>
    <row r="30" spans="1:16" s="237" customFormat="1" ht="12" x14ac:dyDescent="0.2">
      <c r="A30" s="235"/>
      <c r="B30" s="230"/>
      <c r="C30" s="236" t="s">
        <v>744</v>
      </c>
      <c r="F30" s="238">
        <v>220.319901072287</v>
      </c>
      <c r="G30" s="238">
        <v>0.102018727926366</v>
      </c>
      <c r="H30" s="238">
        <v>2.5504681981591499</v>
      </c>
      <c r="I30" s="238">
        <v>4.0539171264621504E-3</v>
      </c>
      <c r="J30" s="238">
        <v>1.2080673036857199</v>
      </c>
      <c r="K30" s="238">
        <v>0</v>
      </c>
      <c r="L30" s="238">
        <v>0</v>
      </c>
      <c r="M30" s="238">
        <v>0</v>
      </c>
      <c r="N30" s="238">
        <v>0</v>
      </c>
      <c r="O30" s="238">
        <v>224.07843657413099</v>
      </c>
      <c r="P30" s="242"/>
    </row>
    <row r="31" spans="1:16" s="237" customFormat="1" ht="12" x14ac:dyDescent="0.2">
      <c r="A31" s="235"/>
      <c r="B31" s="230"/>
      <c r="C31" s="236" t="s">
        <v>745</v>
      </c>
      <c r="F31" s="238">
        <v>653.26775655085601</v>
      </c>
      <c r="G31" s="238">
        <v>1.33285818928291E-2</v>
      </c>
      <c r="H31" s="238">
        <v>0.33321454732072903</v>
      </c>
      <c r="I31" s="238">
        <v>5.2271441082294902E-2</v>
      </c>
      <c r="J31" s="238">
        <v>15.5768894425239</v>
      </c>
      <c r="K31" s="238">
        <v>0</v>
      </c>
      <c r="L31" s="238">
        <v>0</v>
      </c>
      <c r="M31" s="238">
        <v>0</v>
      </c>
      <c r="N31" s="238">
        <v>0</v>
      </c>
      <c r="O31" s="238">
        <v>669.17786054070098</v>
      </c>
    </row>
    <row r="32" spans="1:16" s="237" customFormat="1" ht="12" x14ac:dyDescent="0.2">
      <c r="A32" s="235"/>
      <c r="B32" s="230"/>
      <c r="C32" s="236" t="s">
        <v>746</v>
      </c>
      <c r="D32" s="243"/>
      <c r="E32" s="243"/>
      <c r="F32" s="244">
        <v>302.28469036879898</v>
      </c>
      <c r="G32" s="244">
        <v>7.6732495771686003E-3</v>
      </c>
      <c r="H32" s="244">
        <v>0.19183123942921501</v>
      </c>
      <c r="I32" s="244">
        <v>2.3773363960665001E-2</v>
      </c>
      <c r="J32" s="244">
        <v>7.0844624602781696</v>
      </c>
      <c r="K32" s="244">
        <v>0</v>
      </c>
      <c r="L32" s="244">
        <v>0</v>
      </c>
      <c r="M32" s="244">
        <v>0</v>
      </c>
      <c r="N32" s="244">
        <v>0</v>
      </c>
      <c r="O32" s="244">
        <v>309.560984068506</v>
      </c>
    </row>
    <row r="33" spans="1:15" s="237" customFormat="1" ht="12" x14ac:dyDescent="0.2">
      <c r="A33" s="235"/>
      <c r="B33" s="230"/>
      <c r="C33" s="236" t="s">
        <v>747</v>
      </c>
      <c r="D33" s="243"/>
      <c r="E33" s="243"/>
      <c r="F33" s="244">
        <v>37797.537908295402</v>
      </c>
      <c r="G33" s="244">
        <v>1.60951420718359</v>
      </c>
      <c r="H33" s="244">
        <v>40.237855179589701</v>
      </c>
      <c r="I33" s="244">
        <v>1.9531296587060301</v>
      </c>
      <c r="J33" s="244">
        <v>582.032638294398</v>
      </c>
      <c r="K33" s="244">
        <v>0</v>
      </c>
      <c r="L33" s="244">
        <v>0</v>
      </c>
      <c r="M33" s="244">
        <v>0</v>
      </c>
      <c r="N33" s="244">
        <v>0</v>
      </c>
      <c r="O33" s="244">
        <v>38419.808401769398</v>
      </c>
    </row>
    <row r="34" spans="1:15" s="237" customFormat="1" ht="12" x14ac:dyDescent="0.2">
      <c r="A34" s="235"/>
      <c r="B34" s="230"/>
      <c r="C34" s="245" t="s">
        <v>748</v>
      </c>
      <c r="D34" s="243"/>
      <c r="E34" s="243"/>
      <c r="F34" s="244">
        <v>324.92875636570602</v>
      </c>
      <c r="G34" s="244">
        <v>0.14070561742909099</v>
      </c>
      <c r="H34" s="244">
        <v>3.5176404357272899</v>
      </c>
      <c r="I34" s="244">
        <v>6.0143291392456399E-3</v>
      </c>
      <c r="J34" s="244">
        <v>1.7922700834951999</v>
      </c>
      <c r="K34" s="244">
        <v>0</v>
      </c>
      <c r="L34" s="244">
        <v>0</v>
      </c>
      <c r="M34" s="244">
        <v>0</v>
      </c>
      <c r="N34" s="244">
        <v>0</v>
      </c>
      <c r="O34" s="244">
        <v>330.23866688492899</v>
      </c>
    </row>
    <row r="35" spans="1:15" s="249" customFormat="1" ht="12.75" x14ac:dyDescent="0.2">
      <c r="A35" s="228"/>
      <c r="B35" s="229" t="s">
        <v>749</v>
      </c>
      <c r="C35" s="246"/>
      <c r="D35" s="247"/>
      <c r="E35" s="247"/>
      <c r="F35" s="248">
        <v>6200.1374761393099</v>
      </c>
      <c r="G35" s="248">
        <v>0.34830003764782402</v>
      </c>
      <c r="H35" s="248">
        <v>8.7075009411955904</v>
      </c>
      <c r="I35" s="248">
        <v>2.4011942992806898</v>
      </c>
      <c r="J35" s="248">
        <v>715.55590118564601</v>
      </c>
      <c r="K35" s="248">
        <v>0</v>
      </c>
      <c r="L35" s="248">
        <v>0</v>
      </c>
      <c r="M35" s="248">
        <v>0</v>
      </c>
      <c r="N35" s="248">
        <v>0</v>
      </c>
      <c r="O35" s="248">
        <v>6924.4008782661504</v>
      </c>
    </row>
    <row r="36" spans="1:15" s="249" customFormat="1" ht="12.75" x14ac:dyDescent="0.2">
      <c r="A36" s="228"/>
      <c r="B36" s="232" t="s">
        <v>750</v>
      </c>
      <c r="C36" s="246"/>
      <c r="D36" s="247"/>
      <c r="E36" s="247"/>
      <c r="F36" s="248">
        <v>5826.0049683823599</v>
      </c>
      <c r="G36" s="248">
        <v>0.53711267231538895</v>
      </c>
      <c r="H36" s="248">
        <v>13.4278168078847</v>
      </c>
      <c r="I36" s="248">
        <v>0.153454412045335</v>
      </c>
      <c r="J36" s="248">
        <v>45.729414789509697</v>
      </c>
      <c r="K36" s="248">
        <v>0</v>
      </c>
      <c r="L36" s="248">
        <v>0</v>
      </c>
      <c r="M36" s="248">
        <v>0</v>
      </c>
      <c r="N36" s="248">
        <v>0</v>
      </c>
      <c r="O36" s="248">
        <v>5885.1621999797499</v>
      </c>
    </row>
    <row r="37" spans="1:15" s="234" customFormat="1" ht="12.75" x14ac:dyDescent="0.2">
      <c r="A37" s="228"/>
      <c r="B37" s="229" t="s">
        <v>751</v>
      </c>
      <c r="C37" s="250"/>
      <c r="D37" s="251"/>
      <c r="E37" s="251"/>
      <c r="F37" s="252">
        <v>36193.249174044402</v>
      </c>
      <c r="G37" s="252">
        <v>15.672971567958401</v>
      </c>
      <c r="H37" s="252">
        <v>391.82428919895898</v>
      </c>
      <c r="I37" s="252">
        <v>9.0711423200554702</v>
      </c>
      <c r="J37" s="252">
        <v>2703.2004113765302</v>
      </c>
      <c r="K37" s="252">
        <v>0</v>
      </c>
      <c r="L37" s="252">
        <v>0</v>
      </c>
      <c r="M37" s="252">
        <v>0</v>
      </c>
      <c r="N37" s="252">
        <v>0</v>
      </c>
      <c r="O37" s="252">
        <v>39288.273874619903</v>
      </c>
    </row>
    <row r="38" spans="1:15" s="237" customFormat="1" ht="12" x14ac:dyDescent="0.2">
      <c r="A38" s="235"/>
      <c r="B38" s="230"/>
      <c r="C38" s="236" t="s">
        <v>752</v>
      </c>
      <c r="F38" s="238">
        <v>10636.2812046865</v>
      </c>
      <c r="G38" s="238">
        <v>0.64440452400212</v>
      </c>
      <c r="H38" s="238">
        <v>16.110113100052999</v>
      </c>
      <c r="I38" s="238">
        <v>4.1013486694850796</v>
      </c>
      <c r="J38" s="238">
        <v>1222.20190350656</v>
      </c>
      <c r="K38" s="238">
        <v>0</v>
      </c>
      <c r="L38" s="238">
        <v>0</v>
      </c>
      <c r="M38" s="238">
        <v>0</v>
      </c>
      <c r="N38" s="238">
        <v>0</v>
      </c>
      <c r="O38" s="238">
        <v>11874.5932212931</v>
      </c>
    </row>
    <row r="39" spans="1:15" s="237" customFormat="1" ht="12" x14ac:dyDescent="0.2">
      <c r="A39" s="235"/>
      <c r="B39" s="230"/>
      <c r="C39" s="236" t="s">
        <v>753</v>
      </c>
      <c r="F39" s="238">
        <v>1659.0034896191401</v>
      </c>
      <c r="G39" s="238">
        <v>1.0524277877088699</v>
      </c>
      <c r="H39" s="238">
        <v>26.3106946927218</v>
      </c>
      <c r="I39" s="238">
        <v>0.42676068411824802</v>
      </c>
      <c r="J39" s="238">
        <v>127.174683867238</v>
      </c>
      <c r="K39" s="238">
        <v>0</v>
      </c>
      <c r="L39" s="238">
        <v>0</v>
      </c>
      <c r="M39" s="238">
        <v>0</v>
      </c>
      <c r="N39" s="238">
        <v>0</v>
      </c>
      <c r="O39" s="238">
        <v>1812.4888681791001</v>
      </c>
    </row>
    <row r="40" spans="1:15" s="237" customFormat="1" ht="12" x14ac:dyDescent="0.2">
      <c r="A40" s="235"/>
      <c r="B40" s="230"/>
      <c r="C40" s="236" t="s">
        <v>754</v>
      </c>
      <c r="F40" s="238">
        <v>9840.18641646779</v>
      </c>
      <c r="G40" s="238">
        <v>0.73384901274881198</v>
      </c>
      <c r="H40" s="238">
        <v>18.3462253187203</v>
      </c>
      <c r="I40" s="238">
        <v>3.6643089992137199</v>
      </c>
      <c r="J40" s="238">
        <v>1091.96408176569</v>
      </c>
      <c r="K40" s="238">
        <v>0</v>
      </c>
      <c r="L40" s="238">
        <v>0</v>
      </c>
      <c r="M40" s="238">
        <v>0</v>
      </c>
      <c r="N40" s="238">
        <v>0</v>
      </c>
      <c r="O40" s="238">
        <v>10950.4967235522</v>
      </c>
    </row>
    <row r="41" spans="1:15" s="237" customFormat="1" ht="12" x14ac:dyDescent="0.2">
      <c r="A41" s="235"/>
      <c r="B41" s="230"/>
      <c r="C41" s="236" t="s">
        <v>755</v>
      </c>
      <c r="F41" s="238">
        <v>602.57658422716099</v>
      </c>
      <c r="G41" s="238">
        <v>0.53469378105048004</v>
      </c>
      <c r="H41" s="238">
        <v>13.367344526262</v>
      </c>
      <c r="I41" s="238">
        <v>6.94490466305131E-2</v>
      </c>
      <c r="J41" s="238">
        <v>20.695815895892899</v>
      </c>
      <c r="K41" s="238">
        <v>0</v>
      </c>
      <c r="L41" s="238">
        <v>0</v>
      </c>
      <c r="M41" s="238">
        <v>0</v>
      </c>
      <c r="N41" s="238">
        <v>0</v>
      </c>
      <c r="O41" s="238">
        <v>636.63974464931596</v>
      </c>
    </row>
    <row r="42" spans="1:15" s="237" customFormat="1" ht="12" x14ac:dyDescent="0.2">
      <c r="A42" s="235"/>
      <c r="B42" s="230"/>
      <c r="C42" s="236" t="s">
        <v>756</v>
      </c>
      <c r="F42" s="238">
        <v>4068.6620790437801</v>
      </c>
      <c r="G42" s="238">
        <v>3.3296101874480701</v>
      </c>
      <c r="H42" s="238">
        <v>83.240254686201794</v>
      </c>
      <c r="I42" s="238">
        <v>0.55808292060790099</v>
      </c>
      <c r="J42" s="238">
        <v>166.30871034115401</v>
      </c>
      <c r="K42" s="238">
        <v>0</v>
      </c>
      <c r="L42" s="238">
        <v>0</v>
      </c>
      <c r="M42" s="238">
        <v>0</v>
      </c>
      <c r="N42" s="238">
        <v>0</v>
      </c>
      <c r="O42" s="238">
        <v>4318.2110440711403</v>
      </c>
    </row>
    <row r="43" spans="1:15" s="237" customFormat="1" ht="12" x14ac:dyDescent="0.2">
      <c r="A43" s="235"/>
      <c r="B43" s="230"/>
      <c r="C43" s="253" t="s">
        <v>757</v>
      </c>
      <c r="F43" s="238">
        <v>9386.5393999999997</v>
      </c>
      <c r="G43" s="238">
        <v>9.3779862749999996</v>
      </c>
      <c r="H43" s="238">
        <v>234.44965687499999</v>
      </c>
      <c r="I43" s="238">
        <v>0.25119200000000003</v>
      </c>
      <c r="J43" s="238">
        <v>74.855215999999999</v>
      </c>
      <c r="K43" s="238">
        <v>0</v>
      </c>
      <c r="L43" s="238">
        <v>0</v>
      </c>
      <c r="M43" s="238">
        <v>0</v>
      </c>
      <c r="N43" s="238">
        <v>0</v>
      </c>
      <c r="O43" s="238">
        <v>9695.8442728749997</v>
      </c>
    </row>
    <row r="44" spans="1:15" s="240" customFormat="1" ht="12.75" x14ac:dyDescent="0.2">
      <c r="A44" s="224" t="s">
        <v>758</v>
      </c>
      <c r="B44" s="225" t="s">
        <v>759</v>
      </c>
      <c r="C44" s="225"/>
      <c r="F44" s="226">
        <v>15593.117100007399</v>
      </c>
      <c r="G44" s="226">
        <v>1829.07440042899</v>
      </c>
      <c r="H44" s="226">
        <v>45726.860010724798</v>
      </c>
      <c r="I44" s="226">
        <v>0.13208986745482301</v>
      </c>
      <c r="J44" s="226">
        <v>39.362780501537401</v>
      </c>
      <c r="K44" s="226">
        <v>0</v>
      </c>
      <c r="L44" s="226">
        <v>0</v>
      </c>
      <c r="M44" s="226">
        <v>0</v>
      </c>
      <c r="N44" s="226">
        <v>0</v>
      </c>
      <c r="O44" s="226">
        <v>61359.339891233802</v>
      </c>
    </row>
    <row r="45" spans="1:15" s="234" customFormat="1" ht="12.75" x14ac:dyDescent="0.2">
      <c r="A45" s="228"/>
      <c r="B45" s="229" t="s">
        <v>760</v>
      </c>
      <c r="C45" s="229"/>
      <c r="F45" s="231">
        <v>0</v>
      </c>
      <c r="G45" s="231">
        <v>49.707283458374199</v>
      </c>
      <c r="H45" s="231">
        <v>1242.6820864593501</v>
      </c>
      <c r="I45" s="231">
        <v>0</v>
      </c>
      <c r="J45" s="231">
        <v>0</v>
      </c>
      <c r="K45" s="231">
        <v>0</v>
      </c>
      <c r="L45" s="231">
        <v>0</v>
      </c>
      <c r="M45" s="231">
        <v>0</v>
      </c>
      <c r="N45" s="231">
        <v>0</v>
      </c>
      <c r="O45" s="231">
        <v>1242.6820864593501</v>
      </c>
    </row>
    <row r="46" spans="1:15" s="234" customFormat="1" ht="12.75" x14ac:dyDescent="0.2">
      <c r="A46" s="228"/>
      <c r="B46" s="229" t="s">
        <v>761</v>
      </c>
      <c r="C46" s="229"/>
      <c r="F46" s="231">
        <v>15593.117100007399</v>
      </c>
      <c r="G46" s="231">
        <v>1779.3671169706199</v>
      </c>
      <c r="H46" s="231">
        <v>44484.177924265503</v>
      </c>
      <c r="I46" s="231">
        <v>0.13208986745482301</v>
      </c>
      <c r="J46" s="231">
        <v>39.362780501537401</v>
      </c>
      <c r="K46" s="231">
        <v>0</v>
      </c>
      <c r="L46" s="231">
        <v>0</v>
      </c>
      <c r="M46" s="231">
        <v>0</v>
      </c>
      <c r="N46" s="231">
        <v>0</v>
      </c>
      <c r="O46" s="231">
        <v>60116.657804774397</v>
      </c>
    </row>
    <row r="47" spans="1:15" s="237" customFormat="1" ht="12" x14ac:dyDescent="0.2">
      <c r="A47" s="254"/>
      <c r="B47" s="255"/>
      <c r="C47" s="230" t="s">
        <v>762</v>
      </c>
      <c r="F47" s="238">
        <v>188.68787614245599</v>
      </c>
      <c r="G47" s="238">
        <v>247.192280541104</v>
      </c>
      <c r="H47" s="238">
        <v>6179.8070135276103</v>
      </c>
      <c r="I47" s="238">
        <v>0.11487722818899999</v>
      </c>
      <c r="J47" s="238">
        <v>34.233414000322</v>
      </c>
      <c r="K47" s="238">
        <v>0</v>
      </c>
      <c r="L47" s="238">
        <v>0</v>
      </c>
      <c r="M47" s="238">
        <v>0</v>
      </c>
      <c r="N47" s="238">
        <v>0</v>
      </c>
      <c r="O47" s="238">
        <v>6402.7283036703902</v>
      </c>
    </row>
    <row r="48" spans="1:15" s="237" customFormat="1" ht="12" x14ac:dyDescent="0.2">
      <c r="A48" s="254"/>
      <c r="B48" s="255"/>
      <c r="C48" s="230" t="s">
        <v>763</v>
      </c>
      <c r="F48" s="238">
        <v>60.679634446742298</v>
      </c>
      <c r="G48" s="238">
        <v>538.21472691280201</v>
      </c>
      <c r="H48" s="238">
        <v>13455.368172820001</v>
      </c>
      <c r="I48" s="238">
        <v>0</v>
      </c>
      <c r="J48" s="238">
        <v>0</v>
      </c>
      <c r="K48" s="238">
        <v>0</v>
      </c>
      <c r="L48" s="238">
        <v>0</v>
      </c>
      <c r="M48" s="238">
        <v>0</v>
      </c>
      <c r="N48" s="238">
        <v>0</v>
      </c>
      <c r="O48" s="238">
        <v>13516.047807266799</v>
      </c>
    </row>
    <row r="49" spans="1:16" s="237" customFormat="1" ht="12" x14ac:dyDescent="0.2">
      <c r="A49" s="256"/>
      <c r="B49" s="257"/>
      <c r="C49" s="258" t="s">
        <v>380</v>
      </c>
      <c r="D49" s="243"/>
      <c r="E49" s="243"/>
      <c r="F49" s="244">
        <v>9879.8438809875097</v>
      </c>
      <c r="G49" s="244">
        <v>970.66201479154302</v>
      </c>
      <c r="H49" s="244">
        <v>24266.550369788602</v>
      </c>
      <c r="I49" s="244">
        <v>0</v>
      </c>
      <c r="J49" s="244">
        <v>0</v>
      </c>
      <c r="K49" s="244">
        <v>0</v>
      </c>
      <c r="L49" s="244">
        <v>0</v>
      </c>
      <c r="M49" s="244">
        <v>0</v>
      </c>
      <c r="N49" s="244">
        <v>0</v>
      </c>
      <c r="O49" s="244">
        <v>34146.394250776102</v>
      </c>
    </row>
    <row r="50" spans="1:16" s="237" customFormat="1" ht="12" x14ac:dyDescent="0.2">
      <c r="A50" s="256"/>
      <c r="B50" s="257"/>
      <c r="C50" s="258" t="s">
        <v>381</v>
      </c>
      <c r="D50" s="243"/>
      <c r="E50" s="243"/>
      <c r="F50" s="244">
        <v>5463.9057084307096</v>
      </c>
      <c r="G50" s="244">
        <v>23.2980947251686</v>
      </c>
      <c r="H50" s="244">
        <v>582.45236812921598</v>
      </c>
      <c r="I50" s="244">
        <v>1.72126392658235E-2</v>
      </c>
      <c r="J50" s="244">
        <v>5.1293665012153999</v>
      </c>
      <c r="K50" s="244">
        <v>0</v>
      </c>
      <c r="L50" s="244">
        <v>0</v>
      </c>
      <c r="M50" s="244">
        <v>0</v>
      </c>
      <c r="N50" s="244">
        <v>0</v>
      </c>
      <c r="O50" s="244">
        <v>6051.4874430611399</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42163.952935488902</v>
      </c>
      <c r="G52" s="266">
        <v>3.6210345664709198</v>
      </c>
      <c r="H52" s="266">
        <v>90.525864161772901</v>
      </c>
      <c r="I52" s="266">
        <v>8.9863924628449006</v>
      </c>
      <c r="J52" s="266">
        <v>2677.9449539277798</v>
      </c>
      <c r="K52" s="266">
        <v>5363.2367481214696</v>
      </c>
      <c r="L52" s="266">
        <v>2986.0316431484098</v>
      </c>
      <c r="M52" s="266">
        <v>1526.73967628591</v>
      </c>
      <c r="N52" s="266">
        <v>0.185726746666667</v>
      </c>
      <c r="O52" s="266">
        <v>54808.617547880902</v>
      </c>
    </row>
    <row r="53" spans="1:16" s="240" customFormat="1" ht="12.75" x14ac:dyDescent="0.2">
      <c r="A53" s="224" t="s">
        <v>724</v>
      </c>
      <c r="B53" s="225" t="s">
        <v>767</v>
      </c>
      <c r="C53" s="225"/>
      <c r="D53" s="268"/>
      <c r="E53" s="268"/>
      <c r="F53" s="269">
        <v>10254.6833466936</v>
      </c>
      <c r="G53" s="269">
        <v>0</v>
      </c>
      <c r="H53" s="269">
        <v>0</v>
      </c>
      <c r="I53" s="269">
        <v>0</v>
      </c>
      <c r="J53" s="269">
        <v>0</v>
      </c>
      <c r="K53" s="269">
        <v>0</v>
      </c>
      <c r="L53" s="269">
        <v>0</v>
      </c>
      <c r="M53" s="269">
        <v>0</v>
      </c>
      <c r="N53" s="269">
        <v>0</v>
      </c>
      <c r="O53" s="269">
        <v>10254.6833466936</v>
      </c>
    </row>
    <row r="54" spans="1:16" s="273" customFormat="1" ht="12" x14ac:dyDescent="0.2">
      <c r="A54" s="235"/>
      <c r="B54" s="270"/>
      <c r="C54" s="236" t="s">
        <v>560</v>
      </c>
      <c r="D54" s="271"/>
      <c r="E54" s="271"/>
      <c r="F54" s="272">
        <v>7742.1857724255196</v>
      </c>
      <c r="G54" s="272">
        <v>0</v>
      </c>
      <c r="H54" s="272">
        <v>0</v>
      </c>
      <c r="I54" s="272">
        <v>0</v>
      </c>
      <c r="J54" s="272">
        <v>0</v>
      </c>
      <c r="K54" s="272">
        <v>0</v>
      </c>
      <c r="L54" s="272">
        <v>0</v>
      </c>
      <c r="M54" s="272">
        <v>0</v>
      </c>
      <c r="N54" s="272">
        <v>0</v>
      </c>
      <c r="O54" s="272">
        <v>7742.1857724255196</v>
      </c>
      <c r="P54" s="271"/>
    </row>
    <row r="55" spans="1:16" s="273" customFormat="1" ht="12" x14ac:dyDescent="0.2">
      <c r="A55" s="235"/>
      <c r="B55" s="270"/>
      <c r="C55" s="236" t="s">
        <v>191</v>
      </c>
      <c r="D55" s="271"/>
      <c r="E55" s="271"/>
      <c r="F55" s="272">
        <v>1628.9237257361599</v>
      </c>
      <c r="G55" s="272">
        <v>0</v>
      </c>
      <c r="H55" s="272">
        <v>0</v>
      </c>
      <c r="I55" s="272">
        <v>0</v>
      </c>
      <c r="J55" s="272">
        <v>0</v>
      </c>
      <c r="K55" s="272">
        <v>0</v>
      </c>
      <c r="L55" s="272">
        <v>0</v>
      </c>
      <c r="M55" s="272">
        <v>0</v>
      </c>
      <c r="N55" s="272">
        <v>0</v>
      </c>
      <c r="O55" s="272">
        <v>1628.9237257361599</v>
      </c>
      <c r="P55" s="271"/>
    </row>
    <row r="56" spans="1:16" s="273" customFormat="1" ht="12" x14ac:dyDescent="0.2">
      <c r="A56" s="235"/>
      <c r="B56" s="270"/>
      <c r="C56" s="236" t="s">
        <v>768</v>
      </c>
      <c r="D56" s="271"/>
      <c r="E56" s="271"/>
      <c r="F56" s="272">
        <v>883.573848531919</v>
      </c>
      <c r="G56" s="272">
        <v>0</v>
      </c>
      <c r="H56" s="272">
        <v>0</v>
      </c>
      <c r="I56" s="272">
        <v>0</v>
      </c>
      <c r="J56" s="272">
        <v>0</v>
      </c>
      <c r="K56" s="272">
        <v>0</v>
      </c>
      <c r="L56" s="272">
        <v>0</v>
      </c>
      <c r="M56" s="272">
        <v>0</v>
      </c>
      <c r="N56" s="272">
        <v>0</v>
      </c>
      <c r="O56" s="272">
        <v>883.573848531919</v>
      </c>
      <c r="P56" s="271"/>
    </row>
    <row r="57" spans="1:16" s="275" customFormat="1" ht="12.75" x14ac:dyDescent="0.2">
      <c r="A57" s="224" t="s">
        <v>737</v>
      </c>
      <c r="B57" s="225" t="s">
        <v>769</v>
      </c>
      <c r="C57" s="225"/>
      <c r="D57" s="274"/>
      <c r="E57" s="274"/>
      <c r="F57" s="269">
        <v>5622.9749946496504</v>
      </c>
      <c r="G57" s="269">
        <v>3.5180355664709202</v>
      </c>
      <c r="H57" s="269">
        <v>87.950889161772906</v>
      </c>
      <c r="I57" s="269">
        <v>7.9239493979804596</v>
      </c>
      <c r="J57" s="269">
        <v>2361.3369205981799</v>
      </c>
      <c r="K57" s="269">
        <v>0</v>
      </c>
      <c r="L57" s="269">
        <v>0</v>
      </c>
      <c r="M57" s="269">
        <v>0</v>
      </c>
      <c r="N57" s="269">
        <v>0</v>
      </c>
      <c r="O57" s="269">
        <v>8072.2628044096</v>
      </c>
      <c r="P57" s="274"/>
    </row>
    <row r="58" spans="1:16" s="277" customFormat="1" ht="12" x14ac:dyDescent="0.2">
      <c r="A58" s="235"/>
      <c r="B58" s="270"/>
      <c r="C58" s="236" t="s">
        <v>192</v>
      </c>
      <c r="D58" s="276"/>
      <c r="E58" s="276"/>
      <c r="F58" s="272">
        <v>2782.9837384538</v>
      </c>
      <c r="G58" s="272">
        <v>0</v>
      </c>
      <c r="H58" s="272">
        <v>0</v>
      </c>
      <c r="I58" s="272">
        <v>0</v>
      </c>
      <c r="J58" s="272">
        <v>0</v>
      </c>
      <c r="K58" s="272">
        <v>0</v>
      </c>
      <c r="L58" s="272">
        <v>0</v>
      </c>
      <c r="M58" s="272">
        <v>0</v>
      </c>
      <c r="N58" s="272">
        <v>0</v>
      </c>
      <c r="O58" s="272">
        <v>2782.9837384538</v>
      </c>
      <c r="P58" s="276"/>
    </row>
    <row r="59" spans="1:16" s="277" customFormat="1" ht="12" x14ac:dyDescent="0.2">
      <c r="A59" s="235"/>
      <c r="B59" s="270"/>
      <c r="C59" s="236" t="s">
        <v>190</v>
      </c>
      <c r="D59" s="276"/>
      <c r="E59" s="276"/>
      <c r="F59" s="272">
        <v>0</v>
      </c>
      <c r="G59" s="272">
        <v>0</v>
      </c>
      <c r="H59" s="272">
        <v>0</v>
      </c>
      <c r="I59" s="272">
        <v>3.9799743799999998</v>
      </c>
      <c r="J59" s="272">
        <v>1186.03236524</v>
      </c>
      <c r="K59" s="272">
        <v>0</v>
      </c>
      <c r="L59" s="272">
        <v>0</v>
      </c>
      <c r="M59" s="272">
        <v>0</v>
      </c>
      <c r="N59" s="272">
        <v>0</v>
      </c>
      <c r="O59" s="272">
        <v>1186.03236524</v>
      </c>
      <c r="P59" s="276"/>
    </row>
    <row r="60" spans="1:16" s="277" customFormat="1" ht="12" x14ac:dyDescent="0.2">
      <c r="A60" s="235"/>
      <c r="B60" s="270"/>
      <c r="C60" s="236" t="s">
        <v>770</v>
      </c>
      <c r="D60" s="276"/>
      <c r="E60" s="276"/>
      <c r="F60" s="272">
        <v>0</v>
      </c>
      <c r="G60" s="272">
        <v>0</v>
      </c>
      <c r="H60" s="272">
        <v>0</v>
      </c>
      <c r="I60" s="272">
        <v>3.899</v>
      </c>
      <c r="J60" s="272">
        <v>1161.902</v>
      </c>
      <c r="K60" s="272">
        <v>0</v>
      </c>
      <c r="L60" s="272">
        <v>0</v>
      </c>
      <c r="M60" s="272">
        <v>0</v>
      </c>
      <c r="N60" s="272">
        <v>0</v>
      </c>
      <c r="O60" s="272">
        <v>1161.902</v>
      </c>
      <c r="P60" s="276"/>
    </row>
    <row r="61" spans="1:16" s="277" customFormat="1" ht="12" x14ac:dyDescent="0.2">
      <c r="A61" s="235"/>
      <c r="B61" s="270"/>
      <c r="C61" s="236" t="s">
        <v>771</v>
      </c>
      <c r="D61" s="276"/>
      <c r="E61" s="276"/>
      <c r="F61" s="272">
        <v>2839.9912561958499</v>
      </c>
      <c r="G61" s="272">
        <v>3.5180355664709202</v>
      </c>
      <c r="H61" s="272">
        <v>87.950889161772906</v>
      </c>
      <c r="I61" s="272">
        <v>4.49750179804548E-2</v>
      </c>
      <c r="J61" s="272">
        <v>13.402555358175499</v>
      </c>
      <c r="K61" s="272">
        <v>0</v>
      </c>
      <c r="L61" s="272">
        <v>0</v>
      </c>
      <c r="M61" s="272">
        <v>0</v>
      </c>
      <c r="N61" s="272">
        <v>0</v>
      </c>
      <c r="O61" s="272">
        <v>2941.3447007158002</v>
      </c>
      <c r="P61" s="276"/>
    </row>
    <row r="62" spans="1:16" s="240" customFormat="1" ht="12.75" x14ac:dyDescent="0.2">
      <c r="A62" s="224" t="s">
        <v>758</v>
      </c>
      <c r="B62" s="225" t="s">
        <v>772</v>
      </c>
      <c r="C62" s="225"/>
      <c r="D62" s="268"/>
      <c r="E62" s="268"/>
      <c r="F62" s="269">
        <v>16384.736292560199</v>
      </c>
      <c r="G62" s="269">
        <v>0.10299899999999999</v>
      </c>
      <c r="H62" s="269">
        <v>2.5749749999999998</v>
      </c>
      <c r="I62" s="269">
        <v>0</v>
      </c>
      <c r="J62" s="269">
        <v>0</v>
      </c>
      <c r="K62" s="269">
        <v>0</v>
      </c>
      <c r="L62" s="269">
        <v>2975.9265354999998</v>
      </c>
      <c r="M62" s="269">
        <v>1351.3449543230799</v>
      </c>
      <c r="N62" s="269">
        <v>0</v>
      </c>
      <c r="O62" s="269">
        <v>20714.582757383301</v>
      </c>
      <c r="P62" s="268"/>
    </row>
    <row r="63" spans="1:16" s="273" customFormat="1" ht="12" x14ac:dyDescent="0.2">
      <c r="A63" s="235"/>
      <c r="B63" s="230"/>
      <c r="C63" s="230" t="s">
        <v>773</v>
      </c>
      <c r="D63" s="271"/>
      <c r="E63" s="271"/>
      <c r="F63" s="272">
        <v>11293.2392925602</v>
      </c>
      <c r="G63" s="272">
        <v>0.10299899999999999</v>
      </c>
      <c r="H63" s="272">
        <v>2.5749749999999998</v>
      </c>
      <c r="I63" s="272">
        <v>0</v>
      </c>
      <c r="J63" s="272">
        <v>0</v>
      </c>
      <c r="K63" s="272">
        <v>0</v>
      </c>
      <c r="L63" s="272">
        <v>0</v>
      </c>
      <c r="M63" s="272">
        <v>0</v>
      </c>
      <c r="N63" s="272">
        <v>0</v>
      </c>
      <c r="O63" s="272">
        <v>11295.814267560199</v>
      </c>
      <c r="P63" s="271"/>
    </row>
    <row r="64" spans="1:16" s="273" customFormat="1" ht="12" x14ac:dyDescent="0.2">
      <c r="A64" s="235"/>
      <c r="B64" s="230"/>
      <c r="C64" s="230" t="s">
        <v>252</v>
      </c>
      <c r="D64" s="271"/>
      <c r="E64" s="271"/>
      <c r="F64" s="272">
        <v>5091.4970000000003</v>
      </c>
      <c r="G64" s="272">
        <v>0</v>
      </c>
      <c r="H64" s="272">
        <v>0</v>
      </c>
      <c r="I64" s="272">
        <v>0</v>
      </c>
      <c r="J64" s="272">
        <v>0</v>
      </c>
      <c r="K64" s="272">
        <v>0</v>
      </c>
      <c r="L64" s="272">
        <v>2975.9265354999998</v>
      </c>
      <c r="M64" s="272">
        <v>12.467040000000001</v>
      </c>
      <c r="N64" s="272">
        <v>0</v>
      </c>
      <c r="O64" s="272">
        <v>8079.8905754999996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1338.8779143230799</v>
      </c>
      <c r="N65" s="272">
        <v>0</v>
      </c>
      <c r="O65" s="272">
        <v>1338.8779143230799</v>
      </c>
      <c r="P65" s="271"/>
    </row>
    <row r="66" spans="1:16" s="234" customFormat="1" x14ac:dyDescent="0.25">
      <c r="A66" s="278" t="s">
        <v>764</v>
      </c>
      <c r="B66" s="279" t="s">
        <v>775</v>
      </c>
      <c r="C66" s="279"/>
      <c r="D66" s="251"/>
      <c r="E66" s="251"/>
      <c r="F66" s="252">
        <v>0</v>
      </c>
      <c r="G66" s="252">
        <v>0</v>
      </c>
      <c r="H66" s="252">
        <v>0</v>
      </c>
      <c r="I66" s="252">
        <v>0</v>
      </c>
      <c r="J66" s="252">
        <v>0</v>
      </c>
      <c r="K66" s="252">
        <v>5363.2367481214696</v>
      </c>
      <c r="L66" s="252">
        <v>6.6423325223862602</v>
      </c>
      <c r="M66" s="252">
        <v>2.6391219628355298</v>
      </c>
      <c r="N66" s="252">
        <v>0.185726746666667</v>
      </c>
      <c r="O66" s="252">
        <v>5372.7039293533599</v>
      </c>
      <c r="P66" s="251"/>
    </row>
    <row r="67" spans="1:16" s="234" customFormat="1" ht="12.75" x14ac:dyDescent="0.2">
      <c r="A67" s="278" t="s">
        <v>776</v>
      </c>
      <c r="B67" s="279" t="s">
        <v>777</v>
      </c>
      <c r="C67" s="279"/>
      <c r="D67" s="251"/>
      <c r="E67" s="251"/>
      <c r="F67" s="252">
        <v>9901.5583015854208</v>
      </c>
      <c r="G67" s="252">
        <v>0</v>
      </c>
      <c r="H67" s="252">
        <v>0</v>
      </c>
      <c r="I67" s="252">
        <v>0</v>
      </c>
      <c r="J67" s="252">
        <v>0</v>
      </c>
      <c r="K67" s="252">
        <v>0</v>
      </c>
      <c r="L67" s="252">
        <v>0</v>
      </c>
      <c r="M67" s="252">
        <v>0</v>
      </c>
      <c r="N67" s="252">
        <v>0</v>
      </c>
      <c r="O67" s="252">
        <v>9901.5583015854208</v>
      </c>
      <c r="P67" s="251"/>
    </row>
    <row r="68" spans="1:16" s="234" customFormat="1" ht="12.75" x14ac:dyDescent="0.2">
      <c r="A68" s="259" t="s">
        <v>778</v>
      </c>
      <c r="B68" s="260" t="s">
        <v>779</v>
      </c>
      <c r="C68" s="260"/>
      <c r="D68" s="280"/>
      <c r="E68" s="280"/>
      <c r="F68" s="281">
        <v>0</v>
      </c>
      <c r="G68" s="281">
        <v>0</v>
      </c>
      <c r="H68" s="281">
        <v>0</v>
      </c>
      <c r="I68" s="281">
        <v>1.0624430648644501</v>
      </c>
      <c r="J68" s="281">
        <v>316.60803332960597</v>
      </c>
      <c r="K68" s="281">
        <v>0</v>
      </c>
      <c r="L68" s="281">
        <v>3.4627751260233199</v>
      </c>
      <c r="M68" s="281">
        <v>172.75559999999999</v>
      </c>
      <c r="N68" s="281">
        <v>0</v>
      </c>
      <c r="O68" s="281">
        <v>492.82640845562901</v>
      </c>
      <c r="P68" s="251"/>
    </row>
    <row r="69" spans="1:16" s="267" customFormat="1" ht="12.75" x14ac:dyDescent="0.2">
      <c r="A69" s="282" t="s">
        <v>780</v>
      </c>
      <c r="B69" s="283"/>
      <c r="C69" s="283"/>
      <c r="D69" s="284"/>
      <c r="E69" s="284"/>
      <c r="F69" s="285">
        <v>1466.8219426666701</v>
      </c>
      <c r="G69" s="285">
        <v>1387.9239842948</v>
      </c>
      <c r="H69" s="285">
        <v>34698.099607370001</v>
      </c>
      <c r="I69" s="285">
        <v>79.828859248064006</v>
      </c>
      <c r="J69" s="285">
        <v>23789.000055923101</v>
      </c>
      <c r="K69" s="285">
        <v>0</v>
      </c>
      <c r="L69" s="285">
        <v>0</v>
      </c>
      <c r="M69" s="285">
        <v>0</v>
      </c>
      <c r="N69" s="285">
        <v>0</v>
      </c>
      <c r="O69" s="285">
        <v>59953.921605959797</v>
      </c>
      <c r="P69" s="265"/>
    </row>
    <row r="70" spans="1:16" s="234" customFormat="1" ht="12.75" x14ac:dyDescent="0.2">
      <c r="A70" s="278" t="s">
        <v>724</v>
      </c>
      <c r="B70" s="279" t="s">
        <v>27</v>
      </c>
      <c r="C70" s="279"/>
      <c r="D70" s="251"/>
      <c r="E70" s="251"/>
      <c r="F70" s="252">
        <v>0</v>
      </c>
      <c r="G70" s="252">
        <v>1217.4492956858101</v>
      </c>
      <c r="H70" s="252">
        <v>30436.232392145099</v>
      </c>
      <c r="I70" s="252">
        <v>0</v>
      </c>
      <c r="J70" s="252">
        <v>0</v>
      </c>
      <c r="K70" s="252">
        <v>0</v>
      </c>
      <c r="L70" s="252">
        <v>0</v>
      </c>
      <c r="M70" s="252">
        <v>0</v>
      </c>
      <c r="N70" s="252">
        <v>0</v>
      </c>
      <c r="O70" s="252">
        <v>30436.232392145099</v>
      </c>
      <c r="P70" s="251"/>
    </row>
    <row r="71" spans="1:16" s="234" customFormat="1" ht="12.75" x14ac:dyDescent="0.2">
      <c r="A71" s="278" t="s">
        <v>737</v>
      </c>
      <c r="B71" s="279" t="s">
        <v>28</v>
      </c>
      <c r="C71" s="279"/>
      <c r="D71" s="251"/>
      <c r="E71" s="251"/>
      <c r="F71" s="252">
        <v>0</v>
      </c>
      <c r="G71" s="252">
        <v>168.96578599097199</v>
      </c>
      <c r="H71" s="252">
        <v>4224.1446497743</v>
      </c>
      <c r="I71" s="252">
        <v>18.2171016313671</v>
      </c>
      <c r="J71" s="252">
        <v>5428.6962861473803</v>
      </c>
      <c r="K71" s="252">
        <v>0</v>
      </c>
      <c r="L71" s="252">
        <v>0</v>
      </c>
      <c r="M71" s="252">
        <v>0</v>
      </c>
      <c r="N71" s="252">
        <v>0</v>
      </c>
      <c r="O71" s="252">
        <v>9652.8409359216803</v>
      </c>
      <c r="P71" s="251"/>
    </row>
    <row r="72" spans="1:16" s="234" customFormat="1" ht="12.75" x14ac:dyDescent="0.2">
      <c r="A72" s="224" t="s">
        <v>758</v>
      </c>
      <c r="B72" s="225" t="s">
        <v>781</v>
      </c>
      <c r="C72" s="225"/>
      <c r="F72" s="231">
        <v>0</v>
      </c>
      <c r="G72" s="231">
        <v>0</v>
      </c>
      <c r="H72" s="231">
        <v>0</v>
      </c>
      <c r="I72" s="231">
        <v>61.572637919192701</v>
      </c>
      <c r="J72" s="231">
        <v>18348.646099919399</v>
      </c>
      <c r="K72" s="231">
        <v>0</v>
      </c>
      <c r="L72" s="231">
        <v>0</v>
      </c>
      <c r="M72" s="231">
        <v>0</v>
      </c>
      <c r="N72" s="231">
        <v>0</v>
      </c>
      <c r="O72" s="231">
        <v>18348.646099919399</v>
      </c>
    </row>
    <row r="73" spans="1:16" s="237" customFormat="1" ht="12" x14ac:dyDescent="0.2">
      <c r="A73" s="286"/>
      <c r="B73" s="258"/>
      <c r="C73" s="258" t="s">
        <v>782</v>
      </c>
      <c r="D73" s="243"/>
      <c r="E73" s="243"/>
      <c r="F73" s="244">
        <v>0</v>
      </c>
      <c r="G73" s="244">
        <v>0</v>
      </c>
      <c r="H73" s="244">
        <v>0</v>
      </c>
      <c r="I73" s="244">
        <v>50.434350758908998</v>
      </c>
      <c r="J73" s="244">
        <v>15029.436526154899</v>
      </c>
      <c r="K73" s="244">
        <v>0</v>
      </c>
      <c r="L73" s="244">
        <v>0</v>
      </c>
      <c r="M73" s="244">
        <v>0</v>
      </c>
      <c r="N73" s="244">
        <v>0</v>
      </c>
      <c r="O73" s="244">
        <v>15029.436526154899</v>
      </c>
    </row>
    <row r="74" spans="1:16" s="237" customFormat="1" ht="12" x14ac:dyDescent="0.2">
      <c r="A74" s="286"/>
      <c r="B74" s="258"/>
      <c r="C74" s="258" t="s">
        <v>783</v>
      </c>
      <c r="D74" s="243"/>
      <c r="E74" s="243"/>
      <c r="F74" s="244">
        <v>0</v>
      </c>
      <c r="G74" s="244">
        <v>0</v>
      </c>
      <c r="H74" s="244">
        <v>0</v>
      </c>
      <c r="I74" s="244">
        <v>11.138287160283699</v>
      </c>
      <c r="J74" s="244">
        <v>3319.20957376456</v>
      </c>
      <c r="K74" s="244">
        <v>0</v>
      </c>
      <c r="L74" s="244">
        <v>0</v>
      </c>
      <c r="M74" s="244">
        <v>0</v>
      </c>
      <c r="N74" s="244">
        <v>0</v>
      </c>
      <c r="O74" s="244">
        <v>3319.20957376456</v>
      </c>
    </row>
    <row r="75" spans="1:16" s="234" customFormat="1" ht="12.75" x14ac:dyDescent="0.2">
      <c r="A75" s="278" t="s">
        <v>764</v>
      </c>
      <c r="B75" s="279" t="s">
        <v>193</v>
      </c>
      <c r="C75" s="287"/>
      <c r="D75" s="251"/>
      <c r="E75" s="251"/>
      <c r="F75" s="252">
        <v>0</v>
      </c>
      <c r="G75" s="252">
        <v>1.5089026180226699</v>
      </c>
      <c r="H75" s="252">
        <v>37.722565450566798</v>
      </c>
      <c r="I75" s="252">
        <v>3.9119697504291499E-2</v>
      </c>
      <c r="J75" s="252">
        <v>11.657669856278901</v>
      </c>
      <c r="K75" s="252">
        <v>0</v>
      </c>
      <c r="L75" s="252">
        <v>0</v>
      </c>
      <c r="M75" s="252">
        <v>0</v>
      </c>
      <c r="N75" s="252">
        <v>0</v>
      </c>
      <c r="O75" s="252">
        <v>49.380235306845698</v>
      </c>
    </row>
    <row r="76" spans="1:16" s="234" customFormat="1" ht="12.75" x14ac:dyDescent="0.2">
      <c r="A76" s="259" t="s">
        <v>776</v>
      </c>
      <c r="B76" s="260" t="s">
        <v>784</v>
      </c>
      <c r="C76" s="288"/>
      <c r="D76" s="280"/>
      <c r="E76" s="280"/>
      <c r="F76" s="281">
        <v>1466.8219426666701</v>
      </c>
      <c r="G76" s="281">
        <v>0</v>
      </c>
      <c r="H76" s="281">
        <v>0</v>
      </c>
      <c r="I76" s="281">
        <v>0</v>
      </c>
      <c r="J76" s="281">
        <v>0</v>
      </c>
      <c r="K76" s="281">
        <v>0</v>
      </c>
      <c r="L76" s="281">
        <v>0</v>
      </c>
      <c r="M76" s="281">
        <v>0</v>
      </c>
      <c r="N76" s="281">
        <v>0</v>
      </c>
      <c r="O76" s="281">
        <v>1466.8219426666701</v>
      </c>
    </row>
    <row r="77" spans="1:16" s="234" customFormat="1" ht="12.75" x14ac:dyDescent="0.2">
      <c r="A77" s="220" t="s">
        <v>785</v>
      </c>
      <c r="B77" s="289"/>
      <c r="C77" s="289"/>
      <c r="F77" s="223">
        <v>487.17280919000001</v>
      </c>
      <c r="G77" s="223">
        <v>1053.0609827799999</v>
      </c>
      <c r="H77" s="223">
        <v>26326.524569500001</v>
      </c>
      <c r="I77" s="223">
        <v>4.1048200399999999</v>
      </c>
      <c r="J77" s="223">
        <v>1223.23637192</v>
      </c>
      <c r="K77" s="223">
        <v>0</v>
      </c>
      <c r="L77" s="223">
        <v>0</v>
      </c>
      <c r="M77" s="223">
        <v>0</v>
      </c>
      <c r="N77" s="223">
        <v>0</v>
      </c>
      <c r="O77" s="223">
        <v>28036.933750609998</v>
      </c>
    </row>
    <row r="78" spans="1:16" s="234" customFormat="1" ht="12.75" x14ac:dyDescent="0.2">
      <c r="A78" s="224" t="s">
        <v>724</v>
      </c>
      <c r="B78" s="225" t="s">
        <v>786</v>
      </c>
      <c r="C78" s="225"/>
      <c r="F78" s="231">
        <v>0</v>
      </c>
      <c r="G78" s="231">
        <v>1014.0746860100001</v>
      </c>
      <c r="H78" s="231">
        <v>25351.86715025</v>
      </c>
      <c r="I78" s="231">
        <v>0</v>
      </c>
      <c r="J78" s="231">
        <v>0</v>
      </c>
      <c r="K78" s="231">
        <v>0</v>
      </c>
      <c r="L78" s="231">
        <v>0</v>
      </c>
      <c r="M78" s="231">
        <v>0</v>
      </c>
      <c r="N78" s="231">
        <v>0</v>
      </c>
      <c r="O78" s="231">
        <v>25351.86715025</v>
      </c>
    </row>
    <row r="79" spans="1:16" s="234" customFormat="1" ht="12.75" x14ac:dyDescent="0.2">
      <c r="A79" s="224" t="s">
        <v>737</v>
      </c>
      <c r="B79" s="225" t="s">
        <v>787</v>
      </c>
      <c r="C79" s="225"/>
      <c r="F79" s="231">
        <v>0</v>
      </c>
      <c r="G79" s="231">
        <v>22.869424420000001</v>
      </c>
      <c r="H79" s="231">
        <v>571.73561050000001</v>
      </c>
      <c r="I79" s="231">
        <v>1.3721654599999999</v>
      </c>
      <c r="J79" s="231">
        <v>408.90530708</v>
      </c>
      <c r="K79" s="231">
        <v>0</v>
      </c>
      <c r="L79" s="231">
        <v>0</v>
      </c>
      <c r="M79" s="231">
        <v>0</v>
      </c>
      <c r="N79" s="231">
        <v>0</v>
      </c>
      <c r="O79" s="231">
        <v>980.64091757999995</v>
      </c>
    </row>
    <row r="80" spans="1:16" s="234" customFormat="1" ht="12.75" x14ac:dyDescent="0.2">
      <c r="A80" s="278" t="s">
        <v>788</v>
      </c>
      <c r="B80" s="279" t="s">
        <v>789</v>
      </c>
      <c r="C80" s="279"/>
      <c r="D80" s="251"/>
      <c r="E80" s="251"/>
      <c r="F80" s="252">
        <v>0</v>
      </c>
      <c r="G80" s="252">
        <v>15.888025689999999</v>
      </c>
      <c r="H80" s="252">
        <v>397.20064224999999</v>
      </c>
      <c r="I80" s="252">
        <v>2.12311637</v>
      </c>
      <c r="J80" s="252">
        <v>632.68867825999996</v>
      </c>
      <c r="K80" s="252">
        <v>0</v>
      </c>
      <c r="L80" s="252">
        <v>0</v>
      </c>
      <c r="M80" s="252">
        <v>0</v>
      </c>
      <c r="N80" s="252">
        <v>0</v>
      </c>
      <c r="O80" s="252">
        <v>1029.8893205100001</v>
      </c>
    </row>
    <row r="81" spans="1:30" s="234" customFormat="1" ht="12.75" x14ac:dyDescent="0.2">
      <c r="A81" s="259" t="s">
        <v>764</v>
      </c>
      <c r="B81" s="260" t="s">
        <v>790</v>
      </c>
      <c r="C81" s="260"/>
      <c r="D81" s="280"/>
      <c r="E81" s="280"/>
      <c r="F81" s="281">
        <v>487.17280919000001</v>
      </c>
      <c r="G81" s="281">
        <v>0.22884666000000001</v>
      </c>
      <c r="H81" s="281">
        <v>5.7211664999999998</v>
      </c>
      <c r="I81" s="281">
        <v>0.60953820999999997</v>
      </c>
      <c r="J81" s="281">
        <v>181.64238657999999</v>
      </c>
      <c r="K81" s="281">
        <v>0</v>
      </c>
      <c r="L81" s="281">
        <v>0</v>
      </c>
      <c r="M81" s="281">
        <v>0</v>
      </c>
      <c r="N81" s="281">
        <v>0</v>
      </c>
      <c r="O81" s="281">
        <v>674.53636227000004</v>
      </c>
    </row>
    <row r="82" spans="1:30" s="267" customFormat="1" ht="12.75" x14ac:dyDescent="0.2">
      <c r="A82" s="263" t="s">
        <v>791</v>
      </c>
      <c r="B82" s="264"/>
      <c r="C82" s="264"/>
      <c r="F82" s="223">
        <v>-36205.403593000003</v>
      </c>
      <c r="G82" s="223">
        <v>58.900514999999999</v>
      </c>
      <c r="H82" s="223">
        <v>1472.5128749999999</v>
      </c>
      <c r="I82" s="223">
        <v>1.9124989999999999</v>
      </c>
      <c r="J82" s="223">
        <v>569.92470200000002</v>
      </c>
      <c r="K82" s="223">
        <v>0</v>
      </c>
      <c r="L82" s="223">
        <v>0</v>
      </c>
      <c r="M82" s="223">
        <v>0</v>
      </c>
      <c r="N82" s="223">
        <v>0</v>
      </c>
      <c r="O82" s="223">
        <v>-34162.966015999998</v>
      </c>
    </row>
    <row r="83" spans="1:30" s="234" customFormat="1" ht="12.75" x14ac:dyDescent="0.2">
      <c r="A83" s="224" t="s">
        <v>724</v>
      </c>
      <c r="B83" s="225" t="s">
        <v>792</v>
      </c>
      <c r="C83" s="225"/>
      <c r="F83" s="231">
        <v>-167882.480866</v>
      </c>
      <c r="G83" s="231">
        <v>11.905632000000001</v>
      </c>
      <c r="H83" s="231">
        <v>297.64080000000001</v>
      </c>
      <c r="I83" s="231">
        <v>0.49472300000000002</v>
      </c>
      <c r="J83" s="231">
        <v>147.42745400000001</v>
      </c>
      <c r="K83" s="231">
        <v>0</v>
      </c>
      <c r="L83" s="231">
        <v>0</v>
      </c>
      <c r="M83" s="231">
        <v>0</v>
      </c>
      <c r="N83" s="231">
        <v>0</v>
      </c>
      <c r="O83" s="231">
        <v>-167437.41261199999</v>
      </c>
    </row>
    <row r="84" spans="1:30" s="234" customFormat="1" ht="12.75" x14ac:dyDescent="0.2">
      <c r="A84" s="224" t="s">
        <v>737</v>
      </c>
      <c r="B84" s="225" t="s">
        <v>793</v>
      </c>
      <c r="C84" s="225"/>
      <c r="F84" s="231">
        <v>-11655.109651999999</v>
      </c>
      <c r="G84" s="231">
        <v>4.3993349999999998</v>
      </c>
      <c r="H84" s="231">
        <v>109.983375</v>
      </c>
      <c r="I84" s="231">
        <v>0.22587599999999999</v>
      </c>
      <c r="J84" s="231">
        <v>67.311048</v>
      </c>
      <c r="K84" s="231">
        <v>0</v>
      </c>
      <c r="L84" s="231">
        <v>0</v>
      </c>
      <c r="M84" s="231">
        <v>0</v>
      </c>
      <c r="N84" s="231">
        <v>0</v>
      </c>
      <c r="O84" s="231">
        <v>-11477.815229</v>
      </c>
    </row>
    <row r="85" spans="1:30" s="234" customFormat="1" ht="12.75" x14ac:dyDescent="0.2">
      <c r="A85" s="278" t="s">
        <v>758</v>
      </c>
      <c r="B85" s="279" t="s">
        <v>794</v>
      </c>
      <c r="C85" s="279"/>
      <c r="F85" s="231">
        <v>0</v>
      </c>
      <c r="G85" s="231">
        <v>35.909239999999997</v>
      </c>
      <c r="H85" s="231">
        <v>897.73099999999999</v>
      </c>
      <c r="I85" s="231">
        <v>0.93096999999999996</v>
      </c>
      <c r="J85" s="231">
        <v>277.42905999999999</v>
      </c>
      <c r="K85" s="231">
        <v>0</v>
      </c>
      <c r="L85" s="231">
        <v>0</v>
      </c>
      <c r="M85" s="231">
        <v>0</v>
      </c>
      <c r="N85" s="231">
        <v>0</v>
      </c>
      <c r="O85" s="231">
        <v>1175.1600599999999</v>
      </c>
    </row>
    <row r="86" spans="1:30" s="234" customFormat="1" ht="12.75" x14ac:dyDescent="0.2">
      <c r="A86" s="278" t="s">
        <v>764</v>
      </c>
      <c r="B86" s="279" t="s">
        <v>795</v>
      </c>
      <c r="C86" s="279"/>
      <c r="F86" s="231">
        <v>2830.9813770000001</v>
      </c>
      <c r="G86" s="231">
        <v>0.57199100000000003</v>
      </c>
      <c r="H86" s="231">
        <v>14.299775</v>
      </c>
      <c r="I86" s="231">
        <v>3.0123E-2</v>
      </c>
      <c r="J86" s="231">
        <v>8.9766539999999999</v>
      </c>
      <c r="K86" s="231">
        <v>0</v>
      </c>
      <c r="L86" s="231">
        <v>0</v>
      </c>
      <c r="M86" s="231">
        <v>0</v>
      </c>
      <c r="N86" s="231">
        <v>0</v>
      </c>
      <c r="O86" s="231">
        <v>2854.2578060000001</v>
      </c>
    </row>
    <row r="87" spans="1:30" s="234" customFormat="1" ht="12.75" x14ac:dyDescent="0.2">
      <c r="A87" s="278" t="s">
        <v>776</v>
      </c>
      <c r="B87" s="279" t="s">
        <v>796</v>
      </c>
      <c r="C87" s="279"/>
      <c r="D87" s="251"/>
      <c r="E87" s="251"/>
      <c r="F87" s="252">
        <v>3947.0482069999998</v>
      </c>
      <c r="G87" s="252">
        <v>6.1143169999999998</v>
      </c>
      <c r="H87" s="252">
        <v>152.85792499999999</v>
      </c>
      <c r="I87" s="252">
        <v>0.23080700000000001</v>
      </c>
      <c r="J87" s="252">
        <v>68.780485999999996</v>
      </c>
      <c r="K87" s="252">
        <v>0</v>
      </c>
      <c r="L87" s="252">
        <v>0</v>
      </c>
      <c r="M87" s="252">
        <v>0</v>
      </c>
      <c r="N87" s="252">
        <v>0</v>
      </c>
      <c r="O87" s="252">
        <v>4168.6866179999997</v>
      </c>
    </row>
    <row r="88" spans="1:30" s="234" customFormat="1" ht="12.75" x14ac:dyDescent="0.2">
      <c r="A88" s="259" t="s">
        <v>778</v>
      </c>
      <c r="B88" s="260" t="s">
        <v>797</v>
      </c>
      <c r="C88" s="260"/>
      <c r="D88" s="280"/>
      <c r="E88" s="280"/>
      <c r="F88" s="281">
        <v>136554.15734100001</v>
      </c>
      <c r="G88" s="281">
        <v>0</v>
      </c>
      <c r="H88" s="281">
        <v>0</v>
      </c>
      <c r="I88" s="281">
        <v>0</v>
      </c>
      <c r="J88" s="281">
        <v>0</v>
      </c>
      <c r="K88" s="281">
        <v>0</v>
      </c>
      <c r="L88" s="281">
        <v>0</v>
      </c>
      <c r="M88" s="281">
        <v>0</v>
      </c>
      <c r="N88" s="281">
        <v>0</v>
      </c>
      <c r="O88" s="281">
        <v>136554.15734100001</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819</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573598.93024382798</v>
      </c>
      <c r="G7" s="218">
        <v>4544.5131656878502</v>
      </c>
      <c r="H7" s="218">
        <v>113612.829142196</v>
      </c>
      <c r="I7" s="218">
        <v>136.53446930973399</v>
      </c>
      <c r="J7" s="218">
        <v>40687.271854300598</v>
      </c>
      <c r="K7" s="218">
        <v>5096.7747410633201</v>
      </c>
      <c r="L7" s="218">
        <v>3839.2630598937599</v>
      </c>
      <c r="M7" s="218">
        <v>1417.36185603699</v>
      </c>
      <c r="N7" s="218">
        <v>0.19439720933333399</v>
      </c>
      <c r="O7" s="218">
        <v>738252.62529452797</v>
      </c>
    </row>
    <row r="8" spans="1:16" ht="15.75" thickTop="1" x14ac:dyDescent="0.2">
      <c r="A8" s="220" t="s">
        <v>723</v>
      </c>
      <c r="B8" s="221"/>
      <c r="C8" s="221"/>
      <c r="F8" s="223">
        <v>531849.80852687999</v>
      </c>
      <c r="G8" s="223">
        <v>2079.5865670460698</v>
      </c>
      <c r="H8" s="223">
        <v>51989.664176151797</v>
      </c>
      <c r="I8" s="223">
        <v>38.716386931457301</v>
      </c>
      <c r="J8" s="223">
        <v>11537.4833055743</v>
      </c>
      <c r="K8" s="223">
        <v>0</v>
      </c>
      <c r="L8" s="223">
        <v>0</v>
      </c>
      <c r="M8" s="223">
        <v>0</v>
      </c>
      <c r="N8" s="223">
        <v>0</v>
      </c>
      <c r="O8" s="223">
        <v>595376.95600860601</v>
      </c>
    </row>
    <row r="9" spans="1:16" x14ac:dyDescent="0.2">
      <c r="A9" s="224" t="s">
        <v>724</v>
      </c>
      <c r="B9" s="225" t="s">
        <v>725</v>
      </c>
      <c r="C9" s="225"/>
      <c r="F9" s="226">
        <v>331324.35017627198</v>
      </c>
      <c r="G9" s="226">
        <v>215.275014140358</v>
      </c>
      <c r="H9" s="226">
        <v>5381.87535350894</v>
      </c>
      <c r="I9" s="226">
        <v>9.1823082796202193</v>
      </c>
      <c r="J9" s="226">
        <v>2736.3278673268301</v>
      </c>
      <c r="K9" s="226">
        <v>0</v>
      </c>
      <c r="L9" s="226">
        <v>0</v>
      </c>
      <c r="M9" s="226">
        <v>0</v>
      </c>
      <c r="N9" s="226">
        <v>0</v>
      </c>
      <c r="O9" s="226">
        <v>339442.55339710799</v>
      </c>
      <c r="P9" s="227"/>
    </row>
    <row r="10" spans="1:16" x14ac:dyDescent="0.2">
      <c r="A10" s="228"/>
      <c r="B10" s="229" t="s">
        <v>726</v>
      </c>
      <c r="C10" s="230"/>
      <c r="F10" s="231">
        <v>120847.137312349</v>
      </c>
      <c r="G10" s="231">
        <v>5.5829729479242003</v>
      </c>
      <c r="H10" s="231">
        <v>139.57432369810499</v>
      </c>
      <c r="I10" s="231">
        <v>2.50041306130246</v>
      </c>
      <c r="J10" s="231">
        <v>745.12309226813397</v>
      </c>
      <c r="K10" s="231">
        <v>0</v>
      </c>
      <c r="L10" s="231">
        <v>0</v>
      </c>
      <c r="M10" s="231">
        <v>0</v>
      </c>
      <c r="N10" s="231">
        <v>0</v>
      </c>
      <c r="O10" s="231">
        <v>121731.83472831501</v>
      </c>
    </row>
    <row r="11" spans="1:16" x14ac:dyDescent="0.2">
      <c r="A11" s="228"/>
      <c r="B11" s="232" t="s">
        <v>727</v>
      </c>
      <c r="C11" s="230"/>
      <c r="F11" s="231">
        <v>20230.037973361599</v>
      </c>
      <c r="G11" s="231">
        <v>0.51224575573015996</v>
      </c>
      <c r="H11" s="231">
        <v>12.806143893253999</v>
      </c>
      <c r="I11" s="231">
        <v>0.170016838035146</v>
      </c>
      <c r="J11" s="231">
        <v>50.665017734473501</v>
      </c>
      <c r="K11" s="231">
        <v>0</v>
      </c>
      <c r="L11" s="231">
        <v>0</v>
      </c>
      <c r="M11" s="231">
        <v>0</v>
      </c>
      <c r="N11" s="231">
        <v>0</v>
      </c>
      <c r="O11" s="231">
        <v>20293.509134989399</v>
      </c>
    </row>
    <row r="12" spans="1:16" s="234" customFormat="1" ht="12.75" x14ac:dyDescent="0.2">
      <c r="A12" s="228"/>
      <c r="B12" s="232" t="s">
        <v>728</v>
      </c>
      <c r="C12" s="233"/>
      <c r="F12" s="231">
        <v>65228.452171828198</v>
      </c>
      <c r="G12" s="231">
        <v>84.499935267599398</v>
      </c>
      <c r="H12" s="231">
        <v>2112.4983816899799</v>
      </c>
      <c r="I12" s="231">
        <v>1.53636159604982</v>
      </c>
      <c r="J12" s="231">
        <v>457.83575562284602</v>
      </c>
      <c r="K12" s="231">
        <v>0</v>
      </c>
      <c r="L12" s="231">
        <v>0</v>
      </c>
      <c r="M12" s="231">
        <v>0</v>
      </c>
      <c r="N12" s="231">
        <v>0</v>
      </c>
      <c r="O12" s="231">
        <v>67798.786309141098</v>
      </c>
    </row>
    <row r="13" spans="1:16" s="234" customFormat="1" ht="12.75" x14ac:dyDescent="0.2">
      <c r="A13" s="228"/>
      <c r="B13" s="229" t="s">
        <v>729</v>
      </c>
      <c r="C13" s="229"/>
      <c r="F13" s="231">
        <v>47378.420697133697</v>
      </c>
      <c r="G13" s="231">
        <v>2.8081631179014699</v>
      </c>
      <c r="H13" s="231">
        <v>70.204077947536803</v>
      </c>
      <c r="I13" s="231">
        <v>2.0820139025748499</v>
      </c>
      <c r="J13" s="231">
        <v>620.44014296730404</v>
      </c>
      <c r="K13" s="231">
        <v>0</v>
      </c>
      <c r="L13" s="231">
        <v>0</v>
      </c>
      <c r="M13" s="231">
        <v>0</v>
      </c>
      <c r="N13" s="231">
        <v>0</v>
      </c>
      <c r="O13" s="231">
        <v>48069.064918048498</v>
      </c>
    </row>
    <row r="14" spans="1:16" s="237" customFormat="1" ht="12" x14ac:dyDescent="0.2">
      <c r="A14" s="235"/>
      <c r="B14" s="230"/>
      <c r="C14" s="236" t="s">
        <v>2</v>
      </c>
      <c r="F14" s="238">
        <v>5507.4239055611897</v>
      </c>
      <c r="G14" s="238">
        <v>0.157956993043293</v>
      </c>
      <c r="H14" s="238">
        <v>3.94892482608233</v>
      </c>
      <c r="I14" s="238">
        <v>0.136099740055309</v>
      </c>
      <c r="J14" s="238">
        <v>40.557722536481997</v>
      </c>
      <c r="K14" s="238">
        <v>0</v>
      </c>
      <c r="L14" s="238">
        <v>0</v>
      </c>
      <c r="M14" s="238">
        <v>0</v>
      </c>
      <c r="N14" s="238">
        <v>0</v>
      </c>
      <c r="O14" s="238">
        <v>5551.9305529237599</v>
      </c>
    </row>
    <row r="15" spans="1:16" s="237" customFormat="1" ht="12" x14ac:dyDescent="0.2">
      <c r="A15" s="235"/>
      <c r="B15" s="230"/>
      <c r="C15" s="236" t="s">
        <v>730</v>
      </c>
      <c r="F15" s="238">
        <v>3638.4820974251702</v>
      </c>
      <c r="G15" s="238">
        <v>8.2229940247656202E-2</v>
      </c>
      <c r="H15" s="238">
        <v>2.0557485061913998</v>
      </c>
      <c r="I15" s="238">
        <v>5.8105064222698899E-2</v>
      </c>
      <c r="J15" s="238">
        <v>17.315309138364299</v>
      </c>
      <c r="K15" s="238">
        <v>0</v>
      </c>
      <c r="L15" s="238">
        <v>0</v>
      </c>
      <c r="M15" s="238">
        <v>0</v>
      </c>
      <c r="N15" s="238">
        <v>0</v>
      </c>
      <c r="O15" s="238">
        <v>3657.8531550697298</v>
      </c>
    </row>
    <row r="16" spans="1:16" s="237" customFormat="1" ht="12" x14ac:dyDescent="0.2">
      <c r="A16" s="235"/>
      <c r="B16" s="230"/>
      <c r="C16" s="236" t="s">
        <v>731</v>
      </c>
      <c r="F16" s="238">
        <v>8287.4598923093108</v>
      </c>
      <c r="G16" s="238">
        <v>0.16813320769578</v>
      </c>
      <c r="H16" s="238">
        <v>4.2033301923944997</v>
      </c>
      <c r="I16" s="238">
        <v>0.14452088375220501</v>
      </c>
      <c r="J16" s="238">
        <v>43.067223358157001</v>
      </c>
      <c r="K16" s="238">
        <v>0</v>
      </c>
      <c r="L16" s="238">
        <v>0</v>
      </c>
      <c r="M16" s="238">
        <v>0</v>
      </c>
      <c r="N16" s="238">
        <v>0</v>
      </c>
      <c r="O16" s="238">
        <v>8334.7304458598592</v>
      </c>
    </row>
    <row r="17" spans="1:16" s="237" customFormat="1" ht="12" x14ac:dyDescent="0.2">
      <c r="A17" s="235"/>
      <c r="B17" s="230"/>
      <c r="C17" s="236" t="s">
        <v>732</v>
      </c>
      <c r="F17" s="238">
        <v>8310.6533967041196</v>
      </c>
      <c r="G17" s="238">
        <v>1.5679637674542699</v>
      </c>
      <c r="H17" s="238">
        <v>39.199094186356803</v>
      </c>
      <c r="I17" s="238">
        <v>1.2022080768391401</v>
      </c>
      <c r="J17" s="238">
        <v>358.25800689806198</v>
      </c>
      <c r="K17" s="238">
        <v>0</v>
      </c>
      <c r="L17" s="238">
        <v>0</v>
      </c>
      <c r="M17" s="238">
        <v>0</v>
      </c>
      <c r="N17" s="238">
        <v>0</v>
      </c>
      <c r="O17" s="238">
        <v>8708.1104977885407</v>
      </c>
    </row>
    <row r="18" spans="1:16" s="237" customFormat="1" ht="12" x14ac:dyDescent="0.2">
      <c r="A18" s="235"/>
      <c r="B18" s="230"/>
      <c r="C18" s="236" t="s">
        <v>35</v>
      </c>
      <c r="F18" s="238">
        <v>5407.1866845683498</v>
      </c>
      <c r="G18" s="238">
        <v>0.21303900094154099</v>
      </c>
      <c r="H18" s="238">
        <v>5.3259750235385104</v>
      </c>
      <c r="I18" s="238">
        <v>5.9888210408593899E-2</v>
      </c>
      <c r="J18" s="238">
        <v>17.846686701761001</v>
      </c>
      <c r="K18" s="238">
        <v>0</v>
      </c>
      <c r="L18" s="238">
        <v>0</v>
      </c>
      <c r="M18" s="238">
        <v>0</v>
      </c>
      <c r="N18" s="238">
        <v>0</v>
      </c>
      <c r="O18" s="238">
        <v>5430.3593462936497</v>
      </c>
    </row>
    <row r="19" spans="1:16" s="237" customFormat="1" ht="12" x14ac:dyDescent="0.2">
      <c r="A19" s="235"/>
      <c r="B19" s="230"/>
      <c r="C19" s="236" t="s">
        <v>733</v>
      </c>
      <c r="F19" s="238">
        <v>16227.2147205655</v>
      </c>
      <c r="G19" s="238">
        <v>0.61884020851893096</v>
      </c>
      <c r="H19" s="238">
        <v>15.471005212973299</v>
      </c>
      <c r="I19" s="238">
        <v>0.48119192729690302</v>
      </c>
      <c r="J19" s="238">
        <v>143.395194334477</v>
      </c>
      <c r="K19" s="238">
        <v>0</v>
      </c>
      <c r="L19" s="238">
        <v>0</v>
      </c>
      <c r="M19" s="238">
        <v>0</v>
      </c>
      <c r="N19" s="238">
        <v>0</v>
      </c>
      <c r="O19" s="238">
        <v>16386.080920113</v>
      </c>
    </row>
    <row r="20" spans="1:16" s="234" customFormat="1" ht="12.75" x14ac:dyDescent="0.2">
      <c r="A20" s="228"/>
      <c r="B20" s="229" t="s">
        <v>734</v>
      </c>
      <c r="C20" s="239"/>
      <c r="F20" s="231">
        <v>1444.4186999999999</v>
      </c>
      <c r="G20" s="231">
        <v>2.5106199999999999E-2</v>
      </c>
      <c r="H20" s="231">
        <v>0.62765499999999996</v>
      </c>
      <c r="I20" s="231">
        <v>3.3620400000000002E-2</v>
      </c>
      <c r="J20" s="231">
        <v>10.018879200000001</v>
      </c>
      <c r="K20" s="231">
        <v>0</v>
      </c>
      <c r="L20" s="231">
        <v>0</v>
      </c>
      <c r="M20" s="231">
        <v>0</v>
      </c>
      <c r="N20" s="231">
        <v>0</v>
      </c>
      <c r="O20" s="231">
        <v>1455.0652342000001</v>
      </c>
    </row>
    <row r="21" spans="1:16" s="234" customFormat="1" ht="12.75" x14ac:dyDescent="0.2">
      <c r="A21" s="228"/>
      <c r="B21" s="229" t="s">
        <v>735</v>
      </c>
      <c r="C21" s="229"/>
      <c r="F21" s="231">
        <v>32109.0585666958</v>
      </c>
      <c r="G21" s="231">
        <v>0.59227492576362994</v>
      </c>
      <c r="H21" s="231">
        <v>14.806873144090799</v>
      </c>
      <c r="I21" s="231">
        <v>0.66766366271562705</v>
      </c>
      <c r="J21" s="231">
        <v>198.963771489257</v>
      </c>
      <c r="K21" s="231">
        <v>0</v>
      </c>
      <c r="L21" s="231">
        <v>0</v>
      </c>
      <c r="M21" s="231">
        <v>0</v>
      </c>
      <c r="N21" s="231">
        <v>0</v>
      </c>
      <c r="O21" s="231">
        <v>32322.829211329099</v>
      </c>
    </row>
    <row r="22" spans="1:16" s="234" customFormat="1" ht="12.75" x14ac:dyDescent="0.2">
      <c r="A22" s="228"/>
      <c r="B22" s="229" t="s">
        <v>181</v>
      </c>
      <c r="C22" s="229"/>
      <c r="F22" s="231">
        <v>41917.779260000003</v>
      </c>
      <c r="G22" s="231">
        <v>121.2176896852</v>
      </c>
      <c r="H22" s="231">
        <v>3030.4422421299901</v>
      </c>
      <c r="I22" s="231">
        <v>2.1278223695398699</v>
      </c>
      <c r="J22" s="231">
        <v>634.09106612288303</v>
      </c>
      <c r="K22" s="231">
        <v>0</v>
      </c>
      <c r="L22" s="231">
        <v>0</v>
      </c>
      <c r="M22" s="231">
        <v>0</v>
      </c>
      <c r="N22" s="231">
        <v>0</v>
      </c>
      <c r="O22" s="231">
        <v>45582.312568252899</v>
      </c>
    </row>
    <row r="23" spans="1:16" s="234" customFormat="1" ht="12.75" x14ac:dyDescent="0.2">
      <c r="A23" s="228"/>
      <c r="B23" s="229" t="s">
        <v>736</v>
      </c>
      <c r="C23" s="229"/>
      <c r="F23" s="231">
        <v>2169.0454949037999</v>
      </c>
      <c r="G23" s="231">
        <v>3.6626240239110597E-2</v>
      </c>
      <c r="H23" s="231">
        <v>0.91565600597776398</v>
      </c>
      <c r="I23" s="231">
        <v>6.4396449402449998E-2</v>
      </c>
      <c r="J23" s="231">
        <v>19.190141921930099</v>
      </c>
      <c r="K23" s="231">
        <v>0</v>
      </c>
      <c r="L23" s="231">
        <v>0</v>
      </c>
      <c r="M23" s="231">
        <v>0</v>
      </c>
      <c r="N23" s="231">
        <v>0</v>
      </c>
      <c r="O23" s="231">
        <v>2189.1512928317102</v>
      </c>
    </row>
    <row r="24" spans="1:16" s="240" customFormat="1" ht="14.25" x14ac:dyDescent="0.2">
      <c r="A24" s="224" t="s">
        <v>737</v>
      </c>
      <c r="B24" s="225" t="s">
        <v>738</v>
      </c>
      <c r="C24" s="225"/>
      <c r="F24" s="226">
        <v>185621.28485687601</v>
      </c>
      <c r="G24" s="226">
        <v>28.051808975785399</v>
      </c>
      <c r="H24" s="226">
        <v>701.29522439463506</v>
      </c>
      <c r="I24" s="226">
        <v>29.406263696053902</v>
      </c>
      <c r="J24" s="226">
        <v>8763.0665814240692</v>
      </c>
      <c r="K24" s="226">
        <v>0</v>
      </c>
      <c r="L24" s="226">
        <v>0</v>
      </c>
      <c r="M24" s="226">
        <v>0</v>
      </c>
      <c r="N24" s="226">
        <v>0</v>
      </c>
      <c r="O24" s="226">
        <v>195085.64666269501</v>
      </c>
      <c r="P24" s="241"/>
    </row>
    <row r="25" spans="1:16" s="234" customFormat="1" ht="12.75" x14ac:dyDescent="0.2">
      <c r="A25" s="228"/>
      <c r="B25" s="232" t="s">
        <v>739</v>
      </c>
      <c r="C25" s="229"/>
      <c r="F25" s="231">
        <v>7567.7042695333603</v>
      </c>
      <c r="G25" s="231">
        <v>0.314747817774303</v>
      </c>
      <c r="H25" s="231">
        <v>7.8686954443575798</v>
      </c>
      <c r="I25" s="231">
        <v>0.22571562789189001</v>
      </c>
      <c r="J25" s="231">
        <v>67.263257111783204</v>
      </c>
      <c r="K25" s="231">
        <v>0</v>
      </c>
      <c r="L25" s="231">
        <v>0</v>
      </c>
      <c r="M25" s="231">
        <v>0</v>
      </c>
      <c r="N25" s="231">
        <v>0</v>
      </c>
      <c r="O25" s="231">
        <v>7642.8362220894996</v>
      </c>
    </row>
    <row r="26" spans="1:16" s="234" customFormat="1" ht="12.75" x14ac:dyDescent="0.2">
      <c r="A26" s="228"/>
      <c r="B26" s="229" t="s">
        <v>740</v>
      </c>
      <c r="C26" s="229"/>
      <c r="F26" s="231">
        <v>128283.66469998501</v>
      </c>
      <c r="G26" s="231">
        <v>10.8255251383243</v>
      </c>
      <c r="H26" s="231">
        <v>270.63812845810901</v>
      </c>
      <c r="I26" s="231">
        <v>17.217426305390401</v>
      </c>
      <c r="J26" s="231">
        <v>5130.7930390063302</v>
      </c>
      <c r="K26" s="231">
        <v>0</v>
      </c>
      <c r="L26" s="231">
        <v>0</v>
      </c>
      <c r="M26" s="231">
        <v>0</v>
      </c>
      <c r="N26" s="231">
        <v>0</v>
      </c>
      <c r="O26" s="231">
        <v>133685.09586744901</v>
      </c>
    </row>
    <row r="27" spans="1:16" s="237" customFormat="1" ht="12" x14ac:dyDescent="0.2">
      <c r="A27" s="235"/>
      <c r="B27" s="230"/>
      <c r="C27" s="236" t="s">
        <v>741</v>
      </c>
      <c r="F27" s="238">
        <v>40991.362145723499</v>
      </c>
      <c r="G27" s="238">
        <v>4.35560470532302</v>
      </c>
      <c r="H27" s="238">
        <v>108.890117633076</v>
      </c>
      <c r="I27" s="238">
        <v>7.0406423196582697</v>
      </c>
      <c r="J27" s="238">
        <v>2098.1114112581699</v>
      </c>
      <c r="K27" s="238">
        <v>0</v>
      </c>
      <c r="L27" s="238">
        <v>0</v>
      </c>
      <c r="M27" s="238">
        <v>0</v>
      </c>
      <c r="N27" s="238">
        <v>0</v>
      </c>
      <c r="O27" s="238">
        <v>43198.363674614702</v>
      </c>
    </row>
    <row r="28" spans="1:16" s="237" customFormat="1" ht="12" x14ac:dyDescent="0.2">
      <c r="A28" s="235"/>
      <c r="B28" s="230"/>
      <c r="C28" s="236" t="s">
        <v>742</v>
      </c>
      <c r="F28" s="238">
        <v>37240.635338549997</v>
      </c>
      <c r="G28" s="238">
        <v>3.82305813675318</v>
      </c>
      <c r="H28" s="238">
        <v>95.576453418829402</v>
      </c>
      <c r="I28" s="238">
        <v>7.4681382643156304</v>
      </c>
      <c r="J28" s="238">
        <v>2225.5052027660599</v>
      </c>
      <c r="K28" s="238">
        <v>0</v>
      </c>
      <c r="L28" s="238">
        <v>0</v>
      </c>
      <c r="M28" s="238">
        <v>0</v>
      </c>
      <c r="N28" s="238">
        <v>0</v>
      </c>
      <c r="O28" s="238">
        <v>39561.716994734903</v>
      </c>
    </row>
    <row r="29" spans="1:16" s="237" customFormat="1" ht="12" x14ac:dyDescent="0.2">
      <c r="A29" s="235"/>
      <c r="B29" s="230"/>
      <c r="C29" s="236" t="s">
        <v>743</v>
      </c>
      <c r="F29" s="238">
        <v>11857.2992375473</v>
      </c>
      <c r="G29" s="238">
        <v>0.77258273686353596</v>
      </c>
      <c r="H29" s="238">
        <v>19.314568421588401</v>
      </c>
      <c r="I29" s="238">
        <v>0.77237846130833498</v>
      </c>
      <c r="J29" s="238">
        <v>230.16878146988401</v>
      </c>
      <c r="K29" s="238">
        <v>0</v>
      </c>
      <c r="L29" s="238">
        <v>0</v>
      </c>
      <c r="M29" s="238">
        <v>0</v>
      </c>
      <c r="N29" s="238">
        <v>0</v>
      </c>
      <c r="O29" s="238">
        <v>12106.7825874388</v>
      </c>
    </row>
    <row r="30" spans="1:16" s="237" customFormat="1" ht="12" x14ac:dyDescent="0.2">
      <c r="A30" s="235"/>
      <c r="B30" s="230"/>
      <c r="C30" s="236" t="s">
        <v>744</v>
      </c>
      <c r="F30" s="238">
        <v>208.01275637394801</v>
      </c>
      <c r="G30" s="238">
        <v>0.100667480145747</v>
      </c>
      <c r="H30" s="238">
        <v>2.5166870036436699</v>
      </c>
      <c r="I30" s="238">
        <v>3.8481959991801301E-3</v>
      </c>
      <c r="J30" s="238">
        <v>1.1467624077556799</v>
      </c>
      <c r="K30" s="238">
        <v>0</v>
      </c>
      <c r="L30" s="238">
        <v>0</v>
      </c>
      <c r="M30" s="238">
        <v>0</v>
      </c>
      <c r="N30" s="238">
        <v>0</v>
      </c>
      <c r="O30" s="238">
        <v>211.67620578534701</v>
      </c>
      <c r="P30" s="242"/>
    </row>
    <row r="31" spans="1:16" s="237" customFormat="1" ht="12" x14ac:dyDescent="0.2">
      <c r="A31" s="235"/>
      <c r="B31" s="230"/>
      <c r="C31" s="236" t="s">
        <v>745</v>
      </c>
      <c r="F31" s="238">
        <v>598.49624552826799</v>
      </c>
      <c r="G31" s="238">
        <v>1.2505920198801999E-2</v>
      </c>
      <c r="H31" s="238">
        <v>0.31264800497005002</v>
      </c>
      <c r="I31" s="238">
        <v>4.7705352778827301E-2</v>
      </c>
      <c r="J31" s="238">
        <v>14.216195128090501</v>
      </c>
      <c r="K31" s="238">
        <v>0</v>
      </c>
      <c r="L31" s="238">
        <v>0</v>
      </c>
      <c r="M31" s="238">
        <v>0</v>
      </c>
      <c r="N31" s="238">
        <v>0</v>
      </c>
      <c r="O31" s="238">
        <v>613.02508866132905</v>
      </c>
    </row>
    <row r="32" spans="1:16" s="237" customFormat="1" ht="12" x14ac:dyDescent="0.2">
      <c r="A32" s="235"/>
      <c r="B32" s="230"/>
      <c r="C32" s="236" t="s">
        <v>746</v>
      </c>
      <c r="D32" s="243"/>
      <c r="E32" s="243"/>
      <c r="F32" s="244">
        <v>316.84766714635902</v>
      </c>
      <c r="G32" s="244">
        <v>8.0593461669925606E-3</v>
      </c>
      <c r="H32" s="244">
        <v>0.20148365417481401</v>
      </c>
      <c r="I32" s="244">
        <v>2.4806140209034801E-2</v>
      </c>
      <c r="J32" s="244">
        <v>7.3922297822923699</v>
      </c>
      <c r="K32" s="244">
        <v>0</v>
      </c>
      <c r="L32" s="244">
        <v>0</v>
      </c>
      <c r="M32" s="244">
        <v>0</v>
      </c>
      <c r="N32" s="244">
        <v>0</v>
      </c>
      <c r="O32" s="244">
        <v>324.44138058282698</v>
      </c>
    </row>
    <row r="33" spans="1:15" s="237" customFormat="1" ht="12" x14ac:dyDescent="0.2">
      <c r="A33" s="235"/>
      <c r="B33" s="230"/>
      <c r="C33" s="236" t="s">
        <v>747</v>
      </c>
      <c r="D33" s="243"/>
      <c r="E33" s="243"/>
      <c r="F33" s="244">
        <v>36666.776357919603</v>
      </c>
      <c r="G33" s="244">
        <v>1.5778756428160701</v>
      </c>
      <c r="H33" s="244">
        <v>39.446891070401797</v>
      </c>
      <c r="I33" s="244">
        <v>1.85242492583531</v>
      </c>
      <c r="J33" s="244">
        <v>552.02262789892302</v>
      </c>
      <c r="K33" s="244">
        <v>0</v>
      </c>
      <c r="L33" s="244">
        <v>0</v>
      </c>
      <c r="M33" s="244">
        <v>0</v>
      </c>
      <c r="N33" s="244">
        <v>0</v>
      </c>
      <c r="O33" s="244">
        <v>37258.245876888999</v>
      </c>
    </row>
    <row r="34" spans="1:15" s="237" customFormat="1" ht="12" x14ac:dyDescent="0.2">
      <c r="A34" s="235"/>
      <c r="B34" s="230"/>
      <c r="C34" s="245" t="s">
        <v>748</v>
      </c>
      <c r="D34" s="243"/>
      <c r="E34" s="243"/>
      <c r="F34" s="244">
        <v>404.23495119557799</v>
      </c>
      <c r="G34" s="244">
        <v>0.175171170057</v>
      </c>
      <c r="H34" s="244">
        <v>4.3792792514249896</v>
      </c>
      <c r="I34" s="244">
        <v>7.4826452857591104E-3</v>
      </c>
      <c r="J34" s="244">
        <v>2.2298282951562101</v>
      </c>
      <c r="K34" s="244">
        <v>0</v>
      </c>
      <c r="L34" s="244">
        <v>0</v>
      </c>
      <c r="M34" s="244">
        <v>0</v>
      </c>
      <c r="N34" s="244">
        <v>0</v>
      </c>
      <c r="O34" s="244">
        <v>410.84405874215901</v>
      </c>
    </row>
    <row r="35" spans="1:15" s="249" customFormat="1" ht="12.75" x14ac:dyDescent="0.2">
      <c r="A35" s="228"/>
      <c r="B35" s="229" t="s">
        <v>749</v>
      </c>
      <c r="C35" s="246"/>
      <c r="D35" s="247"/>
      <c r="E35" s="247"/>
      <c r="F35" s="248">
        <v>5922.59820728667</v>
      </c>
      <c r="G35" s="248">
        <v>0.33248747041460802</v>
      </c>
      <c r="H35" s="248">
        <v>8.3121867603652007</v>
      </c>
      <c r="I35" s="248">
        <v>2.2921818324609702</v>
      </c>
      <c r="J35" s="248">
        <v>683.07018607337</v>
      </c>
      <c r="K35" s="248">
        <v>0</v>
      </c>
      <c r="L35" s="248">
        <v>0</v>
      </c>
      <c r="M35" s="248">
        <v>0</v>
      </c>
      <c r="N35" s="248">
        <v>0</v>
      </c>
      <c r="O35" s="248">
        <v>6613.9805801204002</v>
      </c>
    </row>
    <row r="36" spans="1:15" s="249" customFormat="1" ht="12.75" x14ac:dyDescent="0.2">
      <c r="A36" s="228"/>
      <c r="B36" s="232" t="s">
        <v>750</v>
      </c>
      <c r="C36" s="246"/>
      <c r="D36" s="247"/>
      <c r="E36" s="247"/>
      <c r="F36" s="248">
        <v>6315.0103602955796</v>
      </c>
      <c r="G36" s="248">
        <v>0.58082567774447502</v>
      </c>
      <c r="H36" s="248">
        <v>14.520641943611899</v>
      </c>
      <c r="I36" s="248">
        <v>0.165950541101168</v>
      </c>
      <c r="J36" s="248">
        <v>49.453261248148003</v>
      </c>
      <c r="K36" s="248">
        <v>0</v>
      </c>
      <c r="L36" s="248">
        <v>0</v>
      </c>
      <c r="M36" s="248">
        <v>0</v>
      </c>
      <c r="N36" s="248">
        <v>0</v>
      </c>
      <c r="O36" s="248">
        <v>6378.9842634873403</v>
      </c>
    </row>
    <row r="37" spans="1:15" s="234" customFormat="1" ht="12.75" x14ac:dyDescent="0.2">
      <c r="A37" s="228"/>
      <c r="B37" s="229" t="s">
        <v>751</v>
      </c>
      <c r="C37" s="250"/>
      <c r="D37" s="251"/>
      <c r="E37" s="251"/>
      <c r="F37" s="252">
        <v>37532.307319775799</v>
      </c>
      <c r="G37" s="252">
        <v>15.9982228715277</v>
      </c>
      <c r="H37" s="252">
        <v>399.955571788192</v>
      </c>
      <c r="I37" s="252">
        <v>9.5049893892095305</v>
      </c>
      <c r="J37" s="252">
        <v>2832.4868379844402</v>
      </c>
      <c r="K37" s="252">
        <v>0</v>
      </c>
      <c r="L37" s="252">
        <v>0</v>
      </c>
      <c r="M37" s="252">
        <v>0</v>
      </c>
      <c r="N37" s="252">
        <v>0</v>
      </c>
      <c r="O37" s="252">
        <v>40764.749729548501</v>
      </c>
    </row>
    <row r="38" spans="1:15" s="237" customFormat="1" ht="12" x14ac:dyDescent="0.2">
      <c r="A38" s="235"/>
      <c r="B38" s="230"/>
      <c r="C38" s="236" t="s">
        <v>752</v>
      </c>
      <c r="F38" s="238">
        <v>11375.6048108947</v>
      </c>
      <c r="G38" s="238">
        <v>0.68162127919482995</v>
      </c>
      <c r="H38" s="238">
        <v>17.040531979870799</v>
      </c>
      <c r="I38" s="238">
        <v>4.3881250321730896</v>
      </c>
      <c r="J38" s="238">
        <v>1307.6612595875799</v>
      </c>
      <c r="K38" s="238">
        <v>0</v>
      </c>
      <c r="L38" s="238">
        <v>0</v>
      </c>
      <c r="M38" s="238">
        <v>0</v>
      </c>
      <c r="N38" s="238">
        <v>0</v>
      </c>
      <c r="O38" s="238">
        <v>12700.3066024622</v>
      </c>
    </row>
    <row r="39" spans="1:15" s="237" customFormat="1" ht="12" x14ac:dyDescent="0.2">
      <c r="A39" s="235"/>
      <c r="B39" s="230"/>
      <c r="C39" s="236" t="s">
        <v>753</v>
      </c>
      <c r="F39" s="238">
        <v>1706.29979464801</v>
      </c>
      <c r="G39" s="238">
        <v>0.99345683035337395</v>
      </c>
      <c r="H39" s="238">
        <v>24.836420758834301</v>
      </c>
      <c r="I39" s="238">
        <v>0.466648656595402</v>
      </c>
      <c r="J39" s="238">
        <v>139.06129966543</v>
      </c>
      <c r="K39" s="238">
        <v>0</v>
      </c>
      <c r="L39" s="238">
        <v>0</v>
      </c>
      <c r="M39" s="238">
        <v>0</v>
      </c>
      <c r="N39" s="238">
        <v>0</v>
      </c>
      <c r="O39" s="238">
        <v>1870.1975150722801</v>
      </c>
    </row>
    <row r="40" spans="1:15" s="237" customFormat="1" ht="12" x14ac:dyDescent="0.2">
      <c r="A40" s="235"/>
      <c r="B40" s="230"/>
      <c r="C40" s="236" t="s">
        <v>754</v>
      </c>
      <c r="F40" s="238">
        <v>9950.0400091029496</v>
      </c>
      <c r="G40" s="238">
        <v>0.70635110943693802</v>
      </c>
      <c r="H40" s="238">
        <v>17.658777735923401</v>
      </c>
      <c r="I40" s="238">
        <v>3.73279358273482</v>
      </c>
      <c r="J40" s="238">
        <v>1112.37248765498</v>
      </c>
      <c r="K40" s="238">
        <v>0</v>
      </c>
      <c r="L40" s="238">
        <v>0</v>
      </c>
      <c r="M40" s="238">
        <v>0</v>
      </c>
      <c r="N40" s="238">
        <v>0</v>
      </c>
      <c r="O40" s="238">
        <v>11080.071274493899</v>
      </c>
    </row>
    <row r="41" spans="1:15" s="237" customFormat="1" ht="12" x14ac:dyDescent="0.2">
      <c r="A41" s="235"/>
      <c r="B41" s="230"/>
      <c r="C41" s="236" t="s">
        <v>755</v>
      </c>
      <c r="F41" s="238">
        <v>613.12064126448195</v>
      </c>
      <c r="G41" s="238">
        <v>0.53986900235629398</v>
      </c>
      <c r="H41" s="238">
        <v>13.4967250589073</v>
      </c>
      <c r="I41" s="238">
        <v>7.2144610759265801E-2</v>
      </c>
      <c r="J41" s="238">
        <v>21.499094006261199</v>
      </c>
      <c r="K41" s="238">
        <v>0</v>
      </c>
      <c r="L41" s="238">
        <v>0</v>
      </c>
      <c r="M41" s="238">
        <v>0</v>
      </c>
      <c r="N41" s="238">
        <v>0</v>
      </c>
      <c r="O41" s="238">
        <v>648.11646032965098</v>
      </c>
    </row>
    <row r="42" spans="1:15" s="237" customFormat="1" ht="12" x14ac:dyDescent="0.2">
      <c r="A42" s="235"/>
      <c r="B42" s="230"/>
      <c r="C42" s="236" t="s">
        <v>756</v>
      </c>
      <c r="F42" s="238">
        <v>4058.3690638656699</v>
      </c>
      <c r="G42" s="238">
        <v>3.23710157518624</v>
      </c>
      <c r="H42" s="238">
        <v>80.927539379655897</v>
      </c>
      <c r="I42" s="238">
        <v>0.58209050694694198</v>
      </c>
      <c r="J42" s="238">
        <v>173.46297107018901</v>
      </c>
      <c r="K42" s="238">
        <v>0</v>
      </c>
      <c r="L42" s="238">
        <v>0</v>
      </c>
      <c r="M42" s="238">
        <v>0</v>
      </c>
      <c r="N42" s="238">
        <v>0</v>
      </c>
      <c r="O42" s="238">
        <v>4312.7595743155198</v>
      </c>
    </row>
    <row r="43" spans="1:15" s="237" customFormat="1" ht="12" x14ac:dyDescent="0.2">
      <c r="A43" s="235"/>
      <c r="B43" s="230"/>
      <c r="C43" s="253" t="s">
        <v>757</v>
      </c>
      <c r="F43" s="238">
        <v>9828.8729999999996</v>
      </c>
      <c r="G43" s="238">
        <v>9.839823075</v>
      </c>
      <c r="H43" s="238">
        <v>245.99557687500001</v>
      </c>
      <c r="I43" s="238">
        <v>0.263187</v>
      </c>
      <c r="J43" s="238">
        <v>78.429726000000002</v>
      </c>
      <c r="K43" s="238">
        <v>0</v>
      </c>
      <c r="L43" s="238">
        <v>0</v>
      </c>
      <c r="M43" s="238">
        <v>0</v>
      </c>
      <c r="N43" s="238">
        <v>0</v>
      </c>
      <c r="O43" s="238">
        <v>10153.298302875</v>
      </c>
    </row>
    <row r="44" spans="1:15" s="240" customFormat="1" ht="12.75" x14ac:dyDescent="0.2">
      <c r="A44" s="224" t="s">
        <v>758</v>
      </c>
      <c r="B44" s="225" t="s">
        <v>759</v>
      </c>
      <c r="C44" s="225"/>
      <c r="F44" s="226">
        <v>14904.0880937314</v>
      </c>
      <c r="G44" s="226">
        <v>1836.25974392993</v>
      </c>
      <c r="H44" s="226">
        <v>45906.493598248198</v>
      </c>
      <c r="I44" s="226">
        <v>0.12781495578311899</v>
      </c>
      <c r="J44" s="226">
        <v>38.088856823369397</v>
      </c>
      <c r="K44" s="226">
        <v>0</v>
      </c>
      <c r="L44" s="226">
        <v>0</v>
      </c>
      <c r="M44" s="226">
        <v>0</v>
      </c>
      <c r="N44" s="226">
        <v>0</v>
      </c>
      <c r="O44" s="226">
        <v>60848.670548802897</v>
      </c>
    </row>
    <row r="45" spans="1:15" s="234" customFormat="1" ht="12.75" x14ac:dyDescent="0.2">
      <c r="A45" s="228"/>
      <c r="B45" s="229" t="s">
        <v>760</v>
      </c>
      <c r="C45" s="229"/>
      <c r="F45" s="231">
        <v>0</v>
      </c>
      <c r="G45" s="231">
        <v>55.691669086478001</v>
      </c>
      <c r="H45" s="231">
        <v>1392.2917271619499</v>
      </c>
      <c r="I45" s="231">
        <v>0</v>
      </c>
      <c r="J45" s="231">
        <v>0</v>
      </c>
      <c r="K45" s="231">
        <v>0</v>
      </c>
      <c r="L45" s="231">
        <v>0</v>
      </c>
      <c r="M45" s="231">
        <v>0</v>
      </c>
      <c r="N45" s="231">
        <v>0</v>
      </c>
      <c r="O45" s="231">
        <v>1392.2917271619499</v>
      </c>
    </row>
    <row r="46" spans="1:15" s="234" customFormat="1" ht="12.75" x14ac:dyDescent="0.2">
      <c r="A46" s="228"/>
      <c r="B46" s="229" t="s">
        <v>761</v>
      </c>
      <c r="C46" s="229"/>
      <c r="F46" s="231">
        <v>14904.0880937314</v>
      </c>
      <c r="G46" s="231">
        <v>1780.5680748434499</v>
      </c>
      <c r="H46" s="231">
        <v>44514.201871086298</v>
      </c>
      <c r="I46" s="231">
        <v>0.12781495578311899</v>
      </c>
      <c r="J46" s="231">
        <v>38.088856823369397</v>
      </c>
      <c r="K46" s="231">
        <v>0</v>
      </c>
      <c r="L46" s="231">
        <v>0</v>
      </c>
      <c r="M46" s="231">
        <v>0</v>
      </c>
      <c r="N46" s="231">
        <v>0</v>
      </c>
      <c r="O46" s="231">
        <v>59456.378821641003</v>
      </c>
    </row>
    <row r="47" spans="1:15" s="237" customFormat="1" ht="12" x14ac:dyDescent="0.2">
      <c r="A47" s="254"/>
      <c r="B47" s="255"/>
      <c r="C47" s="230" t="s">
        <v>762</v>
      </c>
      <c r="F47" s="238">
        <v>166.72374626253301</v>
      </c>
      <c r="G47" s="238">
        <v>248.60414805453499</v>
      </c>
      <c r="H47" s="238">
        <v>6215.1037013633804</v>
      </c>
      <c r="I47" s="238">
        <v>0.11470260952899999</v>
      </c>
      <c r="J47" s="238">
        <v>34.181377639642001</v>
      </c>
      <c r="K47" s="238">
        <v>0</v>
      </c>
      <c r="L47" s="238">
        <v>0</v>
      </c>
      <c r="M47" s="238">
        <v>0</v>
      </c>
      <c r="N47" s="238">
        <v>0</v>
      </c>
      <c r="O47" s="238">
        <v>6416.0088252655596</v>
      </c>
    </row>
    <row r="48" spans="1:15" s="237" customFormat="1" ht="12" x14ac:dyDescent="0.2">
      <c r="A48" s="254"/>
      <c r="B48" s="255"/>
      <c r="C48" s="230" t="s">
        <v>763</v>
      </c>
      <c r="F48" s="238">
        <v>56.551318960569397</v>
      </c>
      <c r="G48" s="238">
        <v>545.33869191308497</v>
      </c>
      <c r="H48" s="238">
        <v>13633.467297827099</v>
      </c>
      <c r="I48" s="238">
        <v>0</v>
      </c>
      <c r="J48" s="238">
        <v>0</v>
      </c>
      <c r="K48" s="238">
        <v>0</v>
      </c>
      <c r="L48" s="238">
        <v>0</v>
      </c>
      <c r="M48" s="238">
        <v>0</v>
      </c>
      <c r="N48" s="238">
        <v>0</v>
      </c>
      <c r="O48" s="238">
        <v>13690.0186167877</v>
      </c>
    </row>
    <row r="49" spans="1:16" s="237" customFormat="1" ht="12" x14ac:dyDescent="0.2">
      <c r="A49" s="256"/>
      <c r="B49" s="257"/>
      <c r="C49" s="258" t="s">
        <v>380</v>
      </c>
      <c r="D49" s="243"/>
      <c r="E49" s="243"/>
      <c r="F49" s="244">
        <v>9872.7875396570598</v>
      </c>
      <c r="G49" s="244">
        <v>965.40668219205099</v>
      </c>
      <c r="H49" s="244">
        <v>24135.167054801299</v>
      </c>
      <c r="I49" s="244">
        <v>0</v>
      </c>
      <c r="J49" s="244">
        <v>0</v>
      </c>
      <c r="K49" s="244">
        <v>0</v>
      </c>
      <c r="L49" s="244">
        <v>0</v>
      </c>
      <c r="M49" s="244">
        <v>0</v>
      </c>
      <c r="N49" s="244">
        <v>0</v>
      </c>
      <c r="O49" s="244">
        <v>34007.954594458301</v>
      </c>
    </row>
    <row r="50" spans="1:16" s="237" customFormat="1" ht="12" x14ac:dyDescent="0.2">
      <c r="A50" s="256"/>
      <c r="B50" s="257"/>
      <c r="C50" s="258" t="s">
        <v>381</v>
      </c>
      <c r="D50" s="243"/>
      <c r="E50" s="243"/>
      <c r="F50" s="244">
        <v>4808.0254888511899</v>
      </c>
      <c r="G50" s="244">
        <v>21.2185526837795</v>
      </c>
      <c r="H50" s="244">
        <v>530.46381709448804</v>
      </c>
      <c r="I50" s="244">
        <v>1.3112346254118799E-2</v>
      </c>
      <c r="J50" s="244">
        <v>3.9074791837273901</v>
      </c>
      <c r="K50" s="244">
        <v>0</v>
      </c>
      <c r="L50" s="244">
        <v>0</v>
      </c>
      <c r="M50" s="244">
        <v>0</v>
      </c>
      <c r="N50" s="244">
        <v>0</v>
      </c>
      <c r="O50" s="244">
        <v>5342.3967851294001</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39826.346417725101</v>
      </c>
      <c r="G52" s="266">
        <v>3.6149658019455102</v>
      </c>
      <c r="H52" s="266">
        <v>90.3741450486377</v>
      </c>
      <c r="I52" s="266">
        <v>13.8448693121872</v>
      </c>
      <c r="J52" s="266">
        <v>4125.7710550317997</v>
      </c>
      <c r="K52" s="266">
        <v>5096.7747410633201</v>
      </c>
      <c r="L52" s="266">
        <v>3839.2630598937599</v>
      </c>
      <c r="M52" s="266">
        <v>1417.36185603699</v>
      </c>
      <c r="N52" s="266">
        <v>0.19439720933333399</v>
      </c>
      <c r="O52" s="266">
        <v>54396.085672009001</v>
      </c>
    </row>
    <row r="53" spans="1:16" s="240" customFormat="1" ht="12.75" x14ac:dyDescent="0.2">
      <c r="A53" s="224" t="s">
        <v>724</v>
      </c>
      <c r="B53" s="225" t="s">
        <v>767</v>
      </c>
      <c r="C53" s="225"/>
      <c r="D53" s="268"/>
      <c r="E53" s="268"/>
      <c r="F53" s="269">
        <v>10217.893388852</v>
      </c>
      <c r="G53" s="269">
        <v>0</v>
      </c>
      <c r="H53" s="269">
        <v>0</v>
      </c>
      <c r="I53" s="269">
        <v>0</v>
      </c>
      <c r="J53" s="269">
        <v>0</v>
      </c>
      <c r="K53" s="269">
        <v>0</v>
      </c>
      <c r="L53" s="269">
        <v>0</v>
      </c>
      <c r="M53" s="269">
        <v>0</v>
      </c>
      <c r="N53" s="269">
        <v>0</v>
      </c>
      <c r="O53" s="269">
        <v>10217.893388852</v>
      </c>
    </row>
    <row r="54" spans="1:16" s="273" customFormat="1" ht="12" x14ac:dyDescent="0.2">
      <c r="A54" s="235"/>
      <c r="B54" s="270"/>
      <c r="C54" s="236" t="s">
        <v>560</v>
      </c>
      <c r="D54" s="271"/>
      <c r="E54" s="271"/>
      <c r="F54" s="272">
        <v>7599.11562879137</v>
      </c>
      <c r="G54" s="272">
        <v>0</v>
      </c>
      <c r="H54" s="272">
        <v>0</v>
      </c>
      <c r="I54" s="272">
        <v>0</v>
      </c>
      <c r="J54" s="272">
        <v>0</v>
      </c>
      <c r="K54" s="272">
        <v>0</v>
      </c>
      <c r="L54" s="272">
        <v>0</v>
      </c>
      <c r="M54" s="272">
        <v>0</v>
      </c>
      <c r="N54" s="272">
        <v>0</v>
      </c>
      <c r="O54" s="272">
        <v>7599.11562879137</v>
      </c>
      <c r="P54" s="271"/>
    </row>
    <row r="55" spans="1:16" s="273" customFormat="1" ht="12" x14ac:dyDescent="0.2">
      <c r="A55" s="235"/>
      <c r="B55" s="270"/>
      <c r="C55" s="236" t="s">
        <v>191</v>
      </c>
      <c r="D55" s="271"/>
      <c r="E55" s="271"/>
      <c r="F55" s="272">
        <v>1707.97165366115</v>
      </c>
      <c r="G55" s="272">
        <v>0</v>
      </c>
      <c r="H55" s="272">
        <v>0</v>
      </c>
      <c r="I55" s="272">
        <v>0</v>
      </c>
      <c r="J55" s="272">
        <v>0</v>
      </c>
      <c r="K55" s="272">
        <v>0</v>
      </c>
      <c r="L55" s="272">
        <v>0</v>
      </c>
      <c r="M55" s="272">
        <v>0</v>
      </c>
      <c r="N55" s="272">
        <v>0</v>
      </c>
      <c r="O55" s="272">
        <v>1707.97165366115</v>
      </c>
      <c r="P55" s="271"/>
    </row>
    <row r="56" spans="1:16" s="273" customFormat="1" ht="12" x14ac:dyDescent="0.2">
      <c r="A56" s="235"/>
      <c r="B56" s="270"/>
      <c r="C56" s="236" t="s">
        <v>768</v>
      </c>
      <c r="D56" s="271"/>
      <c r="E56" s="271"/>
      <c r="F56" s="272">
        <v>910.806106399447</v>
      </c>
      <c r="G56" s="272">
        <v>0</v>
      </c>
      <c r="H56" s="272">
        <v>0</v>
      </c>
      <c r="I56" s="272">
        <v>0</v>
      </c>
      <c r="J56" s="272">
        <v>0</v>
      </c>
      <c r="K56" s="272">
        <v>0</v>
      </c>
      <c r="L56" s="272">
        <v>0</v>
      </c>
      <c r="M56" s="272">
        <v>0</v>
      </c>
      <c r="N56" s="272">
        <v>0</v>
      </c>
      <c r="O56" s="272">
        <v>910.806106399447</v>
      </c>
      <c r="P56" s="271"/>
    </row>
    <row r="57" spans="1:16" s="275" customFormat="1" ht="12.75" x14ac:dyDescent="0.2">
      <c r="A57" s="224" t="s">
        <v>737</v>
      </c>
      <c r="B57" s="225" t="s">
        <v>769</v>
      </c>
      <c r="C57" s="225"/>
      <c r="D57" s="274"/>
      <c r="E57" s="274"/>
      <c r="F57" s="269">
        <v>5621.8586995273799</v>
      </c>
      <c r="G57" s="269">
        <v>3.5215758019455099</v>
      </c>
      <c r="H57" s="269">
        <v>88.039395048637701</v>
      </c>
      <c r="I57" s="269">
        <v>12.625521787274</v>
      </c>
      <c r="J57" s="269">
        <v>3762.4054926076401</v>
      </c>
      <c r="K57" s="269">
        <v>0</v>
      </c>
      <c r="L57" s="269">
        <v>0</v>
      </c>
      <c r="M57" s="269">
        <v>0</v>
      </c>
      <c r="N57" s="269">
        <v>0</v>
      </c>
      <c r="O57" s="269">
        <v>9472.3035871836601</v>
      </c>
      <c r="P57" s="274"/>
    </row>
    <row r="58" spans="1:16" s="277" customFormat="1" ht="12" x14ac:dyDescent="0.2">
      <c r="A58" s="235"/>
      <c r="B58" s="270"/>
      <c r="C58" s="236" t="s">
        <v>192</v>
      </c>
      <c r="D58" s="276"/>
      <c r="E58" s="276"/>
      <c r="F58" s="272">
        <v>2707.3524008064701</v>
      </c>
      <c r="G58" s="272">
        <v>0</v>
      </c>
      <c r="H58" s="272">
        <v>0</v>
      </c>
      <c r="I58" s="272">
        <v>0</v>
      </c>
      <c r="J58" s="272">
        <v>0</v>
      </c>
      <c r="K58" s="272">
        <v>0</v>
      </c>
      <c r="L58" s="272">
        <v>0</v>
      </c>
      <c r="M58" s="272">
        <v>0</v>
      </c>
      <c r="N58" s="272">
        <v>0</v>
      </c>
      <c r="O58" s="272">
        <v>2707.3524008064701</v>
      </c>
      <c r="P58" s="276"/>
    </row>
    <row r="59" spans="1:16" s="277" customFormat="1" ht="12" x14ac:dyDescent="0.2">
      <c r="A59" s="235"/>
      <c r="B59" s="270"/>
      <c r="C59" s="236" t="s">
        <v>190</v>
      </c>
      <c r="D59" s="276"/>
      <c r="E59" s="276"/>
      <c r="F59" s="272">
        <v>0</v>
      </c>
      <c r="G59" s="272">
        <v>0</v>
      </c>
      <c r="H59" s="272">
        <v>0</v>
      </c>
      <c r="I59" s="272">
        <v>4.0374894360000004</v>
      </c>
      <c r="J59" s="272">
        <v>1203.171851928</v>
      </c>
      <c r="K59" s="272">
        <v>0</v>
      </c>
      <c r="L59" s="272">
        <v>0</v>
      </c>
      <c r="M59" s="272">
        <v>0</v>
      </c>
      <c r="N59" s="272">
        <v>0</v>
      </c>
      <c r="O59" s="272">
        <v>1203.171851928</v>
      </c>
      <c r="P59" s="276"/>
    </row>
    <row r="60" spans="1:16" s="277" customFormat="1" ht="12" x14ac:dyDescent="0.2">
      <c r="A60" s="235"/>
      <c r="B60" s="270"/>
      <c r="C60" s="236" t="s">
        <v>770</v>
      </c>
      <c r="D60" s="276"/>
      <c r="E60" s="276"/>
      <c r="F60" s="272">
        <v>0</v>
      </c>
      <c r="G60" s="272">
        <v>0</v>
      </c>
      <c r="H60" s="272">
        <v>0</v>
      </c>
      <c r="I60" s="272">
        <v>8.5440000000000005</v>
      </c>
      <c r="J60" s="272">
        <v>2546.1120000000001</v>
      </c>
      <c r="K60" s="272">
        <v>0</v>
      </c>
      <c r="L60" s="272">
        <v>0</v>
      </c>
      <c r="M60" s="272">
        <v>0</v>
      </c>
      <c r="N60" s="272">
        <v>0</v>
      </c>
      <c r="O60" s="272">
        <v>2546.1120000000001</v>
      </c>
      <c r="P60" s="276"/>
    </row>
    <row r="61" spans="1:16" s="277" customFormat="1" ht="12" x14ac:dyDescent="0.2">
      <c r="A61" s="235"/>
      <c r="B61" s="270"/>
      <c r="C61" s="236" t="s">
        <v>771</v>
      </c>
      <c r="D61" s="276"/>
      <c r="E61" s="276"/>
      <c r="F61" s="272">
        <v>2914.5062987209099</v>
      </c>
      <c r="G61" s="272">
        <v>3.5215758019455099</v>
      </c>
      <c r="H61" s="272">
        <v>88.039395048637701</v>
      </c>
      <c r="I61" s="272">
        <v>4.4032351273964897E-2</v>
      </c>
      <c r="J61" s="272">
        <v>13.1216406796415</v>
      </c>
      <c r="K61" s="272">
        <v>0</v>
      </c>
      <c r="L61" s="272">
        <v>0</v>
      </c>
      <c r="M61" s="272">
        <v>0</v>
      </c>
      <c r="N61" s="272">
        <v>0</v>
      </c>
      <c r="O61" s="272">
        <v>3015.6673344491901</v>
      </c>
      <c r="P61" s="276"/>
    </row>
    <row r="62" spans="1:16" s="240" customFormat="1" ht="12.75" x14ac:dyDescent="0.2">
      <c r="A62" s="224" t="s">
        <v>758</v>
      </c>
      <c r="B62" s="225" t="s">
        <v>772</v>
      </c>
      <c r="C62" s="225"/>
      <c r="D62" s="268"/>
      <c r="E62" s="268"/>
      <c r="F62" s="269">
        <v>15146.880778959499</v>
      </c>
      <c r="G62" s="269">
        <v>9.3390000000000001E-2</v>
      </c>
      <c r="H62" s="269">
        <v>2.3347500000000001</v>
      </c>
      <c r="I62" s="269">
        <v>0</v>
      </c>
      <c r="J62" s="269">
        <v>0</v>
      </c>
      <c r="K62" s="269">
        <v>0</v>
      </c>
      <c r="L62" s="269">
        <v>3828.8279120113302</v>
      </c>
      <c r="M62" s="269">
        <v>1249.6302652243501</v>
      </c>
      <c r="N62" s="269">
        <v>0</v>
      </c>
      <c r="O62" s="269">
        <v>20227.673706195201</v>
      </c>
      <c r="P62" s="268"/>
    </row>
    <row r="63" spans="1:16" s="273" customFormat="1" ht="12" x14ac:dyDescent="0.2">
      <c r="A63" s="235"/>
      <c r="B63" s="230"/>
      <c r="C63" s="230" t="s">
        <v>773</v>
      </c>
      <c r="D63" s="271"/>
      <c r="E63" s="271"/>
      <c r="F63" s="272">
        <v>10307.764560215401</v>
      </c>
      <c r="G63" s="272">
        <v>9.3390000000000001E-2</v>
      </c>
      <c r="H63" s="272">
        <v>2.3347500000000001</v>
      </c>
      <c r="I63" s="272">
        <v>0</v>
      </c>
      <c r="J63" s="272">
        <v>0</v>
      </c>
      <c r="K63" s="272">
        <v>0</v>
      </c>
      <c r="L63" s="272">
        <v>0</v>
      </c>
      <c r="M63" s="272">
        <v>0</v>
      </c>
      <c r="N63" s="272">
        <v>0</v>
      </c>
      <c r="O63" s="272">
        <v>10310.099310215401</v>
      </c>
      <c r="P63" s="271"/>
    </row>
    <row r="64" spans="1:16" s="273" customFormat="1" ht="12" x14ac:dyDescent="0.2">
      <c r="A64" s="235"/>
      <c r="B64" s="230"/>
      <c r="C64" s="230" t="s">
        <v>252</v>
      </c>
      <c r="D64" s="271"/>
      <c r="E64" s="271"/>
      <c r="F64" s="272">
        <v>4839.1162187440495</v>
      </c>
      <c r="G64" s="272">
        <v>0</v>
      </c>
      <c r="H64" s="272">
        <v>0</v>
      </c>
      <c r="I64" s="272">
        <v>0</v>
      </c>
      <c r="J64" s="272">
        <v>0</v>
      </c>
      <c r="K64" s="272">
        <v>0</v>
      </c>
      <c r="L64" s="272">
        <v>3828.8279120113302</v>
      </c>
      <c r="M64" s="272">
        <v>16.744319999999998</v>
      </c>
      <c r="N64" s="272">
        <v>0</v>
      </c>
      <c r="O64" s="272">
        <v>8684.6884507553696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1232.8859452243501</v>
      </c>
      <c r="N65" s="272">
        <v>0</v>
      </c>
      <c r="O65" s="272">
        <v>1232.8859452243501</v>
      </c>
      <c r="P65" s="271"/>
    </row>
    <row r="66" spans="1:16" s="234" customFormat="1" x14ac:dyDescent="0.25">
      <c r="A66" s="278" t="s">
        <v>764</v>
      </c>
      <c r="B66" s="279" t="s">
        <v>775</v>
      </c>
      <c r="C66" s="279"/>
      <c r="D66" s="251"/>
      <c r="E66" s="251"/>
      <c r="F66" s="252">
        <v>0</v>
      </c>
      <c r="G66" s="252">
        <v>0</v>
      </c>
      <c r="H66" s="252">
        <v>0</v>
      </c>
      <c r="I66" s="252">
        <v>0</v>
      </c>
      <c r="J66" s="252">
        <v>0</v>
      </c>
      <c r="K66" s="252">
        <v>5096.7747410633201</v>
      </c>
      <c r="L66" s="252">
        <v>7.4034687855449803</v>
      </c>
      <c r="M66" s="252">
        <v>4.06845710228915</v>
      </c>
      <c r="N66" s="252">
        <v>0.19439720933333399</v>
      </c>
      <c r="O66" s="252">
        <v>5108.44106416048</v>
      </c>
      <c r="P66" s="251"/>
    </row>
    <row r="67" spans="1:16" s="234" customFormat="1" ht="12.75" x14ac:dyDescent="0.2">
      <c r="A67" s="278" t="s">
        <v>776</v>
      </c>
      <c r="B67" s="279" t="s">
        <v>777</v>
      </c>
      <c r="C67" s="279"/>
      <c r="D67" s="251"/>
      <c r="E67" s="251"/>
      <c r="F67" s="252">
        <v>8839.7135503862901</v>
      </c>
      <c r="G67" s="252">
        <v>0</v>
      </c>
      <c r="H67" s="252">
        <v>0</v>
      </c>
      <c r="I67" s="252">
        <v>0</v>
      </c>
      <c r="J67" s="252">
        <v>0</v>
      </c>
      <c r="K67" s="252">
        <v>0</v>
      </c>
      <c r="L67" s="252">
        <v>0</v>
      </c>
      <c r="M67" s="252">
        <v>0</v>
      </c>
      <c r="N67" s="252">
        <v>0</v>
      </c>
      <c r="O67" s="252">
        <v>8839.7135503862901</v>
      </c>
      <c r="P67" s="251"/>
    </row>
    <row r="68" spans="1:16" s="234" customFormat="1" ht="12.75" x14ac:dyDescent="0.2">
      <c r="A68" s="259" t="s">
        <v>778</v>
      </c>
      <c r="B68" s="260" t="s">
        <v>779</v>
      </c>
      <c r="C68" s="260"/>
      <c r="D68" s="280"/>
      <c r="E68" s="280"/>
      <c r="F68" s="281">
        <v>0</v>
      </c>
      <c r="G68" s="281">
        <v>0</v>
      </c>
      <c r="H68" s="281">
        <v>0</v>
      </c>
      <c r="I68" s="281">
        <v>1.2193475249132699</v>
      </c>
      <c r="J68" s="281">
        <v>363.36556242415497</v>
      </c>
      <c r="K68" s="281">
        <v>0</v>
      </c>
      <c r="L68" s="281">
        <v>3.0316790968860698</v>
      </c>
      <c r="M68" s="281">
        <v>163.66313371035201</v>
      </c>
      <c r="N68" s="281">
        <v>0</v>
      </c>
      <c r="O68" s="281">
        <v>530.060375231394</v>
      </c>
      <c r="P68" s="251"/>
    </row>
    <row r="69" spans="1:16" s="267" customFormat="1" ht="12.75" x14ac:dyDescent="0.2">
      <c r="A69" s="282" t="s">
        <v>780</v>
      </c>
      <c r="B69" s="283"/>
      <c r="C69" s="283"/>
      <c r="D69" s="284"/>
      <c r="E69" s="284"/>
      <c r="F69" s="285">
        <v>1420.86316533333</v>
      </c>
      <c r="G69" s="285">
        <v>1426.74836364983</v>
      </c>
      <c r="H69" s="285">
        <v>35668.709091245699</v>
      </c>
      <c r="I69" s="285">
        <v>79.878457706089094</v>
      </c>
      <c r="J69" s="285">
        <v>23803.780396414499</v>
      </c>
      <c r="K69" s="285">
        <v>0</v>
      </c>
      <c r="L69" s="285">
        <v>0</v>
      </c>
      <c r="M69" s="285">
        <v>0</v>
      </c>
      <c r="N69" s="285">
        <v>0</v>
      </c>
      <c r="O69" s="285">
        <v>60893.352652993599</v>
      </c>
      <c r="P69" s="265"/>
    </row>
    <row r="70" spans="1:16" s="234" customFormat="1" ht="12.75" x14ac:dyDescent="0.2">
      <c r="A70" s="278" t="s">
        <v>724</v>
      </c>
      <c r="B70" s="279" t="s">
        <v>27</v>
      </c>
      <c r="C70" s="279"/>
      <c r="D70" s="251"/>
      <c r="E70" s="251"/>
      <c r="F70" s="252">
        <v>0</v>
      </c>
      <c r="G70" s="252">
        <v>1253.8859962756901</v>
      </c>
      <c r="H70" s="252">
        <v>31347.1499068923</v>
      </c>
      <c r="I70" s="252">
        <v>0</v>
      </c>
      <c r="J70" s="252">
        <v>0</v>
      </c>
      <c r="K70" s="252">
        <v>0</v>
      </c>
      <c r="L70" s="252">
        <v>0</v>
      </c>
      <c r="M70" s="252">
        <v>0</v>
      </c>
      <c r="N70" s="252">
        <v>0</v>
      </c>
      <c r="O70" s="252">
        <v>31347.1499068923</v>
      </c>
      <c r="P70" s="251"/>
    </row>
    <row r="71" spans="1:16" s="234" customFormat="1" ht="12.75" x14ac:dyDescent="0.2">
      <c r="A71" s="278" t="s">
        <v>737</v>
      </c>
      <c r="B71" s="279" t="s">
        <v>28</v>
      </c>
      <c r="C71" s="279"/>
      <c r="D71" s="251"/>
      <c r="E71" s="251"/>
      <c r="F71" s="252">
        <v>0</v>
      </c>
      <c r="G71" s="252">
        <v>171.45790074569399</v>
      </c>
      <c r="H71" s="252">
        <v>4286.4475186423597</v>
      </c>
      <c r="I71" s="252">
        <v>18.580596528876601</v>
      </c>
      <c r="J71" s="252">
        <v>5537.0177656052301</v>
      </c>
      <c r="K71" s="252">
        <v>0</v>
      </c>
      <c r="L71" s="252">
        <v>0</v>
      </c>
      <c r="M71" s="252">
        <v>0</v>
      </c>
      <c r="N71" s="252">
        <v>0</v>
      </c>
      <c r="O71" s="252">
        <v>9823.4652842475898</v>
      </c>
      <c r="P71" s="251"/>
    </row>
    <row r="72" spans="1:16" s="234" customFormat="1" ht="12.75" x14ac:dyDescent="0.2">
      <c r="A72" s="224" t="s">
        <v>758</v>
      </c>
      <c r="B72" s="225" t="s">
        <v>781</v>
      </c>
      <c r="C72" s="225"/>
      <c r="F72" s="231">
        <v>0</v>
      </c>
      <c r="G72" s="231">
        <v>0</v>
      </c>
      <c r="H72" s="231">
        <v>0</v>
      </c>
      <c r="I72" s="231">
        <v>61.261449079438002</v>
      </c>
      <c r="J72" s="231">
        <v>18255.911825672501</v>
      </c>
      <c r="K72" s="231">
        <v>0</v>
      </c>
      <c r="L72" s="231">
        <v>0</v>
      </c>
      <c r="M72" s="231">
        <v>0</v>
      </c>
      <c r="N72" s="231">
        <v>0</v>
      </c>
      <c r="O72" s="231">
        <v>18255.911825672501</v>
      </c>
    </row>
    <row r="73" spans="1:16" s="237" customFormat="1" ht="12" x14ac:dyDescent="0.2">
      <c r="A73" s="286"/>
      <c r="B73" s="258"/>
      <c r="C73" s="258" t="s">
        <v>782</v>
      </c>
      <c r="D73" s="243"/>
      <c r="E73" s="243"/>
      <c r="F73" s="244">
        <v>0</v>
      </c>
      <c r="G73" s="244">
        <v>0</v>
      </c>
      <c r="H73" s="244">
        <v>0</v>
      </c>
      <c r="I73" s="244">
        <v>50.117340913475303</v>
      </c>
      <c r="J73" s="244">
        <v>14934.9675922156</v>
      </c>
      <c r="K73" s="244">
        <v>0</v>
      </c>
      <c r="L73" s="244">
        <v>0</v>
      </c>
      <c r="M73" s="244">
        <v>0</v>
      </c>
      <c r="N73" s="244">
        <v>0</v>
      </c>
      <c r="O73" s="244">
        <v>14934.9675922156</v>
      </c>
    </row>
    <row r="74" spans="1:16" s="237" customFormat="1" ht="12" x14ac:dyDescent="0.2">
      <c r="A74" s="286"/>
      <c r="B74" s="258"/>
      <c r="C74" s="258" t="s">
        <v>783</v>
      </c>
      <c r="D74" s="243"/>
      <c r="E74" s="243"/>
      <c r="F74" s="244">
        <v>0</v>
      </c>
      <c r="G74" s="244">
        <v>0</v>
      </c>
      <c r="H74" s="244">
        <v>0</v>
      </c>
      <c r="I74" s="244">
        <v>11.144108165962701</v>
      </c>
      <c r="J74" s="244">
        <v>3320.9442334568898</v>
      </c>
      <c r="K74" s="244">
        <v>0</v>
      </c>
      <c r="L74" s="244">
        <v>0</v>
      </c>
      <c r="M74" s="244">
        <v>0</v>
      </c>
      <c r="N74" s="244">
        <v>0</v>
      </c>
      <c r="O74" s="244">
        <v>3320.9442334568898</v>
      </c>
    </row>
    <row r="75" spans="1:16" s="234" customFormat="1" ht="12.75" x14ac:dyDescent="0.2">
      <c r="A75" s="278" t="s">
        <v>764</v>
      </c>
      <c r="B75" s="279" t="s">
        <v>193</v>
      </c>
      <c r="C75" s="287"/>
      <c r="D75" s="251"/>
      <c r="E75" s="251"/>
      <c r="F75" s="252">
        <v>0</v>
      </c>
      <c r="G75" s="252">
        <v>1.40446662844227</v>
      </c>
      <c r="H75" s="252">
        <v>35.111665711056702</v>
      </c>
      <c r="I75" s="252">
        <v>3.6412097774429199E-2</v>
      </c>
      <c r="J75" s="252">
        <v>10.850805136779901</v>
      </c>
      <c r="K75" s="252">
        <v>0</v>
      </c>
      <c r="L75" s="252">
        <v>0</v>
      </c>
      <c r="M75" s="252">
        <v>0</v>
      </c>
      <c r="N75" s="252">
        <v>0</v>
      </c>
      <c r="O75" s="252">
        <v>45.962470847836599</v>
      </c>
    </row>
    <row r="76" spans="1:16" s="234" customFormat="1" ht="12.75" x14ac:dyDescent="0.2">
      <c r="A76" s="259" t="s">
        <v>776</v>
      </c>
      <c r="B76" s="260" t="s">
        <v>784</v>
      </c>
      <c r="C76" s="288"/>
      <c r="D76" s="280"/>
      <c r="E76" s="280"/>
      <c r="F76" s="281">
        <v>1420.86316533333</v>
      </c>
      <c r="G76" s="281">
        <v>0</v>
      </c>
      <c r="H76" s="281">
        <v>0</v>
      </c>
      <c r="I76" s="281">
        <v>0</v>
      </c>
      <c r="J76" s="281">
        <v>0</v>
      </c>
      <c r="K76" s="281">
        <v>0</v>
      </c>
      <c r="L76" s="281">
        <v>0</v>
      </c>
      <c r="M76" s="281">
        <v>0</v>
      </c>
      <c r="N76" s="281">
        <v>0</v>
      </c>
      <c r="O76" s="281">
        <v>1420.86316533333</v>
      </c>
    </row>
    <row r="77" spans="1:16" s="234" customFormat="1" ht="12.75" x14ac:dyDescent="0.2">
      <c r="A77" s="220" t="s">
        <v>785</v>
      </c>
      <c r="B77" s="289"/>
      <c r="C77" s="289"/>
      <c r="F77" s="223">
        <v>501.91213389000001</v>
      </c>
      <c r="G77" s="223">
        <v>1034.56326919</v>
      </c>
      <c r="H77" s="223">
        <v>25864.08172975</v>
      </c>
      <c r="I77" s="223">
        <v>4.0947553599999997</v>
      </c>
      <c r="J77" s="223">
        <v>1220.2370972799999</v>
      </c>
      <c r="K77" s="223">
        <v>0</v>
      </c>
      <c r="L77" s="223">
        <v>0</v>
      </c>
      <c r="M77" s="223">
        <v>0</v>
      </c>
      <c r="N77" s="223">
        <v>0</v>
      </c>
      <c r="O77" s="223">
        <v>27586.230960919998</v>
      </c>
    </row>
    <row r="78" spans="1:16" s="234" customFormat="1" ht="12.75" x14ac:dyDescent="0.2">
      <c r="A78" s="224" t="s">
        <v>724</v>
      </c>
      <c r="B78" s="225" t="s">
        <v>786</v>
      </c>
      <c r="C78" s="225"/>
      <c r="F78" s="231">
        <v>0</v>
      </c>
      <c r="G78" s="231">
        <v>996.28993059000004</v>
      </c>
      <c r="H78" s="231">
        <v>24907.24826475</v>
      </c>
      <c r="I78" s="231">
        <v>0</v>
      </c>
      <c r="J78" s="231">
        <v>0</v>
      </c>
      <c r="K78" s="231">
        <v>0</v>
      </c>
      <c r="L78" s="231">
        <v>0</v>
      </c>
      <c r="M78" s="231">
        <v>0</v>
      </c>
      <c r="N78" s="231">
        <v>0</v>
      </c>
      <c r="O78" s="231">
        <v>24907.24826475</v>
      </c>
    </row>
    <row r="79" spans="1:16" s="234" customFormat="1" ht="12.75" x14ac:dyDescent="0.2">
      <c r="A79" s="224" t="s">
        <v>737</v>
      </c>
      <c r="B79" s="225" t="s">
        <v>787</v>
      </c>
      <c r="C79" s="225"/>
      <c r="F79" s="231">
        <v>0</v>
      </c>
      <c r="G79" s="231">
        <v>22.511240340000001</v>
      </c>
      <c r="H79" s="231">
        <v>562.78100849999998</v>
      </c>
      <c r="I79" s="231">
        <v>1.35067442</v>
      </c>
      <c r="J79" s="231">
        <v>402.50097715999999</v>
      </c>
      <c r="K79" s="231">
        <v>0</v>
      </c>
      <c r="L79" s="231">
        <v>0</v>
      </c>
      <c r="M79" s="231">
        <v>0</v>
      </c>
      <c r="N79" s="231">
        <v>0</v>
      </c>
      <c r="O79" s="231">
        <v>965.28198566000003</v>
      </c>
    </row>
    <row r="80" spans="1:16" s="234" customFormat="1" ht="12.75" x14ac:dyDescent="0.2">
      <c r="A80" s="278" t="s">
        <v>788</v>
      </c>
      <c r="B80" s="279" t="s">
        <v>789</v>
      </c>
      <c r="C80" s="279"/>
      <c r="D80" s="251"/>
      <c r="E80" s="251"/>
      <c r="F80" s="252">
        <v>0</v>
      </c>
      <c r="G80" s="252">
        <v>15.536361550000001</v>
      </c>
      <c r="H80" s="252">
        <v>388.40903874999998</v>
      </c>
      <c r="I80" s="252">
        <v>2.1045751400000001</v>
      </c>
      <c r="J80" s="252">
        <v>627.16339172000005</v>
      </c>
      <c r="K80" s="252">
        <v>0</v>
      </c>
      <c r="L80" s="252">
        <v>0</v>
      </c>
      <c r="M80" s="252">
        <v>0</v>
      </c>
      <c r="N80" s="252">
        <v>0</v>
      </c>
      <c r="O80" s="252">
        <v>1015.57243047</v>
      </c>
    </row>
    <row r="81" spans="1:30" s="234" customFormat="1" ht="12.75" x14ac:dyDescent="0.2">
      <c r="A81" s="259" t="s">
        <v>764</v>
      </c>
      <c r="B81" s="260" t="s">
        <v>790</v>
      </c>
      <c r="C81" s="260"/>
      <c r="D81" s="280"/>
      <c r="E81" s="280"/>
      <c r="F81" s="281">
        <v>501.91213389000001</v>
      </c>
      <c r="G81" s="281">
        <v>0.22573671000000001</v>
      </c>
      <c r="H81" s="281">
        <v>5.6434177500000002</v>
      </c>
      <c r="I81" s="281">
        <v>0.63950580000000001</v>
      </c>
      <c r="J81" s="281">
        <v>190.57272839999999</v>
      </c>
      <c r="K81" s="281">
        <v>0</v>
      </c>
      <c r="L81" s="281">
        <v>0</v>
      </c>
      <c r="M81" s="281">
        <v>0</v>
      </c>
      <c r="N81" s="281">
        <v>0</v>
      </c>
      <c r="O81" s="281">
        <v>698.12828004000005</v>
      </c>
    </row>
    <row r="82" spans="1:30" s="267" customFormat="1" ht="12.75" x14ac:dyDescent="0.2">
      <c r="A82" s="263" t="s">
        <v>791</v>
      </c>
      <c r="B82" s="264"/>
      <c r="C82" s="264"/>
      <c r="F82" s="223">
        <v>-38531.268386000003</v>
      </c>
      <c r="G82" s="223">
        <v>51.377876999999998</v>
      </c>
      <c r="H82" s="223">
        <v>1284.446925</v>
      </c>
      <c r="I82" s="223">
        <v>1.757484</v>
      </c>
      <c r="J82" s="223">
        <v>523.730232</v>
      </c>
      <c r="K82" s="223">
        <v>0</v>
      </c>
      <c r="L82" s="223">
        <v>0</v>
      </c>
      <c r="M82" s="223">
        <v>0</v>
      </c>
      <c r="N82" s="223">
        <v>0</v>
      </c>
      <c r="O82" s="223">
        <v>-36723.091228999998</v>
      </c>
    </row>
    <row r="83" spans="1:30" s="234" customFormat="1" ht="12.75" x14ac:dyDescent="0.2">
      <c r="A83" s="224" t="s">
        <v>724</v>
      </c>
      <c r="B83" s="225" t="s">
        <v>792</v>
      </c>
      <c r="C83" s="225"/>
      <c r="F83" s="231">
        <v>-183658.577835</v>
      </c>
      <c r="G83" s="231">
        <v>13.459619999999999</v>
      </c>
      <c r="H83" s="231">
        <v>336.4905</v>
      </c>
      <c r="I83" s="231">
        <v>0.56352899999999995</v>
      </c>
      <c r="J83" s="231">
        <v>167.93164200000001</v>
      </c>
      <c r="K83" s="231">
        <v>0</v>
      </c>
      <c r="L83" s="231">
        <v>0</v>
      </c>
      <c r="M83" s="231">
        <v>0</v>
      </c>
      <c r="N83" s="231">
        <v>0</v>
      </c>
      <c r="O83" s="231">
        <v>-183154.15569300001</v>
      </c>
    </row>
    <row r="84" spans="1:30" s="234" customFormat="1" ht="12.75" x14ac:dyDescent="0.2">
      <c r="A84" s="224" t="s">
        <v>737</v>
      </c>
      <c r="B84" s="225" t="s">
        <v>793</v>
      </c>
      <c r="C84" s="225"/>
      <c r="F84" s="231">
        <v>-10507.162344</v>
      </c>
      <c r="G84" s="231">
        <v>4.8304590000000003</v>
      </c>
      <c r="H84" s="231">
        <v>120.761475</v>
      </c>
      <c r="I84" s="231">
        <v>0.24396499999999999</v>
      </c>
      <c r="J84" s="231">
        <v>72.701570000000004</v>
      </c>
      <c r="K84" s="231">
        <v>0</v>
      </c>
      <c r="L84" s="231">
        <v>0</v>
      </c>
      <c r="M84" s="231">
        <v>0</v>
      </c>
      <c r="N84" s="231">
        <v>0</v>
      </c>
      <c r="O84" s="231">
        <v>-10313.699299</v>
      </c>
    </row>
    <row r="85" spans="1:30" s="234" customFormat="1" ht="12.75" x14ac:dyDescent="0.2">
      <c r="A85" s="278" t="s">
        <v>758</v>
      </c>
      <c r="B85" s="279" t="s">
        <v>794</v>
      </c>
      <c r="C85" s="279"/>
      <c r="F85" s="231">
        <v>0</v>
      </c>
      <c r="G85" s="231">
        <v>26.019950000000001</v>
      </c>
      <c r="H85" s="231">
        <v>650.49874999999997</v>
      </c>
      <c r="I85" s="231">
        <v>0.67457</v>
      </c>
      <c r="J85" s="231">
        <v>201.02186</v>
      </c>
      <c r="K85" s="231">
        <v>0</v>
      </c>
      <c r="L85" s="231">
        <v>0</v>
      </c>
      <c r="M85" s="231">
        <v>0</v>
      </c>
      <c r="N85" s="231">
        <v>0</v>
      </c>
      <c r="O85" s="231">
        <v>851.52061000000003</v>
      </c>
    </row>
    <row r="86" spans="1:30" s="234" customFormat="1" ht="12.75" x14ac:dyDescent="0.2">
      <c r="A86" s="278" t="s">
        <v>764</v>
      </c>
      <c r="B86" s="279" t="s">
        <v>795</v>
      </c>
      <c r="C86" s="279"/>
      <c r="F86" s="231">
        <v>2894.5120160000001</v>
      </c>
      <c r="G86" s="231">
        <v>1.941403</v>
      </c>
      <c r="H86" s="231">
        <v>48.535074999999999</v>
      </c>
      <c r="I86" s="231">
        <v>8.7675000000000003E-2</v>
      </c>
      <c r="J86" s="231">
        <v>26.12715</v>
      </c>
      <c r="K86" s="231">
        <v>0</v>
      </c>
      <c r="L86" s="231">
        <v>0</v>
      </c>
      <c r="M86" s="231">
        <v>0</v>
      </c>
      <c r="N86" s="231">
        <v>0</v>
      </c>
      <c r="O86" s="231">
        <v>2969.1742410000002</v>
      </c>
    </row>
    <row r="87" spans="1:30" s="234" customFormat="1" ht="12.75" x14ac:dyDescent="0.2">
      <c r="A87" s="278" t="s">
        <v>776</v>
      </c>
      <c r="B87" s="279" t="s">
        <v>796</v>
      </c>
      <c r="C87" s="279"/>
      <c r="D87" s="251"/>
      <c r="E87" s="251"/>
      <c r="F87" s="252">
        <v>3565.4523380000001</v>
      </c>
      <c r="G87" s="252">
        <v>5.1264450000000004</v>
      </c>
      <c r="H87" s="252">
        <v>128.161125</v>
      </c>
      <c r="I87" s="252">
        <v>0.187745</v>
      </c>
      <c r="J87" s="252">
        <v>55.948009999999996</v>
      </c>
      <c r="K87" s="252">
        <v>0</v>
      </c>
      <c r="L87" s="252">
        <v>0</v>
      </c>
      <c r="M87" s="252">
        <v>0</v>
      </c>
      <c r="N87" s="252">
        <v>0</v>
      </c>
      <c r="O87" s="252">
        <v>3749.5614730000002</v>
      </c>
    </row>
    <row r="88" spans="1:30" s="234" customFormat="1" ht="12.75" x14ac:dyDescent="0.2">
      <c r="A88" s="259" t="s">
        <v>778</v>
      </c>
      <c r="B88" s="260" t="s">
        <v>797</v>
      </c>
      <c r="C88" s="260"/>
      <c r="D88" s="280"/>
      <c r="E88" s="280"/>
      <c r="F88" s="281">
        <v>149174.50743900001</v>
      </c>
      <c r="G88" s="281">
        <v>0</v>
      </c>
      <c r="H88" s="281">
        <v>0</v>
      </c>
      <c r="I88" s="281">
        <v>0</v>
      </c>
      <c r="J88" s="281">
        <v>0</v>
      </c>
      <c r="K88" s="281">
        <v>0</v>
      </c>
      <c r="L88" s="281">
        <v>0</v>
      </c>
      <c r="M88" s="281">
        <v>0</v>
      </c>
      <c r="N88" s="281">
        <v>0</v>
      </c>
      <c r="O88" s="281">
        <v>149174.50743900001</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810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820</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583592.303364967</v>
      </c>
      <c r="G7" s="218">
        <v>4584.7908939347699</v>
      </c>
      <c r="H7" s="218">
        <v>114619.77234836901</v>
      </c>
      <c r="I7" s="218">
        <v>140.97468502525101</v>
      </c>
      <c r="J7" s="218">
        <v>42010.456137524903</v>
      </c>
      <c r="K7" s="218">
        <v>4584.77356780635</v>
      </c>
      <c r="L7" s="218">
        <v>3522.38258688005</v>
      </c>
      <c r="M7" s="218">
        <v>2339.90004230162</v>
      </c>
      <c r="N7" s="218">
        <v>0.203067672</v>
      </c>
      <c r="O7" s="218">
        <v>750669.79111552099</v>
      </c>
    </row>
    <row r="8" spans="1:16" ht="15.75" thickTop="1" x14ac:dyDescent="0.2">
      <c r="A8" s="220" t="s">
        <v>723</v>
      </c>
      <c r="B8" s="221"/>
      <c r="C8" s="221"/>
      <c r="F8" s="223">
        <v>538542.98674472806</v>
      </c>
      <c r="G8" s="223">
        <v>2168.2547695493599</v>
      </c>
      <c r="H8" s="223">
        <v>54206.369238733998</v>
      </c>
      <c r="I8" s="223">
        <v>40.386742621021298</v>
      </c>
      <c r="J8" s="223">
        <v>12035.249301064299</v>
      </c>
      <c r="K8" s="223">
        <v>0</v>
      </c>
      <c r="L8" s="223">
        <v>0</v>
      </c>
      <c r="M8" s="223">
        <v>0</v>
      </c>
      <c r="N8" s="223">
        <v>0</v>
      </c>
      <c r="O8" s="223">
        <v>604784.60528452694</v>
      </c>
    </row>
    <row r="9" spans="1:16" x14ac:dyDescent="0.2">
      <c r="A9" s="224" t="s">
        <v>724</v>
      </c>
      <c r="B9" s="225" t="s">
        <v>725</v>
      </c>
      <c r="C9" s="225"/>
      <c r="F9" s="226">
        <v>341620.83291984198</v>
      </c>
      <c r="G9" s="226">
        <v>237.272083850379</v>
      </c>
      <c r="H9" s="226">
        <v>5931.8020962594701</v>
      </c>
      <c r="I9" s="226">
        <v>9.39470255347217</v>
      </c>
      <c r="J9" s="226">
        <v>2799.6213609347101</v>
      </c>
      <c r="K9" s="226">
        <v>0</v>
      </c>
      <c r="L9" s="226">
        <v>0</v>
      </c>
      <c r="M9" s="226">
        <v>0</v>
      </c>
      <c r="N9" s="226">
        <v>0</v>
      </c>
      <c r="O9" s="226">
        <v>350352.25637703697</v>
      </c>
      <c r="P9" s="227"/>
    </row>
    <row r="10" spans="1:16" x14ac:dyDescent="0.2">
      <c r="A10" s="228"/>
      <c r="B10" s="229" t="s">
        <v>726</v>
      </c>
      <c r="C10" s="230"/>
      <c r="F10" s="231">
        <v>122595.65732909201</v>
      </c>
      <c r="G10" s="231">
        <v>5.6177581040238502</v>
      </c>
      <c r="H10" s="231">
        <v>140.44395260059599</v>
      </c>
      <c r="I10" s="231">
        <v>2.5291707323643502</v>
      </c>
      <c r="J10" s="231">
        <v>753.69287824457604</v>
      </c>
      <c r="K10" s="231">
        <v>0</v>
      </c>
      <c r="L10" s="231">
        <v>0</v>
      </c>
      <c r="M10" s="231">
        <v>0</v>
      </c>
      <c r="N10" s="231">
        <v>0</v>
      </c>
      <c r="O10" s="231">
        <v>123489.794159937</v>
      </c>
    </row>
    <row r="11" spans="1:16" x14ac:dyDescent="0.2">
      <c r="A11" s="228"/>
      <c r="B11" s="232" t="s">
        <v>727</v>
      </c>
      <c r="C11" s="230"/>
      <c r="F11" s="231">
        <v>21577.224109143899</v>
      </c>
      <c r="G11" s="231">
        <v>0.55675260228825296</v>
      </c>
      <c r="H11" s="231">
        <v>13.918815057206301</v>
      </c>
      <c r="I11" s="231">
        <v>0.17903028117786299</v>
      </c>
      <c r="J11" s="231">
        <v>53.351023791003101</v>
      </c>
      <c r="K11" s="231">
        <v>0</v>
      </c>
      <c r="L11" s="231">
        <v>0</v>
      </c>
      <c r="M11" s="231">
        <v>0</v>
      </c>
      <c r="N11" s="231">
        <v>0</v>
      </c>
      <c r="O11" s="231">
        <v>21644.4939479922</v>
      </c>
    </row>
    <row r="12" spans="1:16" s="234" customFormat="1" ht="12.75" x14ac:dyDescent="0.2">
      <c r="A12" s="228"/>
      <c r="B12" s="232" t="s">
        <v>728</v>
      </c>
      <c r="C12" s="233"/>
      <c r="F12" s="231">
        <v>67318.896823985997</v>
      </c>
      <c r="G12" s="231">
        <v>97.805291828792306</v>
      </c>
      <c r="H12" s="231">
        <v>2445.1322957198099</v>
      </c>
      <c r="I12" s="231">
        <v>1.55803897970505</v>
      </c>
      <c r="J12" s="231">
        <v>464.29561595210401</v>
      </c>
      <c r="K12" s="231">
        <v>0</v>
      </c>
      <c r="L12" s="231">
        <v>0</v>
      </c>
      <c r="M12" s="231">
        <v>0</v>
      </c>
      <c r="N12" s="231">
        <v>0</v>
      </c>
      <c r="O12" s="231">
        <v>70228.324735657894</v>
      </c>
    </row>
    <row r="13" spans="1:16" s="234" customFormat="1" ht="12.75" x14ac:dyDescent="0.2">
      <c r="A13" s="228"/>
      <c r="B13" s="229" t="s">
        <v>729</v>
      </c>
      <c r="C13" s="229"/>
      <c r="F13" s="231">
        <v>50239.967374616303</v>
      </c>
      <c r="G13" s="231">
        <v>2.9023558150351101</v>
      </c>
      <c r="H13" s="231">
        <v>72.558895375877697</v>
      </c>
      <c r="I13" s="231">
        <v>2.13478411641452</v>
      </c>
      <c r="J13" s="231">
        <v>636.16566669152803</v>
      </c>
      <c r="K13" s="231">
        <v>0</v>
      </c>
      <c r="L13" s="231">
        <v>0</v>
      </c>
      <c r="M13" s="231">
        <v>0</v>
      </c>
      <c r="N13" s="231">
        <v>0</v>
      </c>
      <c r="O13" s="231">
        <v>50948.691936683703</v>
      </c>
    </row>
    <row r="14" spans="1:16" s="237" customFormat="1" ht="12" x14ac:dyDescent="0.2">
      <c r="A14" s="235"/>
      <c r="B14" s="230"/>
      <c r="C14" s="236" t="s">
        <v>2</v>
      </c>
      <c r="F14" s="238">
        <v>5784.45997854494</v>
      </c>
      <c r="G14" s="238">
        <v>0.16340579869235999</v>
      </c>
      <c r="H14" s="238">
        <v>4.0851449673089997</v>
      </c>
      <c r="I14" s="238">
        <v>0.139546634926902</v>
      </c>
      <c r="J14" s="238">
        <v>41.584897208216901</v>
      </c>
      <c r="K14" s="238">
        <v>0</v>
      </c>
      <c r="L14" s="238">
        <v>0</v>
      </c>
      <c r="M14" s="238">
        <v>0</v>
      </c>
      <c r="N14" s="238">
        <v>0</v>
      </c>
      <c r="O14" s="238">
        <v>5830.1300207204604</v>
      </c>
    </row>
    <row r="15" spans="1:16" s="237" customFormat="1" ht="12" x14ac:dyDescent="0.2">
      <c r="A15" s="235"/>
      <c r="B15" s="230"/>
      <c r="C15" s="236" t="s">
        <v>730</v>
      </c>
      <c r="F15" s="238">
        <v>3521.2217110357001</v>
      </c>
      <c r="G15" s="238">
        <v>7.8495114286973103E-2</v>
      </c>
      <c r="H15" s="238">
        <v>1.96237785717433</v>
      </c>
      <c r="I15" s="238">
        <v>5.28117763061405E-2</v>
      </c>
      <c r="J15" s="238">
        <v>15.737909339229899</v>
      </c>
      <c r="K15" s="238">
        <v>0</v>
      </c>
      <c r="L15" s="238">
        <v>0</v>
      </c>
      <c r="M15" s="238">
        <v>0</v>
      </c>
      <c r="N15" s="238">
        <v>0</v>
      </c>
      <c r="O15" s="238">
        <v>3538.9219982321101</v>
      </c>
    </row>
    <row r="16" spans="1:16" s="237" customFormat="1" ht="12" x14ac:dyDescent="0.2">
      <c r="A16" s="235"/>
      <c r="B16" s="230"/>
      <c r="C16" s="236" t="s">
        <v>731</v>
      </c>
      <c r="F16" s="238">
        <v>8918.5776321733501</v>
      </c>
      <c r="G16" s="238">
        <v>0.183568966470325</v>
      </c>
      <c r="H16" s="238">
        <v>4.5892241617581204</v>
      </c>
      <c r="I16" s="238">
        <v>0.155853033037857</v>
      </c>
      <c r="J16" s="238">
        <v>46.444203845281301</v>
      </c>
      <c r="K16" s="238">
        <v>0</v>
      </c>
      <c r="L16" s="238">
        <v>0</v>
      </c>
      <c r="M16" s="238">
        <v>0</v>
      </c>
      <c r="N16" s="238">
        <v>0</v>
      </c>
      <c r="O16" s="238">
        <v>8969.6110601803903</v>
      </c>
    </row>
    <row r="17" spans="1:16" s="237" customFormat="1" ht="12" x14ac:dyDescent="0.2">
      <c r="A17" s="235"/>
      <c r="B17" s="230"/>
      <c r="C17" s="236" t="s">
        <v>732</v>
      </c>
      <c r="F17" s="238">
        <v>9822.4127703587201</v>
      </c>
      <c r="G17" s="238">
        <v>1.5887922094115401</v>
      </c>
      <c r="H17" s="238">
        <v>39.719805235288597</v>
      </c>
      <c r="I17" s="238">
        <v>1.2166054373681701</v>
      </c>
      <c r="J17" s="238">
        <v>362.54842033571498</v>
      </c>
      <c r="K17" s="238">
        <v>0</v>
      </c>
      <c r="L17" s="238">
        <v>0</v>
      </c>
      <c r="M17" s="238">
        <v>0</v>
      </c>
      <c r="N17" s="238">
        <v>0</v>
      </c>
      <c r="O17" s="238">
        <v>10224.680995929701</v>
      </c>
    </row>
    <row r="18" spans="1:16" s="237" customFormat="1" ht="12" x14ac:dyDescent="0.2">
      <c r="A18" s="235"/>
      <c r="B18" s="230"/>
      <c r="C18" s="236" t="s">
        <v>35</v>
      </c>
      <c r="F18" s="238">
        <v>5439.7396716067997</v>
      </c>
      <c r="G18" s="238">
        <v>0.25162799790657803</v>
      </c>
      <c r="H18" s="238">
        <v>6.2906999476644501</v>
      </c>
      <c r="I18" s="238">
        <v>6.57449655229531E-2</v>
      </c>
      <c r="J18" s="238">
        <v>19.591999725840001</v>
      </c>
      <c r="K18" s="238">
        <v>0</v>
      </c>
      <c r="L18" s="238">
        <v>0</v>
      </c>
      <c r="M18" s="238">
        <v>0</v>
      </c>
      <c r="N18" s="238">
        <v>0</v>
      </c>
      <c r="O18" s="238">
        <v>5465.6223712803003</v>
      </c>
    </row>
    <row r="19" spans="1:16" s="237" customFormat="1" ht="12" x14ac:dyDescent="0.2">
      <c r="A19" s="235"/>
      <c r="B19" s="230"/>
      <c r="C19" s="236" t="s">
        <v>733</v>
      </c>
      <c r="F19" s="238">
        <v>16753.555610896801</v>
      </c>
      <c r="G19" s="238">
        <v>0.63646572826732795</v>
      </c>
      <c r="H19" s="238">
        <v>15.9116432066832</v>
      </c>
      <c r="I19" s="238">
        <v>0.50422226925249902</v>
      </c>
      <c r="J19" s="238">
        <v>150.258236237245</v>
      </c>
      <c r="K19" s="238">
        <v>0</v>
      </c>
      <c r="L19" s="238">
        <v>0</v>
      </c>
      <c r="M19" s="238">
        <v>0</v>
      </c>
      <c r="N19" s="238">
        <v>0</v>
      </c>
      <c r="O19" s="238">
        <v>16919.725490340701</v>
      </c>
    </row>
    <row r="20" spans="1:16" s="234" customFormat="1" ht="12.75" x14ac:dyDescent="0.2">
      <c r="A20" s="228"/>
      <c r="B20" s="229" t="s">
        <v>734</v>
      </c>
      <c r="C20" s="239"/>
      <c r="F20" s="231">
        <v>1408.25297</v>
      </c>
      <c r="G20" s="231">
        <v>2.4542520000000002E-2</v>
      </c>
      <c r="H20" s="231">
        <v>0.61356299999999997</v>
      </c>
      <c r="I20" s="231">
        <v>3.1499640000000002E-2</v>
      </c>
      <c r="J20" s="231">
        <v>9.3868927200000005</v>
      </c>
      <c r="K20" s="231">
        <v>0</v>
      </c>
      <c r="L20" s="231">
        <v>0</v>
      </c>
      <c r="M20" s="231">
        <v>0</v>
      </c>
      <c r="N20" s="231">
        <v>0</v>
      </c>
      <c r="O20" s="231">
        <v>1418.25342572</v>
      </c>
    </row>
    <row r="21" spans="1:16" s="234" customFormat="1" ht="12.75" x14ac:dyDescent="0.2">
      <c r="A21" s="228"/>
      <c r="B21" s="229" t="s">
        <v>735</v>
      </c>
      <c r="C21" s="229"/>
      <c r="F21" s="231">
        <v>33590.569892177598</v>
      </c>
      <c r="G21" s="231">
        <v>0.61228450210957797</v>
      </c>
      <c r="H21" s="231">
        <v>15.307112552739399</v>
      </c>
      <c r="I21" s="231">
        <v>0.70278797389321801</v>
      </c>
      <c r="J21" s="231">
        <v>209.430816220179</v>
      </c>
      <c r="K21" s="231">
        <v>0</v>
      </c>
      <c r="L21" s="231">
        <v>0</v>
      </c>
      <c r="M21" s="231">
        <v>0</v>
      </c>
      <c r="N21" s="231">
        <v>0</v>
      </c>
      <c r="O21" s="231">
        <v>33815.307820950497</v>
      </c>
    </row>
    <row r="22" spans="1:16" s="234" customFormat="1" ht="12.75" x14ac:dyDescent="0.2">
      <c r="A22" s="228"/>
      <c r="B22" s="229" t="s">
        <v>181</v>
      </c>
      <c r="C22" s="229"/>
      <c r="F22" s="231">
        <v>42694.238230000003</v>
      </c>
      <c r="G22" s="231">
        <v>129.716263888225</v>
      </c>
      <c r="H22" s="231">
        <v>3242.9065972056101</v>
      </c>
      <c r="I22" s="231">
        <v>2.2015609227046302</v>
      </c>
      <c r="J22" s="231">
        <v>656.06515496597797</v>
      </c>
      <c r="K22" s="231">
        <v>0</v>
      </c>
      <c r="L22" s="231">
        <v>0</v>
      </c>
      <c r="M22" s="231">
        <v>0</v>
      </c>
      <c r="N22" s="231">
        <v>0</v>
      </c>
      <c r="O22" s="231">
        <v>46593.209982171596</v>
      </c>
    </row>
    <row r="23" spans="1:16" s="234" customFormat="1" ht="12.75" x14ac:dyDescent="0.2">
      <c r="A23" s="228"/>
      <c r="B23" s="229" t="s">
        <v>736</v>
      </c>
      <c r="C23" s="229"/>
      <c r="F23" s="231">
        <v>2196.0261908267698</v>
      </c>
      <c r="G23" s="231">
        <v>3.6834589904973798E-2</v>
      </c>
      <c r="H23" s="231">
        <v>0.920864747624345</v>
      </c>
      <c r="I23" s="231">
        <v>5.7829907212544197E-2</v>
      </c>
      <c r="J23" s="231">
        <v>17.233312349338199</v>
      </c>
      <c r="K23" s="231">
        <v>0</v>
      </c>
      <c r="L23" s="231">
        <v>0</v>
      </c>
      <c r="M23" s="231">
        <v>0</v>
      </c>
      <c r="N23" s="231">
        <v>0</v>
      </c>
      <c r="O23" s="231">
        <v>2214.18036792373</v>
      </c>
    </row>
    <row r="24" spans="1:16" s="240" customFormat="1" ht="14.25" x14ac:dyDescent="0.2">
      <c r="A24" s="224" t="s">
        <v>737</v>
      </c>
      <c r="B24" s="225" t="s">
        <v>738</v>
      </c>
      <c r="C24" s="225"/>
      <c r="F24" s="226">
        <v>181348.38717954399</v>
      </c>
      <c r="G24" s="226">
        <v>27.0484963749348</v>
      </c>
      <c r="H24" s="226">
        <v>676.21240937336995</v>
      </c>
      <c r="I24" s="226">
        <v>30.861619029278799</v>
      </c>
      <c r="J24" s="226">
        <v>9196.7624707250907</v>
      </c>
      <c r="K24" s="226">
        <v>0</v>
      </c>
      <c r="L24" s="226">
        <v>0</v>
      </c>
      <c r="M24" s="226">
        <v>0</v>
      </c>
      <c r="N24" s="226">
        <v>0</v>
      </c>
      <c r="O24" s="226">
        <v>191221.36205964201</v>
      </c>
      <c r="P24" s="241"/>
    </row>
    <row r="25" spans="1:16" s="234" customFormat="1" ht="12.75" x14ac:dyDescent="0.2">
      <c r="A25" s="228"/>
      <c r="B25" s="232" t="s">
        <v>739</v>
      </c>
      <c r="C25" s="229"/>
      <c r="F25" s="231">
        <v>7457.3988461937597</v>
      </c>
      <c r="G25" s="231">
        <v>0.29953569416643</v>
      </c>
      <c r="H25" s="231">
        <v>7.48839235416074</v>
      </c>
      <c r="I25" s="231">
        <v>0.220463396778459</v>
      </c>
      <c r="J25" s="231">
        <v>65.698092239980895</v>
      </c>
      <c r="K25" s="231">
        <v>0</v>
      </c>
      <c r="L25" s="231">
        <v>0</v>
      </c>
      <c r="M25" s="231">
        <v>0</v>
      </c>
      <c r="N25" s="231">
        <v>0</v>
      </c>
      <c r="O25" s="231">
        <v>7530.5853307878997</v>
      </c>
    </row>
    <row r="26" spans="1:16" s="234" customFormat="1" ht="12.75" x14ac:dyDescent="0.2">
      <c r="A26" s="228"/>
      <c r="B26" s="229" t="s">
        <v>740</v>
      </c>
      <c r="C26" s="229"/>
      <c r="F26" s="231">
        <v>123727.599459057</v>
      </c>
      <c r="G26" s="231">
        <v>11.029092256141899</v>
      </c>
      <c r="H26" s="231">
        <v>275.72730640354598</v>
      </c>
      <c r="I26" s="231">
        <v>18.172021933824801</v>
      </c>
      <c r="J26" s="231">
        <v>5415.2625362797899</v>
      </c>
      <c r="K26" s="231">
        <v>0</v>
      </c>
      <c r="L26" s="231">
        <v>0</v>
      </c>
      <c r="M26" s="231">
        <v>0</v>
      </c>
      <c r="N26" s="231">
        <v>0</v>
      </c>
      <c r="O26" s="231">
        <v>129418.58930173999</v>
      </c>
    </row>
    <row r="27" spans="1:16" s="237" customFormat="1" ht="12" x14ac:dyDescent="0.2">
      <c r="A27" s="235"/>
      <c r="B27" s="230"/>
      <c r="C27" s="236" t="s">
        <v>741</v>
      </c>
      <c r="F27" s="238">
        <v>41000.872896943401</v>
      </c>
      <c r="G27" s="238">
        <v>4.5837741453752896</v>
      </c>
      <c r="H27" s="238">
        <v>114.594353634382</v>
      </c>
      <c r="I27" s="238">
        <v>7.7142157765112902</v>
      </c>
      <c r="J27" s="238">
        <v>2298.8363014003598</v>
      </c>
      <c r="K27" s="238">
        <v>0</v>
      </c>
      <c r="L27" s="238">
        <v>0</v>
      </c>
      <c r="M27" s="238">
        <v>0</v>
      </c>
      <c r="N27" s="238">
        <v>0</v>
      </c>
      <c r="O27" s="238">
        <v>43414.303551978199</v>
      </c>
    </row>
    <row r="28" spans="1:16" s="237" customFormat="1" ht="12" x14ac:dyDescent="0.2">
      <c r="A28" s="235"/>
      <c r="B28" s="230"/>
      <c r="C28" s="236" t="s">
        <v>742</v>
      </c>
      <c r="F28" s="238">
        <v>36326.802020703297</v>
      </c>
      <c r="G28" s="238">
        <v>3.9124361469667202</v>
      </c>
      <c r="H28" s="238">
        <v>97.810903674168003</v>
      </c>
      <c r="I28" s="238">
        <v>7.9146480213538197</v>
      </c>
      <c r="J28" s="238">
        <v>2358.56511036344</v>
      </c>
      <c r="K28" s="238">
        <v>0</v>
      </c>
      <c r="L28" s="238">
        <v>0</v>
      </c>
      <c r="M28" s="238">
        <v>0</v>
      </c>
      <c r="N28" s="238">
        <v>0</v>
      </c>
      <c r="O28" s="238">
        <v>38783.1780347409</v>
      </c>
    </row>
    <row r="29" spans="1:16" s="237" customFormat="1" ht="12" x14ac:dyDescent="0.2">
      <c r="A29" s="235"/>
      <c r="B29" s="230"/>
      <c r="C29" s="236" t="s">
        <v>743</v>
      </c>
      <c r="F29" s="238">
        <v>12785.2904495577</v>
      </c>
      <c r="G29" s="238">
        <v>0.80886344543612598</v>
      </c>
      <c r="H29" s="238">
        <v>20.221586135903099</v>
      </c>
      <c r="I29" s="238">
        <v>0.86204426799503597</v>
      </c>
      <c r="J29" s="238">
        <v>256.88919186252099</v>
      </c>
      <c r="K29" s="238">
        <v>0</v>
      </c>
      <c r="L29" s="238">
        <v>0</v>
      </c>
      <c r="M29" s="238">
        <v>0</v>
      </c>
      <c r="N29" s="238">
        <v>0</v>
      </c>
      <c r="O29" s="238">
        <v>13062.4012275561</v>
      </c>
    </row>
    <row r="30" spans="1:16" s="237" customFormat="1" ht="12" x14ac:dyDescent="0.2">
      <c r="A30" s="235"/>
      <c r="B30" s="230"/>
      <c r="C30" s="236" t="s">
        <v>744</v>
      </c>
      <c r="F30" s="238">
        <v>194.075833950826</v>
      </c>
      <c r="G30" s="238">
        <v>0.102165911793582</v>
      </c>
      <c r="H30" s="238">
        <v>2.5541477948395399</v>
      </c>
      <c r="I30" s="238">
        <v>3.6236881358300602E-3</v>
      </c>
      <c r="J30" s="238">
        <v>1.07985906447736</v>
      </c>
      <c r="K30" s="238">
        <v>0</v>
      </c>
      <c r="L30" s="238">
        <v>0</v>
      </c>
      <c r="M30" s="238">
        <v>0</v>
      </c>
      <c r="N30" s="238">
        <v>0</v>
      </c>
      <c r="O30" s="238">
        <v>197.70984081014299</v>
      </c>
      <c r="P30" s="242"/>
    </row>
    <row r="31" spans="1:16" s="237" customFormat="1" ht="12" x14ac:dyDescent="0.2">
      <c r="A31" s="235"/>
      <c r="B31" s="230"/>
      <c r="C31" s="236" t="s">
        <v>745</v>
      </c>
      <c r="F31" s="238">
        <v>751.00272069538198</v>
      </c>
      <c r="G31" s="238">
        <v>1.6240785672379E-2</v>
      </c>
      <c r="H31" s="238">
        <v>0.40601964180947497</v>
      </c>
      <c r="I31" s="238">
        <v>5.9537253584747298E-2</v>
      </c>
      <c r="J31" s="238">
        <v>17.7421015682547</v>
      </c>
      <c r="K31" s="238">
        <v>0</v>
      </c>
      <c r="L31" s="238">
        <v>0</v>
      </c>
      <c r="M31" s="238">
        <v>0</v>
      </c>
      <c r="N31" s="238">
        <v>0</v>
      </c>
      <c r="O31" s="238">
        <v>769.15084190544599</v>
      </c>
    </row>
    <row r="32" spans="1:16" s="237" customFormat="1" ht="12" x14ac:dyDescent="0.2">
      <c r="A32" s="235"/>
      <c r="B32" s="230"/>
      <c r="C32" s="236" t="s">
        <v>746</v>
      </c>
      <c r="D32" s="243"/>
      <c r="E32" s="243"/>
      <c r="F32" s="244">
        <v>410.35387924529999</v>
      </c>
      <c r="G32" s="244">
        <v>1.0438658044484701E-2</v>
      </c>
      <c r="H32" s="244">
        <v>0.26096645111211803</v>
      </c>
      <c r="I32" s="244">
        <v>3.2496770421335003E-2</v>
      </c>
      <c r="J32" s="244">
        <v>9.6840375855578191</v>
      </c>
      <c r="K32" s="244">
        <v>0</v>
      </c>
      <c r="L32" s="244">
        <v>0</v>
      </c>
      <c r="M32" s="244">
        <v>0</v>
      </c>
      <c r="N32" s="244">
        <v>0</v>
      </c>
      <c r="O32" s="244">
        <v>420.29888328197001</v>
      </c>
    </row>
    <row r="33" spans="1:15" s="237" customFormat="1" ht="12" x14ac:dyDescent="0.2">
      <c r="A33" s="235"/>
      <c r="B33" s="230"/>
      <c r="C33" s="236" t="s">
        <v>747</v>
      </c>
      <c r="D33" s="243"/>
      <c r="E33" s="243"/>
      <c r="F33" s="244">
        <v>31795.759231487598</v>
      </c>
      <c r="G33" s="244">
        <v>1.3820325602472201</v>
      </c>
      <c r="H33" s="244">
        <v>34.550814006180502</v>
      </c>
      <c r="I33" s="244">
        <v>1.57683921627805</v>
      </c>
      <c r="J33" s="244">
        <v>469.89808645085799</v>
      </c>
      <c r="K33" s="244">
        <v>0</v>
      </c>
      <c r="L33" s="244">
        <v>0</v>
      </c>
      <c r="M33" s="244">
        <v>0</v>
      </c>
      <c r="N33" s="244">
        <v>0</v>
      </c>
      <c r="O33" s="244">
        <v>32300.208131944601</v>
      </c>
    </row>
    <row r="34" spans="1:15" s="237" customFormat="1" ht="12" x14ac:dyDescent="0.2">
      <c r="A34" s="235"/>
      <c r="B34" s="230"/>
      <c r="C34" s="245" t="s">
        <v>748</v>
      </c>
      <c r="D34" s="243"/>
      <c r="E34" s="243"/>
      <c r="F34" s="244">
        <v>463.44242647364399</v>
      </c>
      <c r="G34" s="244">
        <v>0.213140602606052</v>
      </c>
      <c r="H34" s="244">
        <v>5.3285150651513096</v>
      </c>
      <c r="I34" s="244">
        <v>8.6169395447039006E-3</v>
      </c>
      <c r="J34" s="244">
        <v>2.5678479843217601</v>
      </c>
      <c r="K34" s="244">
        <v>0</v>
      </c>
      <c r="L34" s="244">
        <v>0</v>
      </c>
      <c r="M34" s="244">
        <v>0</v>
      </c>
      <c r="N34" s="244">
        <v>0</v>
      </c>
      <c r="O34" s="244">
        <v>471.33878952311801</v>
      </c>
    </row>
    <row r="35" spans="1:15" s="249" customFormat="1" ht="12.75" x14ac:dyDescent="0.2">
      <c r="A35" s="228"/>
      <c r="B35" s="229" t="s">
        <v>749</v>
      </c>
      <c r="C35" s="246"/>
      <c r="D35" s="247"/>
      <c r="E35" s="247"/>
      <c r="F35" s="248">
        <v>5558.1017378832303</v>
      </c>
      <c r="G35" s="248">
        <v>0.31202517672083302</v>
      </c>
      <c r="H35" s="248">
        <v>7.80062941802084</v>
      </c>
      <c r="I35" s="248">
        <v>2.1511139666648198</v>
      </c>
      <c r="J35" s="248">
        <v>641.03196206611597</v>
      </c>
      <c r="K35" s="248">
        <v>0</v>
      </c>
      <c r="L35" s="248">
        <v>0</v>
      </c>
      <c r="M35" s="248">
        <v>0</v>
      </c>
      <c r="N35" s="248">
        <v>0</v>
      </c>
      <c r="O35" s="248">
        <v>6206.9343293673601</v>
      </c>
    </row>
    <row r="36" spans="1:15" s="249" customFormat="1" ht="12.75" x14ac:dyDescent="0.2">
      <c r="A36" s="228"/>
      <c r="B36" s="232" t="s">
        <v>750</v>
      </c>
      <c r="C36" s="246"/>
      <c r="D36" s="247"/>
      <c r="E36" s="247"/>
      <c r="F36" s="248">
        <v>6605.4936215822599</v>
      </c>
      <c r="G36" s="248">
        <v>0.60757274549912599</v>
      </c>
      <c r="H36" s="248">
        <v>15.1893186374782</v>
      </c>
      <c r="I36" s="248">
        <v>0.17359279620524101</v>
      </c>
      <c r="J36" s="248">
        <v>51.730653269161699</v>
      </c>
      <c r="K36" s="248">
        <v>0</v>
      </c>
      <c r="L36" s="248">
        <v>0</v>
      </c>
      <c r="M36" s="248">
        <v>0</v>
      </c>
      <c r="N36" s="248">
        <v>0</v>
      </c>
      <c r="O36" s="248">
        <v>6672.4135934889</v>
      </c>
    </row>
    <row r="37" spans="1:15" s="234" customFormat="1" ht="12.75" x14ac:dyDescent="0.2">
      <c r="A37" s="228"/>
      <c r="B37" s="229" t="s">
        <v>751</v>
      </c>
      <c r="C37" s="250"/>
      <c r="D37" s="251"/>
      <c r="E37" s="251"/>
      <c r="F37" s="252">
        <v>37999.793514827303</v>
      </c>
      <c r="G37" s="252">
        <v>14.8002705024065</v>
      </c>
      <c r="H37" s="252">
        <v>370.006762560163</v>
      </c>
      <c r="I37" s="252">
        <v>10.1444269358055</v>
      </c>
      <c r="J37" s="252">
        <v>3023.0392268700398</v>
      </c>
      <c r="K37" s="252">
        <v>0</v>
      </c>
      <c r="L37" s="252">
        <v>0</v>
      </c>
      <c r="M37" s="252">
        <v>0</v>
      </c>
      <c r="N37" s="252">
        <v>0</v>
      </c>
      <c r="O37" s="252">
        <v>41392.839504257499</v>
      </c>
    </row>
    <row r="38" spans="1:15" s="237" customFormat="1" ht="12" x14ac:dyDescent="0.2">
      <c r="A38" s="235"/>
      <c r="B38" s="230"/>
      <c r="C38" s="236" t="s">
        <v>752</v>
      </c>
      <c r="F38" s="238">
        <v>11347.0378154545</v>
      </c>
      <c r="G38" s="238">
        <v>0.67681302847407498</v>
      </c>
      <c r="H38" s="238">
        <v>16.920325711851898</v>
      </c>
      <c r="I38" s="238">
        <v>4.3780804598731899</v>
      </c>
      <c r="J38" s="238">
        <v>1304.6679770422099</v>
      </c>
      <c r="K38" s="238">
        <v>0</v>
      </c>
      <c r="L38" s="238">
        <v>0</v>
      </c>
      <c r="M38" s="238">
        <v>0</v>
      </c>
      <c r="N38" s="238">
        <v>0</v>
      </c>
      <c r="O38" s="238">
        <v>12668.6261182085</v>
      </c>
    </row>
    <row r="39" spans="1:15" s="237" customFormat="1" ht="12" x14ac:dyDescent="0.2">
      <c r="A39" s="235"/>
      <c r="B39" s="230"/>
      <c r="C39" s="236" t="s">
        <v>753</v>
      </c>
      <c r="F39" s="238">
        <v>1830.7066445267201</v>
      </c>
      <c r="G39" s="238">
        <v>0.92816710720371498</v>
      </c>
      <c r="H39" s="238">
        <v>23.204177680092901</v>
      </c>
      <c r="I39" s="238">
        <v>0.52690973791335005</v>
      </c>
      <c r="J39" s="238">
        <v>157.01910189817801</v>
      </c>
      <c r="K39" s="238">
        <v>0</v>
      </c>
      <c r="L39" s="238">
        <v>0</v>
      </c>
      <c r="M39" s="238">
        <v>0</v>
      </c>
      <c r="N39" s="238">
        <v>0</v>
      </c>
      <c r="O39" s="238">
        <v>2010.9299241050001</v>
      </c>
    </row>
    <row r="40" spans="1:15" s="237" customFormat="1" ht="12" x14ac:dyDescent="0.2">
      <c r="A40" s="235"/>
      <c r="B40" s="230"/>
      <c r="C40" s="236" t="s">
        <v>754</v>
      </c>
      <c r="F40" s="238">
        <v>11079.9973187945</v>
      </c>
      <c r="G40" s="238">
        <v>0.75675531863330403</v>
      </c>
      <c r="H40" s="238">
        <v>18.918882965832601</v>
      </c>
      <c r="I40" s="238">
        <v>4.1776103679210799</v>
      </c>
      <c r="J40" s="238">
        <v>1244.9278896404801</v>
      </c>
      <c r="K40" s="238">
        <v>0</v>
      </c>
      <c r="L40" s="238">
        <v>0</v>
      </c>
      <c r="M40" s="238">
        <v>0</v>
      </c>
      <c r="N40" s="238">
        <v>0</v>
      </c>
      <c r="O40" s="238">
        <v>12343.844091400801</v>
      </c>
    </row>
    <row r="41" spans="1:15" s="237" customFormat="1" ht="12" x14ac:dyDescent="0.2">
      <c r="A41" s="235"/>
      <c r="B41" s="230"/>
      <c r="C41" s="236" t="s">
        <v>755</v>
      </c>
      <c r="F41" s="238">
        <v>625.89333501235501</v>
      </c>
      <c r="G41" s="238">
        <v>0.52846440037346698</v>
      </c>
      <c r="H41" s="238">
        <v>13.211610009336701</v>
      </c>
      <c r="I41" s="238">
        <v>8.0275010446337905E-2</v>
      </c>
      <c r="J41" s="238">
        <v>23.921953113008701</v>
      </c>
      <c r="K41" s="238">
        <v>0</v>
      </c>
      <c r="L41" s="238">
        <v>0</v>
      </c>
      <c r="M41" s="238">
        <v>0</v>
      </c>
      <c r="N41" s="238">
        <v>0</v>
      </c>
      <c r="O41" s="238">
        <v>663.02689813469999</v>
      </c>
    </row>
    <row r="42" spans="1:15" s="237" customFormat="1" ht="12" x14ac:dyDescent="0.2">
      <c r="A42" s="235"/>
      <c r="B42" s="230"/>
      <c r="C42" s="236" t="s">
        <v>756</v>
      </c>
      <c r="F42" s="238">
        <v>4842.0139010392204</v>
      </c>
      <c r="G42" s="238">
        <v>3.6560046727219699</v>
      </c>
      <c r="H42" s="238">
        <v>91.400116818049298</v>
      </c>
      <c r="I42" s="238">
        <v>0.75957935965155099</v>
      </c>
      <c r="J42" s="238">
        <v>226.35464917616201</v>
      </c>
      <c r="K42" s="238">
        <v>0</v>
      </c>
      <c r="L42" s="238">
        <v>0</v>
      </c>
      <c r="M42" s="238">
        <v>0</v>
      </c>
      <c r="N42" s="238">
        <v>0</v>
      </c>
      <c r="O42" s="238">
        <v>5159.7686670334297</v>
      </c>
    </row>
    <row r="43" spans="1:15" s="237" customFormat="1" ht="12" x14ac:dyDescent="0.2">
      <c r="A43" s="235"/>
      <c r="B43" s="230"/>
      <c r="C43" s="253" t="s">
        <v>757</v>
      </c>
      <c r="F43" s="238">
        <v>8274.1445000000003</v>
      </c>
      <c r="G43" s="238">
        <v>8.2540659749999996</v>
      </c>
      <c r="H43" s="238">
        <v>206.35164937499999</v>
      </c>
      <c r="I43" s="238">
        <v>0.221972</v>
      </c>
      <c r="J43" s="238">
        <v>66.147655999999998</v>
      </c>
      <c r="K43" s="238">
        <v>0</v>
      </c>
      <c r="L43" s="238">
        <v>0</v>
      </c>
      <c r="M43" s="238">
        <v>0</v>
      </c>
      <c r="N43" s="238">
        <v>0</v>
      </c>
      <c r="O43" s="238">
        <v>8546.6438053750007</v>
      </c>
    </row>
    <row r="44" spans="1:15" s="240" customFormat="1" ht="12.75" x14ac:dyDescent="0.2">
      <c r="A44" s="224" t="s">
        <v>758</v>
      </c>
      <c r="B44" s="225" t="s">
        <v>759</v>
      </c>
      <c r="C44" s="225"/>
      <c r="F44" s="226">
        <v>15573.681245342201</v>
      </c>
      <c r="G44" s="226">
        <v>1903.9341893240501</v>
      </c>
      <c r="H44" s="226">
        <v>47598.354733101201</v>
      </c>
      <c r="I44" s="226">
        <v>0.13042103827029999</v>
      </c>
      <c r="J44" s="226">
        <v>38.865469404549401</v>
      </c>
      <c r="K44" s="226">
        <v>0</v>
      </c>
      <c r="L44" s="226">
        <v>0</v>
      </c>
      <c r="M44" s="226">
        <v>0</v>
      </c>
      <c r="N44" s="226">
        <v>0</v>
      </c>
      <c r="O44" s="226">
        <v>63210.9014478479</v>
      </c>
    </row>
    <row r="45" spans="1:15" s="234" customFormat="1" ht="12.75" x14ac:dyDescent="0.2">
      <c r="A45" s="228"/>
      <c r="B45" s="229" t="s">
        <v>760</v>
      </c>
      <c r="C45" s="229"/>
      <c r="F45" s="231">
        <v>0</v>
      </c>
      <c r="G45" s="231">
        <v>59.628562301618501</v>
      </c>
      <c r="H45" s="231">
        <v>1490.7140575404601</v>
      </c>
      <c r="I45" s="231">
        <v>0</v>
      </c>
      <c r="J45" s="231">
        <v>0</v>
      </c>
      <c r="K45" s="231">
        <v>0</v>
      </c>
      <c r="L45" s="231">
        <v>0</v>
      </c>
      <c r="M45" s="231">
        <v>0</v>
      </c>
      <c r="N45" s="231">
        <v>0</v>
      </c>
      <c r="O45" s="231">
        <v>1490.7140575404601</v>
      </c>
    </row>
    <row r="46" spans="1:15" s="234" customFormat="1" ht="12.75" x14ac:dyDescent="0.2">
      <c r="A46" s="228"/>
      <c r="B46" s="229" t="s">
        <v>761</v>
      </c>
      <c r="C46" s="229"/>
      <c r="F46" s="231">
        <v>15573.681245342201</v>
      </c>
      <c r="G46" s="231">
        <v>1844.3056270224299</v>
      </c>
      <c r="H46" s="231">
        <v>46107.640675560702</v>
      </c>
      <c r="I46" s="231">
        <v>0.13042103827029999</v>
      </c>
      <c r="J46" s="231">
        <v>38.865469404549401</v>
      </c>
      <c r="K46" s="231">
        <v>0</v>
      </c>
      <c r="L46" s="231">
        <v>0</v>
      </c>
      <c r="M46" s="231">
        <v>0</v>
      </c>
      <c r="N46" s="231">
        <v>0</v>
      </c>
      <c r="O46" s="231">
        <v>61720.187390307503</v>
      </c>
    </row>
    <row r="47" spans="1:15" s="237" customFormat="1" ht="12" x14ac:dyDescent="0.2">
      <c r="A47" s="254"/>
      <c r="B47" s="255"/>
      <c r="C47" s="230" t="s">
        <v>762</v>
      </c>
      <c r="F47" s="238">
        <v>179.94382037466801</v>
      </c>
      <c r="G47" s="238">
        <v>264.10558557150603</v>
      </c>
      <c r="H47" s="238">
        <v>6602.6396392876504</v>
      </c>
      <c r="I47" s="238">
        <v>0.115043397559</v>
      </c>
      <c r="J47" s="238">
        <v>34.282932472581997</v>
      </c>
      <c r="K47" s="238">
        <v>0</v>
      </c>
      <c r="L47" s="238">
        <v>0</v>
      </c>
      <c r="M47" s="238">
        <v>0</v>
      </c>
      <c r="N47" s="238">
        <v>0</v>
      </c>
      <c r="O47" s="238">
        <v>6816.8663921348998</v>
      </c>
    </row>
    <row r="48" spans="1:15" s="237" customFormat="1" ht="12" x14ac:dyDescent="0.2">
      <c r="A48" s="254"/>
      <c r="B48" s="255"/>
      <c r="C48" s="230" t="s">
        <v>763</v>
      </c>
      <c r="F48" s="238">
        <v>51.325407432837501</v>
      </c>
      <c r="G48" s="238">
        <v>540.22739869205998</v>
      </c>
      <c r="H48" s="238">
        <v>13505.6849673015</v>
      </c>
      <c r="I48" s="238">
        <v>0</v>
      </c>
      <c r="J48" s="238">
        <v>0</v>
      </c>
      <c r="K48" s="238">
        <v>0</v>
      </c>
      <c r="L48" s="238">
        <v>0</v>
      </c>
      <c r="M48" s="238">
        <v>0</v>
      </c>
      <c r="N48" s="238">
        <v>0</v>
      </c>
      <c r="O48" s="238">
        <v>13557.0103747343</v>
      </c>
    </row>
    <row r="49" spans="1:16" s="237" customFormat="1" ht="12" x14ac:dyDescent="0.2">
      <c r="A49" s="256"/>
      <c r="B49" s="257"/>
      <c r="C49" s="258" t="s">
        <v>380</v>
      </c>
      <c r="D49" s="243"/>
      <c r="E49" s="243"/>
      <c r="F49" s="244">
        <v>10260.2428076369</v>
      </c>
      <c r="G49" s="244">
        <v>1022.03883081512</v>
      </c>
      <c r="H49" s="244">
        <v>25550.970770377899</v>
      </c>
      <c r="I49" s="244">
        <v>0</v>
      </c>
      <c r="J49" s="244">
        <v>0</v>
      </c>
      <c r="K49" s="244">
        <v>0</v>
      </c>
      <c r="L49" s="244">
        <v>0</v>
      </c>
      <c r="M49" s="244">
        <v>0</v>
      </c>
      <c r="N49" s="244">
        <v>0</v>
      </c>
      <c r="O49" s="244">
        <v>35811.213578014802</v>
      </c>
    </row>
    <row r="50" spans="1:16" s="237" customFormat="1" ht="12" x14ac:dyDescent="0.2">
      <c r="A50" s="256"/>
      <c r="B50" s="257"/>
      <c r="C50" s="258" t="s">
        <v>381</v>
      </c>
      <c r="D50" s="243"/>
      <c r="E50" s="243"/>
      <c r="F50" s="244">
        <v>5082.1692098978001</v>
      </c>
      <c r="G50" s="244">
        <v>17.9338119437468</v>
      </c>
      <c r="H50" s="244">
        <v>448.34529859367001</v>
      </c>
      <c r="I50" s="244">
        <v>1.53776407113001E-2</v>
      </c>
      <c r="J50" s="244">
        <v>4.5825369319674403</v>
      </c>
      <c r="K50" s="244">
        <v>0</v>
      </c>
      <c r="L50" s="244">
        <v>0</v>
      </c>
      <c r="M50" s="244">
        <v>0</v>
      </c>
      <c r="N50" s="244">
        <v>0</v>
      </c>
      <c r="O50" s="244">
        <v>5535.0970454234402</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43066.242119332201</v>
      </c>
      <c r="G52" s="266">
        <v>4.4504916353400397</v>
      </c>
      <c r="H52" s="266">
        <v>111.262290883501</v>
      </c>
      <c r="I52" s="266">
        <v>15.3101955762448</v>
      </c>
      <c r="J52" s="266">
        <v>4562.4382817209598</v>
      </c>
      <c r="K52" s="266">
        <v>4584.77356780635</v>
      </c>
      <c r="L52" s="266">
        <v>3522.38258688005</v>
      </c>
      <c r="M52" s="266">
        <v>2339.90004230162</v>
      </c>
      <c r="N52" s="266">
        <v>0.203067672</v>
      </c>
      <c r="O52" s="266">
        <v>58187.201956596698</v>
      </c>
    </row>
    <row r="53" spans="1:16" s="240" customFormat="1" ht="12.75" x14ac:dyDescent="0.2">
      <c r="A53" s="224" t="s">
        <v>724</v>
      </c>
      <c r="B53" s="225" t="s">
        <v>767</v>
      </c>
      <c r="C53" s="225"/>
      <c r="D53" s="268"/>
      <c r="E53" s="268"/>
      <c r="F53" s="269">
        <v>10172.580951428799</v>
      </c>
      <c r="G53" s="269">
        <v>0</v>
      </c>
      <c r="H53" s="269">
        <v>0</v>
      </c>
      <c r="I53" s="269">
        <v>0</v>
      </c>
      <c r="J53" s="269">
        <v>0</v>
      </c>
      <c r="K53" s="269">
        <v>0</v>
      </c>
      <c r="L53" s="269">
        <v>0</v>
      </c>
      <c r="M53" s="269">
        <v>0</v>
      </c>
      <c r="N53" s="269">
        <v>0</v>
      </c>
      <c r="O53" s="269">
        <v>10172.580951428799</v>
      </c>
    </row>
    <row r="54" spans="1:16" s="273" customFormat="1" ht="12" x14ac:dyDescent="0.2">
      <c r="A54" s="235"/>
      <c r="B54" s="270"/>
      <c r="C54" s="236" t="s">
        <v>560</v>
      </c>
      <c r="D54" s="271"/>
      <c r="E54" s="271"/>
      <c r="F54" s="272">
        <v>7515.0667377503996</v>
      </c>
      <c r="G54" s="272">
        <v>0</v>
      </c>
      <c r="H54" s="272">
        <v>0</v>
      </c>
      <c r="I54" s="272">
        <v>0</v>
      </c>
      <c r="J54" s="272">
        <v>0</v>
      </c>
      <c r="K54" s="272">
        <v>0</v>
      </c>
      <c r="L54" s="272">
        <v>0</v>
      </c>
      <c r="M54" s="272">
        <v>0</v>
      </c>
      <c r="N54" s="272">
        <v>0</v>
      </c>
      <c r="O54" s="272">
        <v>7515.0667377503996</v>
      </c>
      <c r="P54" s="271"/>
    </row>
    <row r="55" spans="1:16" s="273" customFormat="1" ht="12" x14ac:dyDescent="0.2">
      <c r="A55" s="235"/>
      <c r="B55" s="270"/>
      <c r="C55" s="236" t="s">
        <v>191</v>
      </c>
      <c r="D55" s="271"/>
      <c r="E55" s="271"/>
      <c r="F55" s="272">
        <v>1781.1549851731199</v>
      </c>
      <c r="G55" s="272">
        <v>0</v>
      </c>
      <c r="H55" s="272">
        <v>0</v>
      </c>
      <c r="I55" s="272">
        <v>0</v>
      </c>
      <c r="J55" s="272">
        <v>0</v>
      </c>
      <c r="K55" s="272">
        <v>0</v>
      </c>
      <c r="L55" s="272">
        <v>0</v>
      </c>
      <c r="M55" s="272">
        <v>0</v>
      </c>
      <c r="N55" s="272">
        <v>0</v>
      </c>
      <c r="O55" s="272">
        <v>1781.1549851731199</v>
      </c>
      <c r="P55" s="271"/>
    </row>
    <row r="56" spans="1:16" s="273" customFormat="1" ht="12" x14ac:dyDescent="0.2">
      <c r="A56" s="235"/>
      <c r="B56" s="270"/>
      <c r="C56" s="236" t="s">
        <v>768</v>
      </c>
      <c r="D56" s="271"/>
      <c r="E56" s="271"/>
      <c r="F56" s="272">
        <v>876.35922850525105</v>
      </c>
      <c r="G56" s="272">
        <v>0</v>
      </c>
      <c r="H56" s="272">
        <v>0</v>
      </c>
      <c r="I56" s="272">
        <v>0</v>
      </c>
      <c r="J56" s="272">
        <v>0</v>
      </c>
      <c r="K56" s="272">
        <v>0</v>
      </c>
      <c r="L56" s="272">
        <v>0</v>
      </c>
      <c r="M56" s="272">
        <v>0</v>
      </c>
      <c r="N56" s="272">
        <v>0</v>
      </c>
      <c r="O56" s="272">
        <v>876.35922850525105</v>
      </c>
      <c r="P56" s="271"/>
    </row>
    <row r="57" spans="1:16" s="275" customFormat="1" ht="12.75" x14ac:dyDescent="0.2">
      <c r="A57" s="224" t="s">
        <v>737</v>
      </c>
      <c r="B57" s="225" t="s">
        <v>769</v>
      </c>
      <c r="C57" s="225"/>
      <c r="D57" s="274"/>
      <c r="E57" s="274"/>
      <c r="F57" s="269">
        <v>6158.8456686948302</v>
      </c>
      <c r="G57" s="269">
        <v>4.3544346353400396</v>
      </c>
      <c r="H57" s="269">
        <v>108.86086588350101</v>
      </c>
      <c r="I57" s="269">
        <v>13.9959759406503</v>
      </c>
      <c r="J57" s="269">
        <v>4170.8008303137904</v>
      </c>
      <c r="K57" s="269">
        <v>0</v>
      </c>
      <c r="L57" s="269">
        <v>0</v>
      </c>
      <c r="M57" s="269">
        <v>0</v>
      </c>
      <c r="N57" s="269">
        <v>0</v>
      </c>
      <c r="O57" s="269">
        <v>10438.507364892101</v>
      </c>
      <c r="P57" s="274"/>
    </row>
    <row r="58" spans="1:16" s="277" customFormat="1" ht="12" x14ac:dyDescent="0.2">
      <c r="A58" s="235"/>
      <c r="B58" s="270"/>
      <c r="C58" s="236" t="s">
        <v>192</v>
      </c>
      <c r="D58" s="276"/>
      <c r="E58" s="276"/>
      <c r="F58" s="272">
        <v>2930.06090619211</v>
      </c>
      <c r="G58" s="272">
        <v>0</v>
      </c>
      <c r="H58" s="272">
        <v>0</v>
      </c>
      <c r="I58" s="272">
        <v>0</v>
      </c>
      <c r="J58" s="272">
        <v>0</v>
      </c>
      <c r="K58" s="272">
        <v>0</v>
      </c>
      <c r="L58" s="272">
        <v>0</v>
      </c>
      <c r="M58" s="272">
        <v>0</v>
      </c>
      <c r="N58" s="272">
        <v>0</v>
      </c>
      <c r="O58" s="272">
        <v>2930.06090619211</v>
      </c>
      <c r="P58" s="276"/>
    </row>
    <row r="59" spans="1:16" s="277" customFormat="1" ht="12" x14ac:dyDescent="0.2">
      <c r="A59" s="235"/>
      <c r="B59" s="270"/>
      <c r="C59" s="236" t="s">
        <v>190</v>
      </c>
      <c r="D59" s="276"/>
      <c r="E59" s="276"/>
      <c r="F59" s="272">
        <v>0</v>
      </c>
      <c r="G59" s="272">
        <v>0</v>
      </c>
      <c r="H59" s="272">
        <v>0</v>
      </c>
      <c r="I59" s="272">
        <v>3.9629339460000002</v>
      </c>
      <c r="J59" s="272">
        <v>1180.9543159079999</v>
      </c>
      <c r="K59" s="272">
        <v>0</v>
      </c>
      <c r="L59" s="272">
        <v>0</v>
      </c>
      <c r="M59" s="272">
        <v>0</v>
      </c>
      <c r="N59" s="272">
        <v>0</v>
      </c>
      <c r="O59" s="272">
        <v>1180.9543159079999</v>
      </c>
      <c r="P59" s="276"/>
    </row>
    <row r="60" spans="1:16" s="277" customFormat="1" ht="12" x14ac:dyDescent="0.2">
      <c r="A60" s="235"/>
      <c r="B60" s="270"/>
      <c r="C60" s="236" t="s">
        <v>770</v>
      </c>
      <c r="D60" s="276"/>
      <c r="E60" s="276"/>
      <c r="F60" s="272">
        <v>0</v>
      </c>
      <c r="G60" s="272">
        <v>0</v>
      </c>
      <c r="H60" s="272">
        <v>0</v>
      </c>
      <c r="I60" s="272">
        <v>9.9824999999999999</v>
      </c>
      <c r="J60" s="272">
        <v>2974.7849999999999</v>
      </c>
      <c r="K60" s="272">
        <v>0</v>
      </c>
      <c r="L60" s="272">
        <v>0</v>
      </c>
      <c r="M60" s="272">
        <v>0</v>
      </c>
      <c r="N60" s="272">
        <v>0</v>
      </c>
      <c r="O60" s="272">
        <v>2974.7849999999999</v>
      </c>
      <c r="P60" s="276"/>
    </row>
    <row r="61" spans="1:16" s="277" customFormat="1" ht="12" x14ac:dyDescent="0.2">
      <c r="A61" s="235"/>
      <c r="B61" s="270"/>
      <c r="C61" s="236" t="s">
        <v>771</v>
      </c>
      <c r="D61" s="276"/>
      <c r="E61" s="276"/>
      <c r="F61" s="272">
        <v>3228.7847625027298</v>
      </c>
      <c r="G61" s="272">
        <v>4.3544346353400396</v>
      </c>
      <c r="H61" s="272">
        <v>108.86086588350101</v>
      </c>
      <c r="I61" s="272">
        <v>5.0541994650291001E-2</v>
      </c>
      <c r="J61" s="272">
        <v>15.061514405786699</v>
      </c>
      <c r="K61" s="272">
        <v>0</v>
      </c>
      <c r="L61" s="272">
        <v>0</v>
      </c>
      <c r="M61" s="272">
        <v>0</v>
      </c>
      <c r="N61" s="272">
        <v>0</v>
      </c>
      <c r="O61" s="272">
        <v>3352.70714279201</v>
      </c>
      <c r="P61" s="276"/>
    </row>
    <row r="62" spans="1:16" s="240" customFormat="1" ht="12.75" x14ac:dyDescent="0.2">
      <c r="A62" s="224" t="s">
        <v>758</v>
      </c>
      <c r="B62" s="225" t="s">
        <v>772</v>
      </c>
      <c r="C62" s="225"/>
      <c r="D62" s="268"/>
      <c r="E62" s="268"/>
      <c r="F62" s="269">
        <v>14861.0323252414</v>
      </c>
      <c r="G62" s="269">
        <v>9.6057000000000003E-2</v>
      </c>
      <c r="H62" s="269">
        <v>2.4014250000000001</v>
      </c>
      <c r="I62" s="269">
        <v>0</v>
      </c>
      <c r="J62" s="269">
        <v>0</v>
      </c>
      <c r="K62" s="269">
        <v>0</v>
      </c>
      <c r="L62" s="269">
        <v>3512.1663949521799</v>
      </c>
      <c r="M62" s="269">
        <v>2117.0759295889202</v>
      </c>
      <c r="N62" s="269">
        <v>0</v>
      </c>
      <c r="O62" s="269">
        <v>20492.676074782499</v>
      </c>
      <c r="P62" s="268"/>
    </row>
    <row r="63" spans="1:16" s="273" customFormat="1" ht="12" x14ac:dyDescent="0.2">
      <c r="A63" s="235"/>
      <c r="B63" s="230"/>
      <c r="C63" s="230" t="s">
        <v>773</v>
      </c>
      <c r="D63" s="271"/>
      <c r="E63" s="271"/>
      <c r="F63" s="272">
        <v>10636.6477205311</v>
      </c>
      <c r="G63" s="272">
        <v>9.6057000000000003E-2</v>
      </c>
      <c r="H63" s="272">
        <v>2.4014250000000001</v>
      </c>
      <c r="I63" s="272">
        <v>0</v>
      </c>
      <c r="J63" s="272">
        <v>0</v>
      </c>
      <c r="K63" s="272">
        <v>0</v>
      </c>
      <c r="L63" s="272">
        <v>0</v>
      </c>
      <c r="M63" s="272">
        <v>0</v>
      </c>
      <c r="N63" s="272">
        <v>0</v>
      </c>
      <c r="O63" s="272">
        <v>10639.0491455311</v>
      </c>
      <c r="P63" s="271"/>
    </row>
    <row r="64" spans="1:16" s="273" customFormat="1" ht="12" x14ac:dyDescent="0.2">
      <c r="A64" s="235"/>
      <c r="B64" s="230"/>
      <c r="C64" s="230" t="s">
        <v>252</v>
      </c>
      <c r="D64" s="271"/>
      <c r="E64" s="271"/>
      <c r="F64" s="272">
        <v>4224.3846047102597</v>
      </c>
      <c r="G64" s="272">
        <v>0</v>
      </c>
      <c r="H64" s="272">
        <v>0</v>
      </c>
      <c r="I64" s="272">
        <v>0</v>
      </c>
      <c r="J64" s="272">
        <v>0</v>
      </c>
      <c r="K64" s="272">
        <v>0</v>
      </c>
      <c r="L64" s="272">
        <v>3512.1663949521799</v>
      </c>
      <c r="M64" s="272">
        <v>30.4197523682008</v>
      </c>
      <c r="N64" s="272">
        <v>0</v>
      </c>
      <c r="O64" s="272">
        <v>7766.9707520306401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2086.6561772207201</v>
      </c>
      <c r="N65" s="272">
        <v>0</v>
      </c>
      <c r="O65" s="272">
        <v>2086.6561772207201</v>
      </c>
      <c r="P65" s="271"/>
    </row>
    <row r="66" spans="1:16" s="234" customFormat="1" x14ac:dyDescent="0.25">
      <c r="A66" s="278" t="s">
        <v>764</v>
      </c>
      <c r="B66" s="279" t="s">
        <v>775</v>
      </c>
      <c r="C66" s="279"/>
      <c r="D66" s="251"/>
      <c r="E66" s="251"/>
      <c r="F66" s="252">
        <v>0</v>
      </c>
      <c r="G66" s="252">
        <v>0</v>
      </c>
      <c r="H66" s="252">
        <v>0</v>
      </c>
      <c r="I66" s="252">
        <v>0</v>
      </c>
      <c r="J66" s="252">
        <v>0</v>
      </c>
      <c r="K66" s="252">
        <v>4584.77356780635</v>
      </c>
      <c r="L66" s="252">
        <v>7.7700863803367701</v>
      </c>
      <c r="M66" s="252">
        <v>2.59580782246115</v>
      </c>
      <c r="N66" s="252">
        <v>0.203067672</v>
      </c>
      <c r="O66" s="252">
        <v>4595.3425296811502</v>
      </c>
      <c r="P66" s="251"/>
    </row>
    <row r="67" spans="1:16" s="234" customFormat="1" ht="12.75" x14ac:dyDescent="0.2">
      <c r="A67" s="278" t="s">
        <v>776</v>
      </c>
      <c r="B67" s="279" t="s">
        <v>777</v>
      </c>
      <c r="C67" s="279"/>
      <c r="D67" s="251"/>
      <c r="E67" s="251"/>
      <c r="F67" s="252">
        <v>11873.7831739672</v>
      </c>
      <c r="G67" s="252">
        <v>0</v>
      </c>
      <c r="H67" s="252">
        <v>0</v>
      </c>
      <c r="I67" s="252">
        <v>0</v>
      </c>
      <c r="J67" s="252">
        <v>0</v>
      </c>
      <c r="K67" s="252">
        <v>0</v>
      </c>
      <c r="L67" s="252">
        <v>0</v>
      </c>
      <c r="M67" s="252">
        <v>0</v>
      </c>
      <c r="N67" s="252">
        <v>0</v>
      </c>
      <c r="O67" s="252">
        <v>11873.7831739672</v>
      </c>
      <c r="P67" s="251"/>
    </row>
    <row r="68" spans="1:16" s="234" customFormat="1" ht="12.75" x14ac:dyDescent="0.2">
      <c r="A68" s="259" t="s">
        <v>778</v>
      </c>
      <c r="B68" s="260" t="s">
        <v>779</v>
      </c>
      <c r="C68" s="260"/>
      <c r="D68" s="280"/>
      <c r="E68" s="280"/>
      <c r="F68" s="281">
        <v>0</v>
      </c>
      <c r="G68" s="281">
        <v>0</v>
      </c>
      <c r="H68" s="281">
        <v>0</v>
      </c>
      <c r="I68" s="281">
        <v>1.3142196355945499</v>
      </c>
      <c r="J68" s="281">
        <v>391.63745140717702</v>
      </c>
      <c r="K68" s="281">
        <v>0</v>
      </c>
      <c r="L68" s="281">
        <v>2.4461055475334001</v>
      </c>
      <c r="M68" s="281">
        <v>220.228304890234</v>
      </c>
      <c r="N68" s="281">
        <v>0</v>
      </c>
      <c r="O68" s="281">
        <v>614.31186184494402</v>
      </c>
      <c r="P68" s="251"/>
    </row>
    <row r="69" spans="1:16" s="267" customFormat="1" ht="12.75" x14ac:dyDescent="0.2">
      <c r="A69" s="282" t="s">
        <v>780</v>
      </c>
      <c r="B69" s="283"/>
      <c r="C69" s="283"/>
      <c r="D69" s="284"/>
      <c r="E69" s="284"/>
      <c r="F69" s="285">
        <v>1477.0353370666701</v>
      </c>
      <c r="G69" s="285">
        <v>1393.66586300007</v>
      </c>
      <c r="H69" s="285">
        <v>34841.646575001803</v>
      </c>
      <c r="I69" s="285">
        <v>81.200197027985098</v>
      </c>
      <c r="J69" s="285">
        <v>24197.658714339599</v>
      </c>
      <c r="K69" s="285">
        <v>0</v>
      </c>
      <c r="L69" s="285">
        <v>0</v>
      </c>
      <c r="M69" s="285">
        <v>0</v>
      </c>
      <c r="N69" s="285">
        <v>0</v>
      </c>
      <c r="O69" s="285">
        <v>60516.340626407997</v>
      </c>
      <c r="P69" s="265"/>
    </row>
    <row r="70" spans="1:16" s="234" customFormat="1" ht="12.75" x14ac:dyDescent="0.2">
      <c r="A70" s="278" t="s">
        <v>724</v>
      </c>
      <c r="B70" s="279" t="s">
        <v>27</v>
      </c>
      <c r="C70" s="279"/>
      <c r="D70" s="251"/>
      <c r="E70" s="251"/>
      <c r="F70" s="252">
        <v>0</v>
      </c>
      <c r="G70" s="252">
        <v>1223.22613146858</v>
      </c>
      <c r="H70" s="252">
        <v>30580.653286714401</v>
      </c>
      <c r="I70" s="252">
        <v>0</v>
      </c>
      <c r="J70" s="252">
        <v>0</v>
      </c>
      <c r="K70" s="252">
        <v>0</v>
      </c>
      <c r="L70" s="252">
        <v>0</v>
      </c>
      <c r="M70" s="252">
        <v>0</v>
      </c>
      <c r="N70" s="252">
        <v>0</v>
      </c>
      <c r="O70" s="252">
        <v>30580.653286714401</v>
      </c>
      <c r="P70" s="251"/>
    </row>
    <row r="71" spans="1:16" s="234" customFormat="1" ht="12.75" x14ac:dyDescent="0.2">
      <c r="A71" s="278" t="s">
        <v>737</v>
      </c>
      <c r="B71" s="279" t="s">
        <v>28</v>
      </c>
      <c r="C71" s="279"/>
      <c r="D71" s="251"/>
      <c r="E71" s="251"/>
      <c r="F71" s="252">
        <v>0</v>
      </c>
      <c r="G71" s="252">
        <v>169.35990499864599</v>
      </c>
      <c r="H71" s="252">
        <v>4233.9976249661504</v>
      </c>
      <c r="I71" s="252">
        <v>18.1951312416527</v>
      </c>
      <c r="J71" s="252">
        <v>5422.1491100125204</v>
      </c>
      <c r="K71" s="252">
        <v>0</v>
      </c>
      <c r="L71" s="252">
        <v>0</v>
      </c>
      <c r="M71" s="252">
        <v>0</v>
      </c>
      <c r="N71" s="252">
        <v>0</v>
      </c>
      <c r="O71" s="252">
        <v>9656.1467349786708</v>
      </c>
      <c r="P71" s="251"/>
    </row>
    <row r="72" spans="1:16" s="234" customFormat="1" ht="12.75" x14ac:dyDescent="0.2">
      <c r="A72" s="224" t="s">
        <v>758</v>
      </c>
      <c r="B72" s="225" t="s">
        <v>781</v>
      </c>
      <c r="C72" s="225"/>
      <c r="F72" s="231">
        <v>0</v>
      </c>
      <c r="G72" s="231">
        <v>0</v>
      </c>
      <c r="H72" s="231">
        <v>0</v>
      </c>
      <c r="I72" s="231">
        <v>62.977070283628898</v>
      </c>
      <c r="J72" s="231">
        <v>18767.166944521399</v>
      </c>
      <c r="K72" s="231">
        <v>0</v>
      </c>
      <c r="L72" s="231">
        <v>0</v>
      </c>
      <c r="M72" s="231">
        <v>0</v>
      </c>
      <c r="N72" s="231">
        <v>0</v>
      </c>
      <c r="O72" s="231">
        <v>18767.166944521399</v>
      </c>
    </row>
    <row r="73" spans="1:16" s="237" customFormat="1" ht="12" x14ac:dyDescent="0.2">
      <c r="A73" s="286"/>
      <c r="B73" s="258"/>
      <c r="C73" s="258" t="s">
        <v>782</v>
      </c>
      <c r="D73" s="243"/>
      <c r="E73" s="243"/>
      <c r="F73" s="244">
        <v>0</v>
      </c>
      <c r="G73" s="244">
        <v>0</v>
      </c>
      <c r="H73" s="244">
        <v>0</v>
      </c>
      <c r="I73" s="244">
        <v>51.606630868985697</v>
      </c>
      <c r="J73" s="244">
        <v>15378.775998957701</v>
      </c>
      <c r="K73" s="244">
        <v>0</v>
      </c>
      <c r="L73" s="244">
        <v>0</v>
      </c>
      <c r="M73" s="244">
        <v>0</v>
      </c>
      <c r="N73" s="244">
        <v>0</v>
      </c>
      <c r="O73" s="244">
        <v>15378.775998957701</v>
      </c>
    </row>
    <row r="74" spans="1:16" s="237" customFormat="1" ht="12" x14ac:dyDescent="0.2">
      <c r="A74" s="286"/>
      <c r="B74" s="258"/>
      <c r="C74" s="258" t="s">
        <v>783</v>
      </c>
      <c r="D74" s="243"/>
      <c r="E74" s="243"/>
      <c r="F74" s="244">
        <v>0</v>
      </c>
      <c r="G74" s="244">
        <v>0</v>
      </c>
      <c r="H74" s="244">
        <v>0</v>
      </c>
      <c r="I74" s="244">
        <v>11.370439414643201</v>
      </c>
      <c r="J74" s="244">
        <v>3388.3909455636799</v>
      </c>
      <c r="K74" s="244">
        <v>0</v>
      </c>
      <c r="L74" s="244">
        <v>0</v>
      </c>
      <c r="M74" s="244">
        <v>0</v>
      </c>
      <c r="N74" s="244">
        <v>0</v>
      </c>
      <c r="O74" s="244">
        <v>3388.3909455636799</v>
      </c>
    </row>
    <row r="75" spans="1:16" s="234" customFormat="1" ht="12.75" x14ac:dyDescent="0.2">
      <c r="A75" s="278" t="s">
        <v>764</v>
      </c>
      <c r="B75" s="279" t="s">
        <v>193</v>
      </c>
      <c r="C75" s="287"/>
      <c r="D75" s="251"/>
      <c r="E75" s="251"/>
      <c r="F75" s="252">
        <v>0</v>
      </c>
      <c r="G75" s="252">
        <v>1.0798265328485801</v>
      </c>
      <c r="H75" s="252">
        <v>26.9956633212146</v>
      </c>
      <c r="I75" s="252">
        <v>2.7995502703481799E-2</v>
      </c>
      <c r="J75" s="252">
        <v>8.3426598056375596</v>
      </c>
      <c r="K75" s="252">
        <v>0</v>
      </c>
      <c r="L75" s="252">
        <v>0</v>
      </c>
      <c r="M75" s="252">
        <v>0</v>
      </c>
      <c r="N75" s="252">
        <v>0</v>
      </c>
      <c r="O75" s="252">
        <v>35.338323126852103</v>
      </c>
    </row>
    <row r="76" spans="1:16" s="234" customFormat="1" ht="12.75" x14ac:dyDescent="0.2">
      <c r="A76" s="259" t="s">
        <v>776</v>
      </c>
      <c r="B76" s="260" t="s">
        <v>784</v>
      </c>
      <c r="C76" s="288"/>
      <c r="D76" s="280"/>
      <c r="E76" s="280"/>
      <c r="F76" s="281">
        <v>1477.0353370666701</v>
      </c>
      <c r="G76" s="281">
        <v>0</v>
      </c>
      <c r="H76" s="281">
        <v>0</v>
      </c>
      <c r="I76" s="281">
        <v>0</v>
      </c>
      <c r="J76" s="281">
        <v>0</v>
      </c>
      <c r="K76" s="281">
        <v>0</v>
      </c>
      <c r="L76" s="281">
        <v>0</v>
      </c>
      <c r="M76" s="281">
        <v>0</v>
      </c>
      <c r="N76" s="281">
        <v>0</v>
      </c>
      <c r="O76" s="281">
        <v>1477.0353370666701</v>
      </c>
    </row>
    <row r="77" spans="1:16" s="234" customFormat="1" ht="12.75" x14ac:dyDescent="0.2">
      <c r="A77" s="220" t="s">
        <v>785</v>
      </c>
      <c r="B77" s="289"/>
      <c r="C77" s="289"/>
      <c r="F77" s="223">
        <v>506.03916384000001</v>
      </c>
      <c r="G77" s="223">
        <v>1018.41976975</v>
      </c>
      <c r="H77" s="223">
        <v>25460.494243749999</v>
      </c>
      <c r="I77" s="223">
        <v>4.0775497999999999</v>
      </c>
      <c r="J77" s="223">
        <v>1215.1098403999999</v>
      </c>
      <c r="K77" s="223">
        <v>0</v>
      </c>
      <c r="L77" s="223">
        <v>0</v>
      </c>
      <c r="M77" s="223">
        <v>0</v>
      </c>
      <c r="N77" s="223">
        <v>0</v>
      </c>
      <c r="O77" s="223">
        <v>27181.64324799</v>
      </c>
    </row>
    <row r="78" spans="1:16" s="234" customFormat="1" ht="12.75" x14ac:dyDescent="0.2">
      <c r="A78" s="224" t="s">
        <v>724</v>
      </c>
      <c r="B78" s="225" t="s">
        <v>786</v>
      </c>
      <c r="C78" s="225"/>
      <c r="F78" s="231">
        <v>0</v>
      </c>
      <c r="G78" s="231">
        <v>980.82202245999997</v>
      </c>
      <c r="H78" s="231">
        <v>24520.5505615</v>
      </c>
      <c r="I78" s="231">
        <v>0</v>
      </c>
      <c r="J78" s="231">
        <v>0</v>
      </c>
      <c r="K78" s="231">
        <v>0</v>
      </c>
      <c r="L78" s="231">
        <v>0</v>
      </c>
      <c r="M78" s="231">
        <v>0</v>
      </c>
      <c r="N78" s="231">
        <v>0</v>
      </c>
      <c r="O78" s="231">
        <v>24520.5505615</v>
      </c>
    </row>
    <row r="79" spans="1:16" s="234" customFormat="1" ht="12.75" x14ac:dyDescent="0.2">
      <c r="A79" s="224" t="s">
        <v>737</v>
      </c>
      <c r="B79" s="225" t="s">
        <v>787</v>
      </c>
      <c r="C79" s="225"/>
      <c r="F79" s="231">
        <v>0</v>
      </c>
      <c r="G79" s="231">
        <v>22.003707599999998</v>
      </c>
      <c r="H79" s="231">
        <v>550.09268999999995</v>
      </c>
      <c r="I79" s="231">
        <v>1.3202224600000001</v>
      </c>
      <c r="J79" s="231">
        <v>393.42629307999999</v>
      </c>
      <c r="K79" s="231">
        <v>0</v>
      </c>
      <c r="L79" s="231">
        <v>0</v>
      </c>
      <c r="M79" s="231">
        <v>0</v>
      </c>
      <c r="N79" s="231">
        <v>0</v>
      </c>
      <c r="O79" s="231">
        <v>943.51898308</v>
      </c>
    </row>
    <row r="80" spans="1:16" s="234" customFormat="1" ht="12.75" x14ac:dyDescent="0.2">
      <c r="A80" s="278" t="s">
        <v>788</v>
      </c>
      <c r="B80" s="279" t="s">
        <v>789</v>
      </c>
      <c r="C80" s="279"/>
      <c r="D80" s="251"/>
      <c r="E80" s="251"/>
      <c r="F80" s="252">
        <v>0</v>
      </c>
      <c r="G80" s="252">
        <v>15.372408950000001</v>
      </c>
      <c r="H80" s="252">
        <v>384.31022374999998</v>
      </c>
      <c r="I80" s="252">
        <v>2.1065031400000001</v>
      </c>
      <c r="J80" s="252">
        <v>627.73793572</v>
      </c>
      <c r="K80" s="252">
        <v>0</v>
      </c>
      <c r="L80" s="252">
        <v>0</v>
      </c>
      <c r="M80" s="252">
        <v>0</v>
      </c>
      <c r="N80" s="252">
        <v>0</v>
      </c>
      <c r="O80" s="252">
        <v>1012.04815947</v>
      </c>
    </row>
    <row r="81" spans="1:30" s="234" customFormat="1" ht="12.75" x14ac:dyDescent="0.2">
      <c r="A81" s="259" t="s">
        <v>764</v>
      </c>
      <c r="B81" s="260" t="s">
        <v>790</v>
      </c>
      <c r="C81" s="260"/>
      <c r="D81" s="280"/>
      <c r="E81" s="280"/>
      <c r="F81" s="281">
        <v>506.03916384000001</v>
      </c>
      <c r="G81" s="281">
        <v>0.22163073999999999</v>
      </c>
      <c r="H81" s="281">
        <v>5.5407685000000004</v>
      </c>
      <c r="I81" s="281">
        <v>0.65082419999999996</v>
      </c>
      <c r="J81" s="281">
        <v>193.94561160000001</v>
      </c>
      <c r="K81" s="281">
        <v>0</v>
      </c>
      <c r="L81" s="281">
        <v>0</v>
      </c>
      <c r="M81" s="281">
        <v>0</v>
      </c>
      <c r="N81" s="281">
        <v>0</v>
      </c>
      <c r="O81" s="281">
        <v>705.52554394000003</v>
      </c>
    </row>
    <row r="82" spans="1:30" s="267" customFormat="1" ht="12.75" x14ac:dyDescent="0.2">
      <c r="A82" s="263" t="s">
        <v>791</v>
      </c>
      <c r="B82" s="264"/>
      <c r="C82" s="264"/>
      <c r="F82" s="223">
        <v>-41595.102658999996</v>
      </c>
      <c r="G82" s="223">
        <v>51.968370999999998</v>
      </c>
      <c r="H82" s="223">
        <v>1299.2092749999999</v>
      </c>
      <c r="I82" s="223">
        <v>1.748613</v>
      </c>
      <c r="J82" s="223">
        <v>521.08667400000002</v>
      </c>
      <c r="K82" s="223">
        <v>0</v>
      </c>
      <c r="L82" s="223">
        <v>0</v>
      </c>
      <c r="M82" s="223">
        <v>0</v>
      </c>
      <c r="N82" s="223">
        <v>0</v>
      </c>
      <c r="O82" s="223">
        <v>-39774.806709999997</v>
      </c>
    </row>
    <row r="83" spans="1:30" s="234" customFormat="1" ht="12.75" x14ac:dyDescent="0.2">
      <c r="A83" s="224" t="s">
        <v>724</v>
      </c>
      <c r="B83" s="225" t="s">
        <v>792</v>
      </c>
      <c r="C83" s="225"/>
      <c r="F83" s="231">
        <v>-191205.17756700001</v>
      </c>
      <c r="G83" s="231">
        <v>12.113250000000001</v>
      </c>
      <c r="H83" s="231">
        <v>302.83125000000001</v>
      </c>
      <c r="I83" s="231">
        <v>0.50956699999999999</v>
      </c>
      <c r="J83" s="231">
        <v>151.850966</v>
      </c>
      <c r="K83" s="231">
        <v>0</v>
      </c>
      <c r="L83" s="231">
        <v>0</v>
      </c>
      <c r="M83" s="231">
        <v>0</v>
      </c>
      <c r="N83" s="231">
        <v>0</v>
      </c>
      <c r="O83" s="231">
        <v>-190750.49535099999</v>
      </c>
    </row>
    <row r="84" spans="1:30" s="234" customFormat="1" ht="12.75" x14ac:dyDescent="0.2">
      <c r="A84" s="224" t="s">
        <v>737</v>
      </c>
      <c r="B84" s="225" t="s">
        <v>793</v>
      </c>
      <c r="C84" s="225"/>
      <c r="F84" s="231">
        <v>-9458.251773</v>
      </c>
      <c r="G84" s="231">
        <v>4.7232529999999997</v>
      </c>
      <c r="H84" s="231">
        <v>118.08132500000001</v>
      </c>
      <c r="I84" s="231">
        <v>0.23957000000000001</v>
      </c>
      <c r="J84" s="231">
        <v>71.391859999999994</v>
      </c>
      <c r="K84" s="231">
        <v>0</v>
      </c>
      <c r="L84" s="231">
        <v>0</v>
      </c>
      <c r="M84" s="231">
        <v>0</v>
      </c>
      <c r="N84" s="231">
        <v>0</v>
      </c>
      <c r="O84" s="231">
        <v>-9268.7785879999992</v>
      </c>
    </row>
    <row r="85" spans="1:30" s="234" customFormat="1" ht="12.75" x14ac:dyDescent="0.2">
      <c r="A85" s="278" t="s">
        <v>758</v>
      </c>
      <c r="B85" s="279" t="s">
        <v>794</v>
      </c>
      <c r="C85" s="279"/>
      <c r="F85" s="231">
        <v>0</v>
      </c>
      <c r="G85" s="231">
        <v>27.970600000000001</v>
      </c>
      <c r="H85" s="231">
        <v>699.26499999999999</v>
      </c>
      <c r="I85" s="231">
        <v>0.72516000000000003</v>
      </c>
      <c r="J85" s="231">
        <v>216.09768</v>
      </c>
      <c r="K85" s="231">
        <v>0</v>
      </c>
      <c r="L85" s="231">
        <v>0</v>
      </c>
      <c r="M85" s="231">
        <v>0</v>
      </c>
      <c r="N85" s="231">
        <v>0</v>
      </c>
      <c r="O85" s="231">
        <v>915.36267999999995</v>
      </c>
    </row>
    <row r="86" spans="1:30" s="234" customFormat="1" ht="12.75" x14ac:dyDescent="0.2">
      <c r="A86" s="278" t="s">
        <v>764</v>
      </c>
      <c r="B86" s="279" t="s">
        <v>795</v>
      </c>
      <c r="C86" s="279"/>
      <c r="F86" s="231">
        <v>2820.534885</v>
      </c>
      <c r="G86" s="231">
        <v>1.406096</v>
      </c>
      <c r="H86" s="231">
        <v>35.1524</v>
      </c>
      <c r="I86" s="231">
        <v>6.5087000000000006E-2</v>
      </c>
      <c r="J86" s="231">
        <v>19.395925999999999</v>
      </c>
      <c r="K86" s="231">
        <v>0</v>
      </c>
      <c r="L86" s="231">
        <v>0</v>
      </c>
      <c r="M86" s="231">
        <v>0</v>
      </c>
      <c r="N86" s="231">
        <v>0</v>
      </c>
      <c r="O86" s="231">
        <v>2875.0832110000001</v>
      </c>
    </row>
    <row r="87" spans="1:30" s="234" customFormat="1" ht="12.75" x14ac:dyDescent="0.2">
      <c r="A87" s="278" t="s">
        <v>776</v>
      </c>
      <c r="B87" s="279" t="s">
        <v>796</v>
      </c>
      <c r="C87" s="279"/>
      <c r="D87" s="251"/>
      <c r="E87" s="251"/>
      <c r="F87" s="252">
        <v>3668.7877720000001</v>
      </c>
      <c r="G87" s="252">
        <v>5.755172</v>
      </c>
      <c r="H87" s="252">
        <v>143.8793</v>
      </c>
      <c r="I87" s="252">
        <v>0.209229</v>
      </c>
      <c r="J87" s="252">
        <v>62.350242000000001</v>
      </c>
      <c r="K87" s="252">
        <v>0</v>
      </c>
      <c r="L87" s="252">
        <v>0</v>
      </c>
      <c r="M87" s="252">
        <v>0</v>
      </c>
      <c r="N87" s="252">
        <v>0</v>
      </c>
      <c r="O87" s="252">
        <v>3875.0173140000002</v>
      </c>
    </row>
    <row r="88" spans="1:30" s="234" customFormat="1" ht="12.75" x14ac:dyDescent="0.2">
      <c r="A88" s="259" t="s">
        <v>778</v>
      </c>
      <c r="B88" s="260" t="s">
        <v>797</v>
      </c>
      <c r="C88" s="260"/>
      <c r="D88" s="280"/>
      <c r="E88" s="280"/>
      <c r="F88" s="281">
        <v>152579.00402399999</v>
      </c>
      <c r="G88" s="281">
        <v>0</v>
      </c>
      <c r="H88" s="281">
        <v>0</v>
      </c>
      <c r="I88" s="281">
        <v>0</v>
      </c>
      <c r="J88" s="281">
        <v>0</v>
      </c>
      <c r="K88" s="281">
        <v>0</v>
      </c>
      <c r="L88" s="281">
        <v>0</v>
      </c>
      <c r="M88" s="281">
        <v>0</v>
      </c>
      <c r="N88" s="281">
        <v>0</v>
      </c>
      <c r="O88" s="281">
        <v>152579.00402399999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810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821</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584952.89378325199</v>
      </c>
      <c r="G7" s="218">
        <v>4560.0287913784096</v>
      </c>
      <c r="H7" s="218">
        <v>114000.71978446</v>
      </c>
      <c r="I7" s="218">
        <v>133.314606902522</v>
      </c>
      <c r="J7" s="218">
        <v>39727.752856951498</v>
      </c>
      <c r="K7" s="218">
        <v>3979.8576530497598</v>
      </c>
      <c r="L7" s="218">
        <v>3490.0863810147198</v>
      </c>
      <c r="M7" s="218">
        <v>2651.4350341570198</v>
      </c>
      <c r="N7" s="218">
        <v>0.21173813466666699</v>
      </c>
      <c r="O7" s="218">
        <v>748802.95723101997</v>
      </c>
    </row>
    <row r="8" spans="1:16" ht="15.75" thickTop="1" x14ac:dyDescent="0.2">
      <c r="A8" s="220" t="s">
        <v>723</v>
      </c>
      <c r="B8" s="221"/>
      <c r="C8" s="221"/>
      <c r="F8" s="223">
        <v>541809.98223199404</v>
      </c>
      <c r="G8" s="223">
        <v>2203.1835777696301</v>
      </c>
      <c r="H8" s="223">
        <v>55079.589444240803</v>
      </c>
      <c r="I8" s="223">
        <v>41.341482841666199</v>
      </c>
      <c r="J8" s="223">
        <v>12319.761886816499</v>
      </c>
      <c r="K8" s="223">
        <v>0</v>
      </c>
      <c r="L8" s="223">
        <v>0</v>
      </c>
      <c r="M8" s="223">
        <v>0</v>
      </c>
      <c r="N8" s="223">
        <v>0</v>
      </c>
      <c r="O8" s="223">
        <v>609209.333563052</v>
      </c>
    </row>
    <row r="9" spans="1:16" x14ac:dyDescent="0.2">
      <c r="A9" s="224" t="s">
        <v>724</v>
      </c>
      <c r="B9" s="225" t="s">
        <v>725</v>
      </c>
      <c r="C9" s="225"/>
      <c r="F9" s="226">
        <v>349413.96875715</v>
      </c>
      <c r="G9" s="226">
        <v>250.875973405791</v>
      </c>
      <c r="H9" s="226">
        <v>6271.8993351447698</v>
      </c>
      <c r="I9" s="226">
        <v>9.3677028599446608</v>
      </c>
      <c r="J9" s="226">
        <v>2791.5754522635102</v>
      </c>
      <c r="K9" s="226">
        <v>0</v>
      </c>
      <c r="L9" s="226">
        <v>0</v>
      </c>
      <c r="M9" s="226">
        <v>0</v>
      </c>
      <c r="N9" s="226">
        <v>0</v>
      </c>
      <c r="O9" s="226">
        <v>358477.44354455802</v>
      </c>
      <c r="P9" s="227"/>
    </row>
    <row r="10" spans="1:16" x14ac:dyDescent="0.2">
      <c r="A10" s="228"/>
      <c r="B10" s="229" t="s">
        <v>726</v>
      </c>
      <c r="C10" s="230"/>
      <c r="F10" s="231">
        <v>128700.465195215</v>
      </c>
      <c r="G10" s="231">
        <v>5.4479358814987204</v>
      </c>
      <c r="H10" s="231">
        <v>136.198397037468</v>
      </c>
      <c r="I10" s="231">
        <v>2.5771193700541999</v>
      </c>
      <c r="J10" s="231">
        <v>767.98157227615297</v>
      </c>
      <c r="K10" s="231">
        <v>0</v>
      </c>
      <c r="L10" s="231">
        <v>0</v>
      </c>
      <c r="M10" s="231">
        <v>0</v>
      </c>
      <c r="N10" s="231">
        <v>0</v>
      </c>
      <c r="O10" s="231">
        <v>129604.64516452901</v>
      </c>
    </row>
    <row r="11" spans="1:16" x14ac:dyDescent="0.2">
      <c r="A11" s="228"/>
      <c r="B11" s="232" t="s">
        <v>727</v>
      </c>
      <c r="C11" s="230"/>
      <c r="F11" s="231">
        <v>20147.892854453301</v>
      </c>
      <c r="G11" s="231">
        <v>0.48761662453847598</v>
      </c>
      <c r="H11" s="231">
        <v>12.1904156134619</v>
      </c>
      <c r="I11" s="231">
        <v>0.168769711700473</v>
      </c>
      <c r="J11" s="231">
        <v>50.293374086740997</v>
      </c>
      <c r="K11" s="231">
        <v>0</v>
      </c>
      <c r="L11" s="231">
        <v>0</v>
      </c>
      <c r="M11" s="231">
        <v>0</v>
      </c>
      <c r="N11" s="231">
        <v>0</v>
      </c>
      <c r="O11" s="231">
        <v>20210.376644153501</v>
      </c>
    </row>
    <row r="12" spans="1:16" s="234" customFormat="1" ht="12.75" x14ac:dyDescent="0.2">
      <c r="A12" s="228"/>
      <c r="B12" s="232" t="s">
        <v>728</v>
      </c>
      <c r="C12" s="233"/>
      <c r="F12" s="231">
        <v>69187.183907489001</v>
      </c>
      <c r="G12" s="231">
        <v>107.42745665032901</v>
      </c>
      <c r="H12" s="231">
        <v>2685.6864162582201</v>
      </c>
      <c r="I12" s="231">
        <v>1.6328406319039701</v>
      </c>
      <c r="J12" s="231">
        <v>486.58650830738401</v>
      </c>
      <c r="K12" s="231">
        <v>0</v>
      </c>
      <c r="L12" s="231">
        <v>0</v>
      </c>
      <c r="M12" s="231">
        <v>0</v>
      </c>
      <c r="N12" s="231">
        <v>0</v>
      </c>
      <c r="O12" s="231">
        <v>72359.456832054697</v>
      </c>
    </row>
    <row r="13" spans="1:16" s="234" customFormat="1" ht="12.75" x14ac:dyDescent="0.2">
      <c r="A13" s="228"/>
      <c r="B13" s="229" t="s">
        <v>729</v>
      </c>
      <c r="C13" s="229"/>
      <c r="F13" s="231">
        <v>48651.032960390701</v>
      </c>
      <c r="G13" s="231">
        <v>2.61110656736524</v>
      </c>
      <c r="H13" s="231">
        <v>65.277664184131098</v>
      </c>
      <c r="I13" s="231">
        <v>1.9277555471371299</v>
      </c>
      <c r="J13" s="231">
        <v>574.47115304686395</v>
      </c>
      <c r="K13" s="231">
        <v>0</v>
      </c>
      <c r="L13" s="231">
        <v>0</v>
      </c>
      <c r="M13" s="231">
        <v>0</v>
      </c>
      <c r="N13" s="231">
        <v>0</v>
      </c>
      <c r="O13" s="231">
        <v>49290.781777621698</v>
      </c>
    </row>
    <row r="14" spans="1:16" s="237" customFormat="1" ht="12" x14ac:dyDescent="0.2">
      <c r="A14" s="235"/>
      <c r="B14" s="230"/>
      <c r="C14" s="236" t="s">
        <v>2</v>
      </c>
      <c r="F14" s="238">
        <v>5489.81145765372</v>
      </c>
      <c r="G14" s="238">
        <v>0.15405800309666501</v>
      </c>
      <c r="H14" s="238">
        <v>3.8514500774166298</v>
      </c>
      <c r="I14" s="238">
        <v>0.13276353192590901</v>
      </c>
      <c r="J14" s="238">
        <v>39.563532513920997</v>
      </c>
      <c r="K14" s="238">
        <v>0</v>
      </c>
      <c r="L14" s="238">
        <v>0</v>
      </c>
      <c r="M14" s="238">
        <v>0</v>
      </c>
      <c r="N14" s="238">
        <v>0</v>
      </c>
      <c r="O14" s="238">
        <v>5533.2264402450601</v>
      </c>
    </row>
    <row r="15" spans="1:16" s="237" customFormat="1" ht="12" x14ac:dyDescent="0.2">
      <c r="A15" s="235"/>
      <c r="B15" s="230"/>
      <c r="C15" s="236" t="s">
        <v>730</v>
      </c>
      <c r="F15" s="238">
        <v>3513.4157041988001</v>
      </c>
      <c r="G15" s="238">
        <v>7.5966052491560798E-2</v>
      </c>
      <c r="H15" s="238">
        <v>1.89915131228902</v>
      </c>
      <c r="I15" s="238">
        <v>5.2255516158139302E-2</v>
      </c>
      <c r="J15" s="238">
        <v>15.5721438151255</v>
      </c>
      <c r="K15" s="238">
        <v>0</v>
      </c>
      <c r="L15" s="238">
        <v>0</v>
      </c>
      <c r="M15" s="238">
        <v>0</v>
      </c>
      <c r="N15" s="238">
        <v>0</v>
      </c>
      <c r="O15" s="238">
        <v>3530.8869993262101</v>
      </c>
    </row>
    <row r="16" spans="1:16" s="237" customFormat="1" ht="12" x14ac:dyDescent="0.2">
      <c r="A16" s="235"/>
      <c r="B16" s="230"/>
      <c r="C16" s="236" t="s">
        <v>731</v>
      </c>
      <c r="F16" s="238">
        <v>8108.1696515644098</v>
      </c>
      <c r="G16" s="238">
        <v>0.16636827996106299</v>
      </c>
      <c r="H16" s="238">
        <v>4.1592069990265701</v>
      </c>
      <c r="I16" s="238">
        <v>0.14122950776422599</v>
      </c>
      <c r="J16" s="238">
        <v>42.086393313739499</v>
      </c>
      <c r="K16" s="238">
        <v>0</v>
      </c>
      <c r="L16" s="238">
        <v>0</v>
      </c>
      <c r="M16" s="238">
        <v>0</v>
      </c>
      <c r="N16" s="238">
        <v>0</v>
      </c>
      <c r="O16" s="238">
        <v>8154.4152518771798</v>
      </c>
    </row>
    <row r="17" spans="1:16" s="237" customFormat="1" ht="12" x14ac:dyDescent="0.2">
      <c r="A17" s="235"/>
      <c r="B17" s="230"/>
      <c r="C17" s="236" t="s">
        <v>732</v>
      </c>
      <c r="F17" s="238">
        <v>10062.395696658399</v>
      </c>
      <c r="G17" s="238">
        <v>1.4048546836212199</v>
      </c>
      <c r="H17" s="238">
        <v>35.121367090530498</v>
      </c>
      <c r="I17" s="238">
        <v>1.07139853490319</v>
      </c>
      <c r="J17" s="238">
        <v>319.27676340115198</v>
      </c>
      <c r="K17" s="238">
        <v>0</v>
      </c>
      <c r="L17" s="238">
        <v>0</v>
      </c>
      <c r="M17" s="238">
        <v>0</v>
      </c>
      <c r="N17" s="238">
        <v>0</v>
      </c>
      <c r="O17" s="238">
        <v>10416.793827150101</v>
      </c>
    </row>
    <row r="18" spans="1:16" s="237" customFormat="1" ht="12" x14ac:dyDescent="0.2">
      <c r="A18" s="235"/>
      <c r="B18" s="230"/>
      <c r="C18" s="236" t="s">
        <v>35</v>
      </c>
      <c r="F18" s="238">
        <v>4971.0933619139996</v>
      </c>
      <c r="G18" s="238">
        <v>0.22335974676600201</v>
      </c>
      <c r="H18" s="238">
        <v>5.5839936691500602</v>
      </c>
      <c r="I18" s="238">
        <v>5.9100346516013903E-2</v>
      </c>
      <c r="J18" s="238">
        <v>17.611903261772099</v>
      </c>
      <c r="K18" s="238">
        <v>0</v>
      </c>
      <c r="L18" s="238">
        <v>0</v>
      </c>
      <c r="M18" s="238">
        <v>0</v>
      </c>
      <c r="N18" s="238">
        <v>0</v>
      </c>
      <c r="O18" s="238">
        <v>4994.2892588449204</v>
      </c>
    </row>
    <row r="19" spans="1:16" s="237" customFormat="1" ht="12" x14ac:dyDescent="0.2">
      <c r="A19" s="235"/>
      <c r="B19" s="230"/>
      <c r="C19" s="236" t="s">
        <v>733</v>
      </c>
      <c r="F19" s="238">
        <v>16506.1470884013</v>
      </c>
      <c r="G19" s="238">
        <v>0.58649980142873004</v>
      </c>
      <c r="H19" s="238">
        <v>14.662495035718299</v>
      </c>
      <c r="I19" s="238">
        <v>0.47100810986964198</v>
      </c>
      <c r="J19" s="238">
        <v>140.36041674115299</v>
      </c>
      <c r="K19" s="238">
        <v>0</v>
      </c>
      <c r="L19" s="238">
        <v>0</v>
      </c>
      <c r="M19" s="238">
        <v>0</v>
      </c>
      <c r="N19" s="238">
        <v>0</v>
      </c>
      <c r="O19" s="238">
        <v>16661.170000178201</v>
      </c>
    </row>
    <row r="20" spans="1:16" s="234" customFormat="1" ht="12.75" x14ac:dyDescent="0.2">
      <c r="A20" s="228"/>
      <c r="B20" s="229" t="s">
        <v>734</v>
      </c>
      <c r="C20" s="239"/>
      <c r="F20" s="231">
        <v>1338.72765</v>
      </c>
      <c r="G20" s="231">
        <v>2.3340759999999999E-2</v>
      </c>
      <c r="H20" s="231">
        <v>0.58351900000000001</v>
      </c>
      <c r="I20" s="231">
        <v>3.0112719999999999E-2</v>
      </c>
      <c r="J20" s="231">
        <v>8.9735905599999999</v>
      </c>
      <c r="K20" s="231">
        <v>0</v>
      </c>
      <c r="L20" s="231">
        <v>0</v>
      </c>
      <c r="M20" s="231">
        <v>0</v>
      </c>
      <c r="N20" s="231">
        <v>0</v>
      </c>
      <c r="O20" s="231">
        <v>1348.2847595600001</v>
      </c>
    </row>
    <row r="21" spans="1:16" s="234" customFormat="1" ht="12.75" x14ac:dyDescent="0.2">
      <c r="A21" s="228"/>
      <c r="B21" s="229" t="s">
        <v>735</v>
      </c>
      <c r="C21" s="229"/>
      <c r="F21" s="231">
        <v>34857.697736213602</v>
      </c>
      <c r="G21" s="231">
        <v>0.63612366987551705</v>
      </c>
      <c r="H21" s="231">
        <v>15.903091746887901</v>
      </c>
      <c r="I21" s="231">
        <v>0.72218603451949004</v>
      </c>
      <c r="J21" s="231">
        <v>215.211438286808</v>
      </c>
      <c r="K21" s="231">
        <v>0</v>
      </c>
      <c r="L21" s="231">
        <v>0</v>
      </c>
      <c r="M21" s="231">
        <v>0</v>
      </c>
      <c r="N21" s="231">
        <v>0</v>
      </c>
      <c r="O21" s="231">
        <v>35088.812266247303</v>
      </c>
    </row>
    <row r="22" spans="1:16" s="234" customFormat="1" ht="12.75" x14ac:dyDescent="0.2">
      <c r="A22" s="228"/>
      <c r="B22" s="229" t="s">
        <v>181</v>
      </c>
      <c r="C22" s="229"/>
      <c r="F22" s="231">
        <v>44248.316989999999</v>
      </c>
      <c r="G22" s="231">
        <v>134.20375968688501</v>
      </c>
      <c r="H22" s="231">
        <v>3355.0939921721101</v>
      </c>
      <c r="I22" s="231">
        <v>2.25138969179475</v>
      </c>
      <c r="J22" s="231">
        <v>670.91412815483602</v>
      </c>
      <c r="K22" s="231">
        <v>0</v>
      </c>
      <c r="L22" s="231">
        <v>0</v>
      </c>
      <c r="M22" s="231">
        <v>0</v>
      </c>
      <c r="N22" s="231">
        <v>0</v>
      </c>
      <c r="O22" s="231">
        <v>48274.325110327001</v>
      </c>
    </row>
    <row r="23" spans="1:16" s="234" customFormat="1" ht="12.75" x14ac:dyDescent="0.2">
      <c r="A23" s="228"/>
      <c r="B23" s="229" t="s">
        <v>736</v>
      </c>
      <c r="C23" s="229"/>
      <c r="F23" s="231">
        <v>2282.6514633881502</v>
      </c>
      <c r="G23" s="231">
        <v>3.8633565299449897E-2</v>
      </c>
      <c r="H23" s="231">
        <v>0.96583913248624798</v>
      </c>
      <c r="I23" s="231">
        <v>5.7529152834644499E-2</v>
      </c>
      <c r="J23" s="231">
        <v>17.143687544724099</v>
      </c>
      <c r="K23" s="231">
        <v>0</v>
      </c>
      <c r="L23" s="231">
        <v>0</v>
      </c>
      <c r="M23" s="231">
        <v>0</v>
      </c>
      <c r="N23" s="231">
        <v>0</v>
      </c>
      <c r="O23" s="231">
        <v>2300.7609900653601</v>
      </c>
    </row>
    <row r="24" spans="1:16" s="240" customFormat="1" ht="14.25" x14ac:dyDescent="0.2">
      <c r="A24" s="224" t="s">
        <v>737</v>
      </c>
      <c r="B24" s="225" t="s">
        <v>738</v>
      </c>
      <c r="C24" s="225"/>
      <c r="F24" s="226">
        <v>176425.732797356</v>
      </c>
      <c r="G24" s="226">
        <v>27.6300578493023</v>
      </c>
      <c r="H24" s="226">
        <v>690.75144623255699</v>
      </c>
      <c r="I24" s="226">
        <v>31.845613770917701</v>
      </c>
      <c r="J24" s="226">
        <v>9489.9929037334805</v>
      </c>
      <c r="K24" s="226">
        <v>0</v>
      </c>
      <c r="L24" s="226">
        <v>0</v>
      </c>
      <c r="M24" s="226">
        <v>0</v>
      </c>
      <c r="N24" s="226">
        <v>0</v>
      </c>
      <c r="O24" s="226">
        <v>186606.477147322</v>
      </c>
      <c r="P24" s="241"/>
    </row>
    <row r="25" spans="1:16" s="234" customFormat="1" ht="12.75" x14ac:dyDescent="0.2">
      <c r="A25" s="228"/>
      <c r="B25" s="232" t="s">
        <v>739</v>
      </c>
      <c r="C25" s="229"/>
      <c r="F25" s="231">
        <v>6961.7962547277903</v>
      </c>
      <c r="G25" s="231">
        <v>0.32295070662402497</v>
      </c>
      <c r="H25" s="231">
        <v>8.0737676656006201</v>
      </c>
      <c r="I25" s="231">
        <v>0.20805164735092099</v>
      </c>
      <c r="J25" s="231">
        <v>61.999390910574498</v>
      </c>
      <c r="K25" s="231">
        <v>0</v>
      </c>
      <c r="L25" s="231">
        <v>0</v>
      </c>
      <c r="M25" s="231">
        <v>0</v>
      </c>
      <c r="N25" s="231">
        <v>0</v>
      </c>
      <c r="O25" s="231">
        <v>7031.8694133039698</v>
      </c>
    </row>
    <row r="26" spans="1:16" s="234" customFormat="1" ht="12.75" x14ac:dyDescent="0.2">
      <c r="A26" s="228"/>
      <c r="B26" s="229" t="s">
        <v>740</v>
      </c>
      <c r="C26" s="229"/>
      <c r="F26" s="231">
        <v>120006.439573191</v>
      </c>
      <c r="G26" s="231">
        <v>11.2748025822379</v>
      </c>
      <c r="H26" s="231">
        <v>281.87006455594599</v>
      </c>
      <c r="I26" s="231">
        <v>19.433147180245999</v>
      </c>
      <c r="J26" s="231">
        <v>5791.0778597132903</v>
      </c>
      <c r="K26" s="231">
        <v>0</v>
      </c>
      <c r="L26" s="231">
        <v>0</v>
      </c>
      <c r="M26" s="231">
        <v>0</v>
      </c>
      <c r="N26" s="231">
        <v>0</v>
      </c>
      <c r="O26" s="231">
        <v>126079.38749746</v>
      </c>
    </row>
    <row r="27" spans="1:16" s="237" customFormat="1" ht="12" x14ac:dyDescent="0.2">
      <c r="A27" s="235"/>
      <c r="B27" s="230"/>
      <c r="C27" s="236" t="s">
        <v>741</v>
      </c>
      <c r="F27" s="238">
        <v>41137.0408730036</v>
      </c>
      <c r="G27" s="238">
        <v>4.8610481224140196</v>
      </c>
      <c r="H27" s="238">
        <v>121.52620306035</v>
      </c>
      <c r="I27" s="238">
        <v>8.6451888939013095</v>
      </c>
      <c r="J27" s="238">
        <v>2576.2662903825899</v>
      </c>
      <c r="K27" s="238">
        <v>0</v>
      </c>
      <c r="L27" s="238">
        <v>0</v>
      </c>
      <c r="M27" s="238">
        <v>0</v>
      </c>
      <c r="N27" s="238">
        <v>0</v>
      </c>
      <c r="O27" s="238">
        <v>43834.833366446503</v>
      </c>
    </row>
    <row r="28" spans="1:16" s="237" customFormat="1" ht="12" x14ac:dyDescent="0.2">
      <c r="A28" s="235"/>
      <c r="B28" s="230"/>
      <c r="C28" s="236" t="s">
        <v>742</v>
      </c>
      <c r="F28" s="238">
        <v>34941.586164965098</v>
      </c>
      <c r="G28" s="238">
        <v>3.9216166916557</v>
      </c>
      <c r="H28" s="238">
        <v>98.040417291392401</v>
      </c>
      <c r="I28" s="238">
        <v>8.4571555997852705</v>
      </c>
      <c r="J28" s="238">
        <v>2520.2323687360099</v>
      </c>
      <c r="K28" s="238">
        <v>0</v>
      </c>
      <c r="L28" s="238">
        <v>0</v>
      </c>
      <c r="M28" s="238">
        <v>0</v>
      </c>
      <c r="N28" s="238">
        <v>0</v>
      </c>
      <c r="O28" s="238">
        <v>37559.8589509925</v>
      </c>
    </row>
    <row r="29" spans="1:16" s="237" customFormat="1" ht="12" x14ac:dyDescent="0.2">
      <c r="A29" s="235"/>
      <c r="B29" s="230"/>
      <c r="C29" s="236" t="s">
        <v>743</v>
      </c>
      <c r="F29" s="238">
        <v>12202.006048143799</v>
      </c>
      <c r="G29" s="238">
        <v>0.83718762525326396</v>
      </c>
      <c r="H29" s="238">
        <v>20.929690631331599</v>
      </c>
      <c r="I29" s="238">
        <v>0.78370905732631402</v>
      </c>
      <c r="J29" s="238">
        <v>233.54529908324201</v>
      </c>
      <c r="K29" s="238">
        <v>0</v>
      </c>
      <c r="L29" s="238">
        <v>0</v>
      </c>
      <c r="M29" s="238">
        <v>0</v>
      </c>
      <c r="N29" s="238">
        <v>0</v>
      </c>
      <c r="O29" s="238">
        <v>12456.481037858401</v>
      </c>
    </row>
    <row r="30" spans="1:16" s="237" customFormat="1" ht="12" x14ac:dyDescent="0.2">
      <c r="A30" s="235"/>
      <c r="B30" s="230"/>
      <c r="C30" s="236" t="s">
        <v>744</v>
      </c>
      <c r="F30" s="238">
        <v>180.38771740694801</v>
      </c>
      <c r="G30" s="238">
        <v>9.9735197151826493E-2</v>
      </c>
      <c r="H30" s="238">
        <v>2.4933799287956599</v>
      </c>
      <c r="I30" s="238">
        <v>3.39081055233036E-3</v>
      </c>
      <c r="J30" s="238">
        <v>1.01046154459445</v>
      </c>
      <c r="K30" s="238">
        <v>0</v>
      </c>
      <c r="L30" s="238">
        <v>0</v>
      </c>
      <c r="M30" s="238">
        <v>0</v>
      </c>
      <c r="N30" s="238">
        <v>0</v>
      </c>
      <c r="O30" s="238">
        <v>183.89155888033901</v>
      </c>
      <c r="P30" s="242"/>
    </row>
    <row r="31" spans="1:16" s="237" customFormat="1" ht="12" x14ac:dyDescent="0.2">
      <c r="A31" s="235"/>
      <c r="B31" s="230"/>
      <c r="C31" s="236" t="s">
        <v>745</v>
      </c>
      <c r="F31" s="238">
        <v>700.73767031705597</v>
      </c>
      <c r="G31" s="238">
        <v>1.5554934800782801E-2</v>
      </c>
      <c r="H31" s="238">
        <v>0.38887337001956901</v>
      </c>
      <c r="I31" s="238">
        <v>5.5304349678384199E-2</v>
      </c>
      <c r="J31" s="238">
        <v>16.480696204158502</v>
      </c>
      <c r="K31" s="238">
        <v>0</v>
      </c>
      <c r="L31" s="238">
        <v>0</v>
      </c>
      <c r="M31" s="238">
        <v>0</v>
      </c>
      <c r="N31" s="238">
        <v>0</v>
      </c>
      <c r="O31" s="238">
        <v>717.60723989123403</v>
      </c>
    </row>
    <row r="32" spans="1:16" s="237" customFormat="1" ht="12" x14ac:dyDescent="0.2">
      <c r="A32" s="235"/>
      <c r="B32" s="230"/>
      <c r="C32" s="236" t="s">
        <v>746</v>
      </c>
      <c r="D32" s="243"/>
      <c r="E32" s="243"/>
      <c r="F32" s="244">
        <v>380.40329447420601</v>
      </c>
      <c r="G32" s="244">
        <v>9.6936310119864096E-3</v>
      </c>
      <c r="H32" s="244">
        <v>0.24234077529966</v>
      </c>
      <c r="I32" s="244">
        <v>3.0030193364962599E-2</v>
      </c>
      <c r="J32" s="244">
        <v>8.9489976227588404</v>
      </c>
      <c r="K32" s="244">
        <v>0</v>
      </c>
      <c r="L32" s="244">
        <v>0</v>
      </c>
      <c r="M32" s="244">
        <v>0</v>
      </c>
      <c r="N32" s="244">
        <v>0</v>
      </c>
      <c r="O32" s="244">
        <v>389.59463287226498</v>
      </c>
    </row>
    <row r="33" spans="1:15" s="237" customFormat="1" ht="12" x14ac:dyDescent="0.2">
      <c r="A33" s="235"/>
      <c r="B33" s="230"/>
      <c r="C33" s="236" t="s">
        <v>747</v>
      </c>
      <c r="D33" s="243"/>
      <c r="E33" s="243"/>
      <c r="F33" s="244">
        <v>30000.307362122101</v>
      </c>
      <c r="G33" s="244">
        <v>1.3189673855180499</v>
      </c>
      <c r="H33" s="244">
        <v>32.974184637951197</v>
      </c>
      <c r="I33" s="244">
        <v>1.4497489408356601</v>
      </c>
      <c r="J33" s="244">
        <v>432.02518436902699</v>
      </c>
      <c r="K33" s="244">
        <v>0</v>
      </c>
      <c r="L33" s="244">
        <v>0</v>
      </c>
      <c r="M33" s="244">
        <v>0</v>
      </c>
      <c r="N33" s="244">
        <v>0</v>
      </c>
      <c r="O33" s="244">
        <v>30465.306731129102</v>
      </c>
    </row>
    <row r="34" spans="1:15" s="237" customFormat="1" ht="12" x14ac:dyDescent="0.2">
      <c r="A34" s="235"/>
      <c r="B34" s="230"/>
      <c r="C34" s="245" t="s">
        <v>748</v>
      </c>
      <c r="D34" s="243"/>
      <c r="E34" s="243"/>
      <c r="F34" s="244">
        <v>463.97044275775801</v>
      </c>
      <c r="G34" s="244">
        <v>0.210998994432232</v>
      </c>
      <c r="H34" s="244">
        <v>5.2749748608058002</v>
      </c>
      <c r="I34" s="244">
        <v>8.6193348017170306E-3</v>
      </c>
      <c r="J34" s="244">
        <v>2.5685617709116699</v>
      </c>
      <c r="K34" s="244">
        <v>0</v>
      </c>
      <c r="L34" s="244">
        <v>0</v>
      </c>
      <c r="M34" s="244">
        <v>0</v>
      </c>
      <c r="N34" s="244">
        <v>0</v>
      </c>
      <c r="O34" s="244">
        <v>471.81397938947498</v>
      </c>
    </row>
    <row r="35" spans="1:15" s="249" customFormat="1" ht="12.75" x14ac:dyDescent="0.2">
      <c r="A35" s="228"/>
      <c r="B35" s="229" t="s">
        <v>749</v>
      </c>
      <c r="C35" s="246"/>
      <c r="D35" s="247"/>
      <c r="E35" s="247"/>
      <c r="F35" s="248">
        <v>5405.3180567193003</v>
      </c>
      <c r="G35" s="248">
        <v>0.30345853148435198</v>
      </c>
      <c r="H35" s="248">
        <v>7.5864632871088098</v>
      </c>
      <c r="I35" s="248">
        <v>2.0920551740080202</v>
      </c>
      <c r="J35" s="248">
        <v>623.43244185439005</v>
      </c>
      <c r="K35" s="248">
        <v>0</v>
      </c>
      <c r="L35" s="248">
        <v>0</v>
      </c>
      <c r="M35" s="248">
        <v>0</v>
      </c>
      <c r="N35" s="248">
        <v>0</v>
      </c>
      <c r="O35" s="248">
        <v>6036.3369618608003</v>
      </c>
    </row>
    <row r="36" spans="1:15" s="249" customFormat="1" ht="12.75" x14ac:dyDescent="0.2">
      <c r="A36" s="228"/>
      <c r="B36" s="232" t="s">
        <v>750</v>
      </c>
      <c r="C36" s="246"/>
      <c r="D36" s="247"/>
      <c r="E36" s="247"/>
      <c r="F36" s="248">
        <v>6214.4406312668798</v>
      </c>
      <c r="G36" s="248">
        <v>0.56914774002914703</v>
      </c>
      <c r="H36" s="248">
        <v>14.228693500728699</v>
      </c>
      <c r="I36" s="248">
        <v>0.162632220998635</v>
      </c>
      <c r="J36" s="248">
        <v>48.464401857593202</v>
      </c>
      <c r="K36" s="248">
        <v>0</v>
      </c>
      <c r="L36" s="248">
        <v>0</v>
      </c>
      <c r="M36" s="248">
        <v>0</v>
      </c>
      <c r="N36" s="248">
        <v>0</v>
      </c>
      <c r="O36" s="248">
        <v>6277.1337266252003</v>
      </c>
    </row>
    <row r="37" spans="1:15" s="234" customFormat="1" ht="12.75" x14ac:dyDescent="0.2">
      <c r="A37" s="228"/>
      <c r="B37" s="229" t="s">
        <v>751</v>
      </c>
      <c r="C37" s="250"/>
      <c r="D37" s="251"/>
      <c r="E37" s="251"/>
      <c r="F37" s="252">
        <v>37837.738281451602</v>
      </c>
      <c r="G37" s="252">
        <v>15.159698288926901</v>
      </c>
      <c r="H37" s="252">
        <v>378.99245722317198</v>
      </c>
      <c r="I37" s="252">
        <v>9.9497275483142005</v>
      </c>
      <c r="J37" s="252">
        <v>2965.0188093976299</v>
      </c>
      <c r="K37" s="252">
        <v>0</v>
      </c>
      <c r="L37" s="252">
        <v>0</v>
      </c>
      <c r="M37" s="252">
        <v>0</v>
      </c>
      <c r="N37" s="252">
        <v>0</v>
      </c>
      <c r="O37" s="252">
        <v>41181.749548072403</v>
      </c>
    </row>
    <row r="38" spans="1:15" s="237" customFormat="1" ht="12" x14ac:dyDescent="0.2">
      <c r="A38" s="235"/>
      <c r="B38" s="230"/>
      <c r="C38" s="236" t="s">
        <v>752</v>
      </c>
      <c r="F38" s="238">
        <v>11112.539809064199</v>
      </c>
      <c r="G38" s="238">
        <v>0.66355858444258897</v>
      </c>
      <c r="H38" s="238">
        <v>16.5889646110647</v>
      </c>
      <c r="I38" s="238">
        <v>4.28736582847894</v>
      </c>
      <c r="J38" s="238">
        <v>1277.63501688672</v>
      </c>
      <c r="K38" s="238">
        <v>0</v>
      </c>
      <c r="L38" s="238">
        <v>0</v>
      </c>
      <c r="M38" s="238">
        <v>0</v>
      </c>
      <c r="N38" s="238">
        <v>0</v>
      </c>
      <c r="O38" s="238">
        <v>12406.763790561999</v>
      </c>
    </row>
    <row r="39" spans="1:15" s="237" customFormat="1" ht="12" x14ac:dyDescent="0.2">
      <c r="A39" s="235"/>
      <c r="B39" s="230"/>
      <c r="C39" s="236" t="s">
        <v>753</v>
      </c>
      <c r="F39" s="238">
        <v>1746.61922778181</v>
      </c>
      <c r="G39" s="238">
        <v>0.91787246060725203</v>
      </c>
      <c r="H39" s="238">
        <v>22.946811515181299</v>
      </c>
      <c r="I39" s="238">
        <v>0.49693594477157799</v>
      </c>
      <c r="J39" s="238">
        <v>148.08691154192999</v>
      </c>
      <c r="K39" s="238">
        <v>0</v>
      </c>
      <c r="L39" s="238">
        <v>0</v>
      </c>
      <c r="M39" s="238">
        <v>0</v>
      </c>
      <c r="N39" s="238">
        <v>0</v>
      </c>
      <c r="O39" s="238">
        <v>1917.6529508389201</v>
      </c>
    </row>
    <row r="40" spans="1:15" s="237" customFormat="1" ht="12" x14ac:dyDescent="0.2">
      <c r="A40" s="235"/>
      <c r="B40" s="230"/>
      <c r="C40" s="236" t="s">
        <v>754</v>
      </c>
      <c r="F40" s="238">
        <v>10724.5522151815</v>
      </c>
      <c r="G40" s="238">
        <v>0.70991667627614696</v>
      </c>
      <c r="H40" s="238">
        <v>17.747916906903701</v>
      </c>
      <c r="I40" s="238">
        <v>4.05965425393999</v>
      </c>
      <c r="J40" s="238">
        <v>1209.77696767412</v>
      </c>
      <c r="K40" s="238">
        <v>0</v>
      </c>
      <c r="L40" s="238">
        <v>0</v>
      </c>
      <c r="M40" s="238">
        <v>0</v>
      </c>
      <c r="N40" s="238">
        <v>0</v>
      </c>
      <c r="O40" s="238">
        <v>11952.0770997626</v>
      </c>
    </row>
    <row r="41" spans="1:15" s="237" customFormat="1" ht="12" x14ac:dyDescent="0.2">
      <c r="A41" s="235"/>
      <c r="B41" s="230"/>
      <c r="C41" s="236" t="s">
        <v>755</v>
      </c>
      <c r="F41" s="238">
        <v>583.18958106943705</v>
      </c>
      <c r="G41" s="238">
        <v>0.48444811391258302</v>
      </c>
      <c r="H41" s="238">
        <v>12.111202847814599</v>
      </c>
      <c r="I41" s="238">
        <v>7.7448702167262198E-2</v>
      </c>
      <c r="J41" s="238">
        <v>23.079713245844101</v>
      </c>
      <c r="K41" s="238">
        <v>0</v>
      </c>
      <c r="L41" s="238">
        <v>0</v>
      </c>
      <c r="M41" s="238">
        <v>0</v>
      </c>
      <c r="N41" s="238">
        <v>0</v>
      </c>
      <c r="O41" s="238">
        <v>618.38049716309501</v>
      </c>
    </row>
    <row r="42" spans="1:15" s="237" customFormat="1" ht="12" x14ac:dyDescent="0.2">
      <c r="A42" s="235"/>
      <c r="B42" s="230"/>
      <c r="C42" s="236" t="s">
        <v>756</v>
      </c>
      <c r="F42" s="238">
        <v>4837.7694203545298</v>
      </c>
      <c r="G42" s="238">
        <v>3.55140027443833</v>
      </c>
      <c r="H42" s="238">
        <v>88.785006860958305</v>
      </c>
      <c r="I42" s="238">
        <v>0.79259615895642699</v>
      </c>
      <c r="J42" s="238">
        <v>236.193655369015</v>
      </c>
      <c r="K42" s="238">
        <v>0</v>
      </c>
      <c r="L42" s="238">
        <v>0</v>
      </c>
      <c r="M42" s="238">
        <v>0</v>
      </c>
      <c r="N42" s="238">
        <v>0</v>
      </c>
      <c r="O42" s="238">
        <v>5162.7480825844996</v>
      </c>
    </row>
    <row r="43" spans="1:15" s="237" customFormat="1" ht="12" x14ac:dyDescent="0.2">
      <c r="A43" s="235"/>
      <c r="B43" s="230"/>
      <c r="C43" s="253" t="s">
        <v>757</v>
      </c>
      <c r="F43" s="238">
        <v>8833.0680279999997</v>
      </c>
      <c r="G43" s="238">
        <v>8.8325021792499996</v>
      </c>
      <c r="H43" s="238">
        <v>220.81255448125</v>
      </c>
      <c r="I43" s="238">
        <v>0.23572666</v>
      </c>
      <c r="J43" s="238">
        <v>70.24654468</v>
      </c>
      <c r="K43" s="238">
        <v>0</v>
      </c>
      <c r="L43" s="238">
        <v>0</v>
      </c>
      <c r="M43" s="238">
        <v>0</v>
      </c>
      <c r="N43" s="238">
        <v>0</v>
      </c>
      <c r="O43" s="238">
        <v>9124.1271271612495</v>
      </c>
    </row>
    <row r="44" spans="1:15" s="240" customFormat="1" ht="12.75" x14ac:dyDescent="0.2">
      <c r="A44" s="224" t="s">
        <v>758</v>
      </c>
      <c r="B44" s="225" t="s">
        <v>759</v>
      </c>
      <c r="C44" s="225"/>
      <c r="F44" s="226">
        <v>15970.195277487999</v>
      </c>
      <c r="G44" s="226">
        <v>1924.6775465145399</v>
      </c>
      <c r="H44" s="226">
        <v>48116.938662863402</v>
      </c>
      <c r="I44" s="226">
        <v>0.128166210803837</v>
      </c>
      <c r="J44" s="226">
        <v>38.193530819543497</v>
      </c>
      <c r="K44" s="226">
        <v>0</v>
      </c>
      <c r="L44" s="226">
        <v>0</v>
      </c>
      <c r="M44" s="226">
        <v>0</v>
      </c>
      <c r="N44" s="226">
        <v>0</v>
      </c>
      <c r="O44" s="226">
        <v>64125.327471170996</v>
      </c>
    </row>
    <row r="45" spans="1:15" s="234" customFormat="1" ht="12.75" x14ac:dyDescent="0.2">
      <c r="A45" s="228"/>
      <c r="B45" s="229" t="s">
        <v>760</v>
      </c>
      <c r="C45" s="229"/>
      <c r="F45" s="231">
        <v>0</v>
      </c>
      <c r="G45" s="231">
        <v>56.284228359847802</v>
      </c>
      <c r="H45" s="231">
        <v>1407.1057089961901</v>
      </c>
      <c r="I45" s="231">
        <v>0</v>
      </c>
      <c r="J45" s="231">
        <v>0</v>
      </c>
      <c r="K45" s="231">
        <v>0</v>
      </c>
      <c r="L45" s="231">
        <v>0</v>
      </c>
      <c r="M45" s="231">
        <v>0</v>
      </c>
      <c r="N45" s="231">
        <v>0</v>
      </c>
      <c r="O45" s="231">
        <v>1407.1057089961901</v>
      </c>
    </row>
    <row r="46" spans="1:15" s="234" customFormat="1" ht="12.75" x14ac:dyDescent="0.2">
      <c r="A46" s="228"/>
      <c r="B46" s="229" t="s">
        <v>761</v>
      </c>
      <c r="C46" s="229"/>
      <c r="F46" s="231">
        <v>15970.195277487999</v>
      </c>
      <c r="G46" s="231">
        <v>1868.39331815469</v>
      </c>
      <c r="H46" s="231">
        <v>46709.832953867197</v>
      </c>
      <c r="I46" s="231">
        <v>0.128166210803837</v>
      </c>
      <c r="J46" s="231">
        <v>38.193530819543497</v>
      </c>
      <c r="K46" s="231">
        <v>0</v>
      </c>
      <c r="L46" s="231">
        <v>0</v>
      </c>
      <c r="M46" s="231">
        <v>0</v>
      </c>
      <c r="N46" s="231">
        <v>0</v>
      </c>
      <c r="O46" s="231">
        <v>62718.221762174799</v>
      </c>
    </row>
    <row r="47" spans="1:15" s="237" customFormat="1" ht="12" x14ac:dyDescent="0.2">
      <c r="A47" s="254"/>
      <c r="B47" s="255"/>
      <c r="C47" s="230" t="s">
        <v>762</v>
      </c>
      <c r="F47" s="238">
        <v>166.64639080507899</v>
      </c>
      <c r="G47" s="238">
        <v>258.38467732044899</v>
      </c>
      <c r="H47" s="238">
        <v>6459.6169330112198</v>
      </c>
      <c r="I47" s="238">
        <v>0.11600000000000001</v>
      </c>
      <c r="J47" s="238">
        <v>34.567999999999998</v>
      </c>
      <c r="K47" s="238">
        <v>0</v>
      </c>
      <c r="L47" s="238">
        <v>0</v>
      </c>
      <c r="M47" s="238">
        <v>0</v>
      </c>
      <c r="N47" s="238">
        <v>0</v>
      </c>
      <c r="O47" s="238">
        <v>6660.8313238163</v>
      </c>
    </row>
    <row r="48" spans="1:15" s="237" customFormat="1" ht="12" x14ac:dyDescent="0.2">
      <c r="A48" s="254"/>
      <c r="B48" s="255"/>
      <c r="C48" s="230" t="s">
        <v>763</v>
      </c>
      <c r="F48" s="238">
        <v>51.097944684944302</v>
      </c>
      <c r="G48" s="238">
        <v>545.58974338085397</v>
      </c>
      <c r="H48" s="238">
        <v>13639.7435845214</v>
      </c>
      <c r="I48" s="238">
        <v>0</v>
      </c>
      <c r="J48" s="238">
        <v>0</v>
      </c>
      <c r="K48" s="238">
        <v>0</v>
      </c>
      <c r="L48" s="238">
        <v>0</v>
      </c>
      <c r="M48" s="238">
        <v>0</v>
      </c>
      <c r="N48" s="238">
        <v>0</v>
      </c>
      <c r="O48" s="238">
        <v>13690.8415292063</v>
      </c>
    </row>
    <row r="49" spans="1:16" s="237" customFormat="1" ht="12" x14ac:dyDescent="0.2">
      <c r="A49" s="256"/>
      <c r="B49" s="257"/>
      <c r="C49" s="258" t="s">
        <v>380</v>
      </c>
      <c r="D49" s="243"/>
      <c r="E49" s="243"/>
      <c r="F49" s="244">
        <v>10483.6402922666</v>
      </c>
      <c r="G49" s="244">
        <v>1049.57976707944</v>
      </c>
      <c r="H49" s="244">
        <v>26239.494176986002</v>
      </c>
      <c r="I49" s="244">
        <v>0</v>
      </c>
      <c r="J49" s="244">
        <v>0</v>
      </c>
      <c r="K49" s="244">
        <v>0</v>
      </c>
      <c r="L49" s="244">
        <v>0</v>
      </c>
      <c r="M49" s="244">
        <v>0</v>
      </c>
      <c r="N49" s="244">
        <v>0</v>
      </c>
      <c r="O49" s="244">
        <v>36723.134469252502</v>
      </c>
    </row>
    <row r="50" spans="1:16" s="237" customFormat="1" ht="12" x14ac:dyDescent="0.2">
      <c r="A50" s="256"/>
      <c r="B50" s="257"/>
      <c r="C50" s="258" t="s">
        <v>381</v>
      </c>
      <c r="D50" s="243"/>
      <c r="E50" s="243"/>
      <c r="F50" s="244">
        <v>5268.8106497314502</v>
      </c>
      <c r="G50" s="244">
        <v>14.839130373947199</v>
      </c>
      <c r="H50" s="244">
        <v>370.97825934868098</v>
      </c>
      <c r="I50" s="244">
        <v>1.21662108038371E-2</v>
      </c>
      <c r="J50" s="244">
        <v>3.6255308195434601</v>
      </c>
      <c r="K50" s="244">
        <v>0</v>
      </c>
      <c r="L50" s="244">
        <v>0</v>
      </c>
      <c r="M50" s="244">
        <v>0</v>
      </c>
      <c r="N50" s="244">
        <v>0</v>
      </c>
      <c r="O50" s="244">
        <v>5643.4144398996796</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41093.946417241103</v>
      </c>
      <c r="G52" s="266">
        <v>3.9517613998928698</v>
      </c>
      <c r="H52" s="266">
        <v>98.794034997321702</v>
      </c>
      <c r="I52" s="266">
        <v>9.0681401507010904</v>
      </c>
      <c r="J52" s="266">
        <v>2702.3057649089201</v>
      </c>
      <c r="K52" s="266">
        <v>3979.8576530497598</v>
      </c>
      <c r="L52" s="266">
        <v>3490.0863810147198</v>
      </c>
      <c r="M52" s="266">
        <v>2651.4350341570198</v>
      </c>
      <c r="N52" s="266">
        <v>0.21173813466666699</v>
      </c>
      <c r="O52" s="266">
        <v>54016.637023503601</v>
      </c>
    </row>
    <row r="53" spans="1:16" s="240" customFormat="1" ht="12.75" x14ac:dyDescent="0.2">
      <c r="A53" s="224" t="s">
        <v>724</v>
      </c>
      <c r="B53" s="225" t="s">
        <v>767</v>
      </c>
      <c r="C53" s="225"/>
      <c r="D53" s="268"/>
      <c r="E53" s="268"/>
      <c r="F53" s="269">
        <v>9658.3261214370996</v>
      </c>
      <c r="G53" s="269">
        <v>0</v>
      </c>
      <c r="H53" s="269">
        <v>0</v>
      </c>
      <c r="I53" s="269">
        <v>0</v>
      </c>
      <c r="J53" s="269">
        <v>0</v>
      </c>
      <c r="K53" s="269">
        <v>0</v>
      </c>
      <c r="L53" s="269">
        <v>0</v>
      </c>
      <c r="M53" s="269">
        <v>0</v>
      </c>
      <c r="N53" s="269">
        <v>0</v>
      </c>
      <c r="O53" s="269">
        <v>9658.3261214370996</v>
      </c>
    </row>
    <row r="54" spans="1:16" s="273" customFormat="1" ht="12" x14ac:dyDescent="0.2">
      <c r="A54" s="235"/>
      <c r="B54" s="270"/>
      <c r="C54" s="236" t="s">
        <v>560</v>
      </c>
      <c r="D54" s="271"/>
      <c r="E54" s="271"/>
      <c r="F54" s="272">
        <v>7212.9462331500999</v>
      </c>
      <c r="G54" s="272">
        <v>0</v>
      </c>
      <c r="H54" s="272">
        <v>0</v>
      </c>
      <c r="I54" s="272">
        <v>0</v>
      </c>
      <c r="J54" s="272">
        <v>0</v>
      </c>
      <c r="K54" s="272">
        <v>0</v>
      </c>
      <c r="L54" s="272">
        <v>0</v>
      </c>
      <c r="M54" s="272">
        <v>0</v>
      </c>
      <c r="N54" s="272">
        <v>0</v>
      </c>
      <c r="O54" s="272">
        <v>7212.9462331500999</v>
      </c>
      <c r="P54" s="271"/>
    </row>
    <row r="55" spans="1:16" s="273" customFormat="1" ht="12" x14ac:dyDescent="0.2">
      <c r="A55" s="235"/>
      <c r="B55" s="270"/>
      <c r="C55" s="236" t="s">
        <v>191</v>
      </c>
      <c r="D55" s="271"/>
      <c r="E55" s="271"/>
      <c r="F55" s="272">
        <v>1653.9277721446699</v>
      </c>
      <c r="G55" s="272">
        <v>0</v>
      </c>
      <c r="H55" s="272">
        <v>0</v>
      </c>
      <c r="I55" s="272">
        <v>0</v>
      </c>
      <c r="J55" s="272">
        <v>0</v>
      </c>
      <c r="K55" s="272">
        <v>0</v>
      </c>
      <c r="L55" s="272">
        <v>0</v>
      </c>
      <c r="M55" s="272">
        <v>0</v>
      </c>
      <c r="N55" s="272">
        <v>0</v>
      </c>
      <c r="O55" s="272">
        <v>1653.9277721446699</v>
      </c>
      <c r="P55" s="271"/>
    </row>
    <row r="56" spans="1:16" s="273" customFormat="1" ht="12" x14ac:dyDescent="0.2">
      <c r="A56" s="235"/>
      <c r="B56" s="270"/>
      <c r="C56" s="236" t="s">
        <v>768</v>
      </c>
      <c r="D56" s="271"/>
      <c r="E56" s="271"/>
      <c r="F56" s="272">
        <v>791.45211614232903</v>
      </c>
      <c r="G56" s="272">
        <v>0</v>
      </c>
      <c r="H56" s="272">
        <v>0</v>
      </c>
      <c r="I56" s="272">
        <v>0</v>
      </c>
      <c r="J56" s="272">
        <v>0</v>
      </c>
      <c r="K56" s="272">
        <v>0</v>
      </c>
      <c r="L56" s="272">
        <v>0</v>
      </c>
      <c r="M56" s="272">
        <v>0</v>
      </c>
      <c r="N56" s="272">
        <v>0</v>
      </c>
      <c r="O56" s="272">
        <v>791.45211614232903</v>
      </c>
      <c r="P56" s="271"/>
    </row>
    <row r="57" spans="1:16" s="275" customFormat="1" ht="12.75" x14ac:dyDescent="0.2">
      <c r="A57" s="224" t="s">
        <v>737</v>
      </c>
      <c r="B57" s="225" t="s">
        <v>769</v>
      </c>
      <c r="C57" s="225"/>
      <c r="D57" s="274"/>
      <c r="E57" s="274"/>
      <c r="F57" s="269">
        <v>5754.2405851418898</v>
      </c>
      <c r="G57" s="269">
        <v>3.8576843998928698</v>
      </c>
      <c r="H57" s="269">
        <v>96.442109997321694</v>
      </c>
      <c r="I57" s="269">
        <v>7.6310128911422304</v>
      </c>
      <c r="J57" s="269">
        <v>2274.0418415603899</v>
      </c>
      <c r="K57" s="269">
        <v>0</v>
      </c>
      <c r="L57" s="269">
        <v>0</v>
      </c>
      <c r="M57" s="269">
        <v>0</v>
      </c>
      <c r="N57" s="269">
        <v>0</v>
      </c>
      <c r="O57" s="269">
        <v>8124.7245366996003</v>
      </c>
      <c r="P57" s="274"/>
    </row>
    <row r="58" spans="1:16" s="277" customFormat="1" ht="12" x14ac:dyDescent="0.2">
      <c r="A58" s="235"/>
      <c r="B58" s="270"/>
      <c r="C58" s="236" t="s">
        <v>192</v>
      </c>
      <c r="D58" s="276"/>
      <c r="E58" s="276"/>
      <c r="F58" s="272">
        <v>2630.7764209623501</v>
      </c>
      <c r="G58" s="272">
        <v>0</v>
      </c>
      <c r="H58" s="272">
        <v>0</v>
      </c>
      <c r="I58" s="272">
        <v>0</v>
      </c>
      <c r="J58" s="272">
        <v>0</v>
      </c>
      <c r="K58" s="272">
        <v>0</v>
      </c>
      <c r="L58" s="272">
        <v>0</v>
      </c>
      <c r="M58" s="272">
        <v>0</v>
      </c>
      <c r="N58" s="272">
        <v>0</v>
      </c>
      <c r="O58" s="272">
        <v>2630.7764209623501</v>
      </c>
      <c r="P58" s="276"/>
    </row>
    <row r="59" spans="1:16" s="277" customFormat="1" ht="12" x14ac:dyDescent="0.2">
      <c r="A59" s="235"/>
      <c r="B59" s="270"/>
      <c r="C59" s="236" t="s">
        <v>190</v>
      </c>
      <c r="D59" s="276"/>
      <c r="E59" s="276"/>
      <c r="F59" s="272">
        <v>0</v>
      </c>
      <c r="G59" s="272">
        <v>0</v>
      </c>
      <c r="H59" s="272">
        <v>0</v>
      </c>
      <c r="I59" s="272">
        <v>4.0794292009999999</v>
      </c>
      <c r="J59" s="272">
        <v>1215.669901898</v>
      </c>
      <c r="K59" s="272">
        <v>0</v>
      </c>
      <c r="L59" s="272">
        <v>0</v>
      </c>
      <c r="M59" s="272">
        <v>0</v>
      </c>
      <c r="N59" s="272">
        <v>0</v>
      </c>
      <c r="O59" s="272">
        <v>1215.669901898</v>
      </c>
      <c r="P59" s="276"/>
    </row>
    <row r="60" spans="1:16" s="277" customFormat="1" ht="12" x14ac:dyDescent="0.2">
      <c r="A60" s="235"/>
      <c r="B60" s="270"/>
      <c r="C60" s="236" t="s">
        <v>770</v>
      </c>
      <c r="D60" s="276"/>
      <c r="E60" s="276"/>
      <c r="F60" s="272">
        <v>0</v>
      </c>
      <c r="G60" s="272">
        <v>0</v>
      </c>
      <c r="H60" s="272">
        <v>0</v>
      </c>
      <c r="I60" s="272">
        <v>3.5006900000000001</v>
      </c>
      <c r="J60" s="272">
        <v>1043.20562</v>
      </c>
      <c r="K60" s="272">
        <v>0</v>
      </c>
      <c r="L60" s="272">
        <v>0</v>
      </c>
      <c r="M60" s="272">
        <v>0</v>
      </c>
      <c r="N60" s="272">
        <v>0</v>
      </c>
      <c r="O60" s="272">
        <v>1043.20562</v>
      </c>
      <c r="P60" s="276"/>
    </row>
    <row r="61" spans="1:16" s="277" customFormat="1" ht="12" x14ac:dyDescent="0.2">
      <c r="A61" s="235"/>
      <c r="B61" s="270"/>
      <c r="C61" s="236" t="s">
        <v>771</v>
      </c>
      <c r="D61" s="276"/>
      <c r="E61" s="276"/>
      <c r="F61" s="272">
        <v>3123.4641641795502</v>
      </c>
      <c r="G61" s="272">
        <v>3.8576843998928698</v>
      </c>
      <c r="H61" s="272">
        <v>96.442109997321694</v>
      </c>
      <c r="I61" s="272">
        <v>5.0893690142233397E-2</v>
      </c>
      <c r="J61" s="272">
        <v>15.1663196623856</v>
      </c>
      <c r="K61" s="272">
        <v>0</v>
      </c>
      <c r="L61" s="272">
        <v>0</v>
      </c>
      <c r="M61" s="272">
        <v>0</v>
      </c>
      <c r="N61" s="272">
        <v>0</v>
      </c>
      <c r="O61" s="272">
        <v>3235.0725938392502</v>
      </c>
      <c r="P61" s="276"/>
    </row>
    <row r="62" spans="1:16" s="240" customFormat="1" ht="12.75" x14ac:dyDescent="0.2">
      <c r="A62" s="224" t="s">
        <v>758</v>
      </c>
      <c r="B62" s="225" t="s">
        <v>772</v>
      </c>
      <c r="C62" s="225"/>
      <c r="D62" s="268"/>
      <c r="E62" s="268"/>
      <c r="F62" s="269">
        <v>15061.039739091901</v>
      </c>
      <c r="G62" s="269">
        <v>9.4076999999999994E-2</v>
      </c>
      <c r="H62" s="269">
        <v>2.351925</v>
      </c>
      <c r="I62" s="269">
        <v>0</v>
      </c>
      <c r="J62" s="269">
        <v>0</v>
      </c>
      <c r="K62" s="269">
        <v>0</v>
      </c>
      <c r="L62" s="269">
        <v>3481.86634173625</v>
      </c>
      <c r="M62" s="269">
        <v>2436.5948392916698</v>
      </c>
      <c r="N62" s="269">
        <v>0</v>
      </c>
      <c r="O62" s="269">
        <v>20981.852845119902</v>
      </c>
      <c r="P62" s="268"/>
    </row>
    <row r="63" spans="1:16" s="273" customFormat="1" ht="12" x14ac:dyDescent="0.2">
      <c r="A63" s="235"/>
      <c r="B63" s="230"/>
      <c r="C63" s="230" t="s">
        <v>773</v>
      </c>
      <c r="D63" s="271"/>
      <c r="E63" s="271"/>
      <c r="F63" s="272">
        <v>10480.416897179401</v>
      </c>
      <c r="G63" s="272">
        <v>9.4076999999999994E-2</v>
      </c>
      <c r="H63" s="272">
        <v>2.351925</v>
      </c>
      <c r="I63" s="272">
        <v>0</v>
      </c>
      <c r="J63" s="272">
        <v>0</v>
      </c>
      <c r="K63" s="272">
        <v>0</v>
      </c>
      <c r="L63" s="272">
        <v>0</v>
      </c>
      <c r="M63" s="272">
        <v>0</v>
      </c>
      <c r="N63" s="272">
        <v>0</v>
      </c>
      <c r="O63" s="272">
        <v>10482.7688221794</v>
      </c>
      <c r="P63" s="271"/>
    </row>
    <row r="64" spans="1:16" s="273" customFormat="1" ht="12" x14ac:dyDescent="0.2">
      <c r="A64" s="235"/>
      <c r="B64" s="230"/>
      <c r="C64" s="230" t="s">
        <v>252</v>
      </c>
      <c r="D64" s="271"/>
      <c r="E64" s="271"/>
      <c r="F64" s="272">
        <v>4580.6228419126001</v>
      </c>
      <c r="G64" s="272">
        <v>0</v>
      </c>
      <c r="H64" s="272">
        <v>0</v>
      </c>
      <c r="I64" s="272">
        <v>0</v>
      </c>
      <c r="J64" s="272">
        <v>0</v>
      </c>
      <c r="K64" s="272">
        <v>0</v>
      </c>
      <c r="L64" s="272">
        <v>3481.86634173625</v>
      </c>
      <c r="M64" s="272">
        <v>67.189274209204996</v>
      </c>
      <c r="N64" s="272">
        <v>0</v>
      </c>
      <c r="O64" s="272">
        <v>8129.67845785805</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2369.4055650824598</v>
      </c>
      <c r="N65" s="272">
        <v>0</v>
      </c>
      <c r="O65" s="272">
        <v>2369.4055650824598</v>
      </c>
      <c r="P65" s="271"/>
    </row>
    <row r="66" spans="1:16" s="234" customFormat="1" x14ac:dyDescent="0.25">
      <c r="A66" s="278" t="s">
        <v>764</v>
      </c>
      <c r="B66" s="279" t="s">
        <v>775</v>
      </c>
      <c r="C66" s="279"/>
      <c r="D66" s="251"/>
      <c r="E66" s="251"/>
      <c r="F66" s="252">
        <v>0</v>
      </c>
      <c r="G66" s="252">
        <v>0</v>
      </c>
      <c r="H66" s="252">
        <v>0</v>
      </c>
      <c r="I66" s="252">
        <v>0</v>
      </c>
      <c r="J66" s="252">
        <v>0</v>
      </c>
      <c r="K66" s="252">
        <v>3979.8576530497598</v>
      </c>
      <c r="L66" s="252">
        <v>6.3090057394865999</v>
      </c>
      <c r="M66" s="252">
        <v>3.3357132357637198</v>
      </c>
      <c r="N66" s="252">
        <v>0.21173813466666699</v>
      </c>
      <c r="O66" s="252">
        <v>3989.7141101596799</v>
      </c>
      <c r="P66" s="251"/>
    </row>
    <row r="67" spans="1:16" s="234" customFormat="1" ht="12.75" x14ac:dyDescent="0.2">
      <c r="A67" s="278" t="s">
        <v>776</v>
      </c>
      <c r="B67" s="279" t="s">
        <v>777</v>
      </c>
      <c r="C67" s="279"/>
      <c r="D67" s="251"/>
      <c r="E67" s="251"/>
      <c r="F67" s="252">
        <v>10620.3399715702</v>
      </c>
      <c r="G67" s="252">
        <v>0</v>
      </c>
      <c r="H67" s="252">
        <v>0</v>
      </c>
      <c r="I67" s="252">
        <v>0</v>
      </c>
      <c r="J67" s="252">
        <v>0</v>
      </c>
      <c r="K67" s="252">
        <v>0</v>
      </c>
      <c r="L67" s="252">
        <v>0</v>
      </c>
      <c r="M67" s="252">
        <v>0</v>
      </c>
      <c r="N67" s="252">
        <v>0</v>
      </c>
      <c r="O67" s="252">
        <v>10620.3399715702</v>
      </c>
      <c r="P67" s="251"/>
    </row>
    <row r="68" spans="1:16" s="234" customFormat="1" ht="12.75" x14ac:dyDescent="0.2">
      <c r="A68" s="259" t="s">
        <v>778</v>
      </c>
      <c r="B68" s="260" t="s">
        <v>779</v>
      </c>
      <c r="C68" s="260"/>
      <c r="D68" s="280"/>
      <c r="E68" s="280"/>
      <c r="F68" s="281">
        <v>0</v>
      </c>
      <c r="G68" s="281">
        <v>0</v>
      </c>
      <c r="H68" s="281">
        <v>0</v>
      </c>
      <c r="I68" s="281">
        <v>1.43712725955885</v>
      </c>
      <c r="J68" s="281">
        <v>428.26392334853801</v>
      </c>
      <c r="K68" s="281">
        <v>0</v>
      </c>
      <c r="L68" s="281">
        <v>1.9110335389849999</v>
      </c>
      <c r="M68" s="281">
        <v>211.50448162958801</v>
      </c>
      <c r="N68" s="281">
        <v>0</v>
      </c>
      <c r="O68" s="281">
        <v>641.67943851711095</v>
      </c>
      <c r="P68" s="251"/>
    </row>
    <row r="69" spans="1:16" s="267" customFormat="1" ht="12.75" x14ac:dyDescent="0.2">
      <c r="A69" s="282" t="s">
        <v>780</v>
      </c>
      <c r="B69" s="283"/>
      <c r="C69" s="283"/>
      <c r="D69" s="284"/>
      <c r="E69" s="284"/>
      <c r="F69" s="285">
        <v>1576.86709546667</v>
      </c>
      <c r="G69" s="285">
        <v>1351.9683293988901</v>
      </c>
      <c r="H69" s="285">
        <v>33799.208234972197</v>
      </c>
      <c r="I69" s="285">
        <v>78.883885550154403</v>
      </c>
      <c r="J69" s="285">
        <v>23507.397893945999</v>
      </c>
      <c r="K69" s="285">
        <v>0</v>
      </c>
      <c r="L69" s="285">
        <v>0</v>
      </c>
      <c r="M69" s="285">
        <v>0</v>
      </c>
      <c r="N69" s="285">
        <v>0</v>
      </c>
      <c r="O69" s="285">
        <v>58883.473224384899</v>
      </c>
      <c r="P69" s="265"/>
    </row>
    <row r="70" spans="1:16" s="234" customFormat="1" ht="12.75" x14ac:dyDescent="0.2">
      <c r="A70" s="278" t="s">
        <v>724</v>
      </c>
      <c r="B70" s="279" t="s">
        <v>27</v>
      </c>
      <c r="C70" s="279"/>
      <c r="D70" s="251"/>
      <c r="E70" s="251"/>
      <c r="F70" s="252">
        <v>0</v>
      </c>
      <c r="G70" s="252">
        <v>1180.0108671011101</v>
      </c>
      <c r="H70" s="252">
        <v>29500.271677527799</v>
      </c>
      <c r="I70" s="252">
        <v>0</v>
      </c>
      <c r="J70" s="252">
        <v>0</v>
      </c>
      <c r="K70" s="252">
        <v>0</v>
      </c>
      <c r="L70" s="252">
        <v>0</v>
      </c>
      <c r="M70" s="252">
        <v>0</v>
      </c>
      <c r="N70" s="252">
        <v>0</v>
      </c>
      <c r="O70" s="252">
        <v>29500.271677527799</v>
      </c>
      <c r="P70" s="251"/>
    </row>
    <row r="71" spans="1:16" s="234" customFormat="1" ht="12.75" x14ac:dyDescent="0.2">
      <c r="A71" s="278" t="s">
        <v>737</v>
      </c>
      <c r="B71" s="279" t="s">
        <v>28</v>
      </c>
      <c r="C71" s="279"/>
      <c r="D71" s="251"/>
      <c r="E71" s="251"/>
      <c r="F71" s="252">
        <v>0</v>
      </c>
      <c r="G71" s="252">
        <v>167.80960828793101</v>
      </c>
      <c r="H71" s="252">
        <v>4195.2402071982597</v>
      </c>
      <c r="I71" s="252">
        <v>17.8466856527053</v>
      </c>
      <c r="J71" s="252">
        <v>5318.3123245061897</v>
      </c>
      <c r="K71" s="252">
        <v>0</v>
      </c>
      <c r="L71" s="252">
        <v>0</v>
      </c>
      <c r="M71" s="252">
        <v>0</v>
      </c>
      <c r="N71" s="252">
        <v>0</v>
      </c>
      <c r="O71" s="252">
        <v>9513.5525317044503</v>
      </c>
      <c r="P71" s="251"/>
    </row>
    <row r="72" spans="1:16" s="234" customFormat="1" ht="12.75" x14ac:dyDescent="0.2">
      <c r="A72" s="224" t="s">
        <v>758</v>
      </c>
      <c r="B72" s="225" t="s">
        <v>781</v>
      </c>
      <c r="C72" s="225"/>
      <c r="F72" s="231">
        <v>0</v>
      </c>
      <c r="G72" s="231">
        <v>0</v>
      </c>
      <c r="H72" s="231">
        <v>0</v>
      </c>
      <c r="I72" s="231">
        <v>60.929662941638298</v>
      </c>
      <c r="J72" s="231">
        <v>18157.039556608201</v>
      </c>
      <c r="K72" s="231">
        <v>0</v>
      </c>
      <c r="L72" s="231">
        <v>0</v>
      </c>
      <c r="M72" s="231">
        <v>0</v>
      </c>
      <c r="N72" s="231">
        <v>0</v>
      </c>
      <c r="O72" s="231">
        <v>18157.039556608201</v>
      </c>
    </row>
    <row r="73" spans="1:16" s="237" customFormat="1" ht="12" x14ac:dyDescent="0.2">
      <c r="A73" s="286"/>
      <c r="B73" s="258"/>
      <c r="C73" s="258" t="s">
        <v>782</v>
      </c>
      <c r="D73" s="243"/>
      <c r="E73" s="243"/>
      <c r="F73" s="244">
        <v>0</v>
      </c>
      <c r="G73" s="244">
        <v>0</v>
      </c>
      <c r="H73" s="244">
        <v>0</v>
      </c>
      <c r="I73" s="244">
        <v>49.887362353461</v>
      </c>
      <c r="J73" s="244">
        <v>14866.4339813314</v>
      </c>
      <c r="K73" s="244">
        <v>0</v>
      </c>
      <c r="L73" s="244">
        <v>0</v>
      </c>
      <c r="M73" s="244">
        <v>0</v>
      </c>
      <c r="N73" s="244">
        <v>0</v>
      </c>
      <c r="O73" s="244">
        <v>14866.4339813314</v>
      </c>
    </row>
    <row r="74" spans="1:16" s="237" customFormat="1" ht="12" x14ac:dyDescent="0.2">
      <c r="A74" s="286"/>
      <c r="B74" s="258"/>
      <c r="C74" s="258" t="s">
        <v>783</v>
      </c>
      <c r="D74" s="243"/>
      <c r="E74" s="243"/>
      <c r="F74" s="244">
        <v>0</v>
      </c>
      <c r="G74" s="244">
        <v>0</v>
      </c>
      <c r="H74" s="244">
        <v>0</v>
      </c>
      <c r="I74" s="244">
        <v>11.0423005881773</v>
      </c>
      <c r="J74" s="244">
        <v>3290.6055752768302</v>
      </c>
      <c r="K74" s="244">
        <v>0</v>
      </c>
      <c r="L74" s="244">
        <v>0</v>
      </c>
      <c r="M74" s="244">
        <v>0</v>
      </c>
      <c r="N74" s="244">
        <v>0</v>
      </c>
      <c r="O74" s="244">
        <v>3290.6055752768302</v>
      </c>
    </row>
    <row r="75" spans="1:16" s="234" customFormat="1" ht="12.75" x14ac:dyDescent="0.2">
      <c r="A75" s="278" t="s">
        <v>764</v>
      </c>
      <c r="B75" s="279" t="s">
        <v>193</v>
      </c>
      <c r="C75" s="287"/>
      <c r="D75" s="251"/>
      <c r="E75" s="251"/>
      <c r="F75" s="252">
        <v>0</v>
      </c>
      <c r="G75" s="252">
        <v>4.1478540098432601</v>
      </c>
      <c r="H75" s="252">
        <v>103.69635024608201</v>
      </c>
      <c r="I75" s="252">
        <v>0.107536955810751</v>
      </c>
      <c r="J75" s="252">
        <v>32.046012831603903</v>
      </c>
      <c r="K75" s="252">
        <v>0</v>
      </c>
      <c r="L75" s="252">
        <v>0</v>
      </c>
      <c r="M75" s="252">
        <v>0</v>
      </c>
      <c r="N75" s="252">
        <v>0</v>
      </c>
      <c r="O75" s="252">
        <v>135.74236307768501</v>
      </c>
    </row>
    <row r="76" spans="1:16" s="234" customFormat="1" ht="12.75" x14ac:dyDescent="0.2">
      <c r="A76" s="259" t="s">
        <v>776</v>
      </c>
      <c r="B76" s="260" t="s">
        <v>784</v>
      </c>
      <c r="C76" s="288"/>
      <c r="D76" s="280"/>
      <c r="E76" s="280"/>
      <c r="F76" s="281">
        <v>1576.86709546667</v>
      </c>
      <c r="G76" s="281">
        <v>0</v>
      </c>
      <c r="H76" s="281">
        <v>0</v>
      </c>
      <c r="I76" s="281">
        <v>0</v>
      </c>
      <c r="J76" s="281">
        <v>0</v>
      </c>
      <c r="K76" s="281">
        <v>0</v>
      </c>
      <c r="L76" s="281">
        <v>0</v>
      </c>
      <c r="M76" s="281">
        <v>0</v>
      </c>
      <c r="N76" s="281">
        <v>0</v>
      </c>
      <c r="O76" s="281">
        <v>1576.86709546667</v>
      </c>
    </row>
    <row r="77" spans="1:16" s="234" customFormat="1" ht="12.75" x14ac:dyDescent="0.2">
      <c r="A77" s="220" t="s">
        <v>785</v>
      </c>
      <c r="B77" s="289"/>
      <c r="C77" s="289"/>
      <c r="F77" s="223">
        <v>472.09803855000001</v>
      </c>
      <c r="G77" s="223">
        <v>1000.9251228099999</v>
      </c>
      <c r="H77" s="223">
        <v>25023.128070250001</v>
      </c>
      <c r="I77" s="223">
        <v>4.0210983599999999</v>
      </c>
      <c r="J77" s="223">
        <v>1198.28731128</v>
      </c>
      <c r="K77" s="223">
        <v>0</v>
      </c>
      <c r="L77" s="223">
        <v>0</v>
      </c>
      <c r="M77" s="223">
        <v>0</v>
      </c>
      <c r="N77" s="223">
        <v>0</v>
      </c>
      <c r="O77" s="223">
        <v>26693.513420079998</v>
      </c>
    </row>
    <row r="78" spans="1:16" s="234" customFormat="1" ht="12.75" x14ac:dyDescent="0.2">
      <c r="A78" s="224" t="s">
        <v>724</v>
      </c>
      <c r="B78" s="225" t="s">
        <v>786</v>
      </c>
      <c r="C78" s="225"/>
      <c r="F78" s="231">
        <v>0</v>
      </c>
      <c r="G78" s="231">
        <v>963.36762419000002</v>
      </c>
      <c r="H78" s="231">
        <v>24084.190604750002</v>
      </c>
      <c r="I78" s="231">
        <v>0</v>
      </c>
      <c r="J78" s="231">
        <v>0</v>
      </c>
      <c r="K78" s="231">
        <v>0</v>
      </c>
      <c r="L78" s="231">
        <v>0</v>
      </c>
      <c r="M78" s="231">
        <v>0</v>
      </c>
      <c r="N78" s="231">
        <v>0</v>
      </c>
      <c r="O78" s="231">
        <v>24084.190604750002</v>
      </c>
    </row>
    <row r="79" spans="1:16" s="234" customFormat="1" ht="12.75" x14ac:dyDescent="0.2">
      <c r="A79" s="224" t="s">
        <v>737</v>
      </c>
      <c r="B79" s="225" t="s">
        <v>787</v>
      </c>
      <c r="C79" s="225"/>
      <c r="F79" s="231">
        <v>0</v>
      </c>
      <c r="G79" s="231">
        <v>22.207027549999999</v>
      </c>
      <c r="H79" s="231">
        <v>555.17568874999995</v>
      </c>
      <c r="I79" s="231">
        <v>1.3324216499999999</v>
      </c>
      <c r="J79" s="231">
        <v>397.06165170000003</v>
      </c>
      <c r="K79" s="231">
        <v>0</v>
      </c>
      <c r="L79" s="231">
        <v>0</v>
      </c>
      <c r="M79" s="231">
        <v>0</v>
      </c>
      <c r="N79" s="231">
        <v>0</v>
      </c>
      <c r="O79" s="231">
        <v>952.23734045000003</v>
      </c>
    </row>
    <row r="80" spans="1:16" s="234" customFormat="1" ht="12.75" x14ac:dyDescent="0.2">
      <c r="A80" s="278" t="s">
        <v>788</v>
      </c>
      <c r="B80" s="279" t="s">
        <v>789</v>
      </c>
      <c r="C80" s="279"/>
      <c r="D80" s="251"/>
      <c r="E80" s="251"/>
      <c r="F80" s="252">
        <v>0</v>
      </c>
      <c r="G80" s="252">
        <v>15.13666145</v>
      </c>
      <c r="H80" s="252">
        <v>378.41653624999998</v>
      </c>
      <c r="I80" s="252">
        <v>2.0969542400000001</v>
      </c>
      <c r="J80" s="252">
        <v>624.89236352</v>
      </c>
      <c r="K80" s="252">
        <v>0</v>
      </c>
      <c r="L80" s="252">
        <v>0</v>
      </c>
      <c r="M80" s="252">
        <v>0</v>
      </c>
      <c r="N80" s="252">
        <v>0</v>
      </c>
      <c r="O80" s="252">
        <v>1003.30889977</v>
      </c>
    </row>
    <row r="81" spans="1:30" s="234" customFormat="1" ht="12.75" x14ac:dyDescent="0.2">
      <c r="A81" s="259" t="s">
        <v>764</v>
      </c>
      <c r="B81" s="260" t="s">
        <v>790</v>
      </c>
      <c r="C81" s="260"/>
      <c r="D81" s="280"/>
      <c r="E81" s="280"/>
      <c r="F81" s="281">
        <v>472.09803855000001</v>
      </c>
      <c r="G81" s="281">
        <v>0.21380962000000001</v>
      </c>
      <c r="H81" s="281">
        <v>5.3452405000000001</v>
      </c>
      <c r="I81" s="281">
        <v>0.59172247</v>
      </c>
      <c r="J81" s="281">
        <v>176.33329606000001</v>
      </c>
      <c r="K81" s="281">
        <v>0</v>
      </c>
      <c r="L81" s="281">
        <v>0</v>
      </c>
      <c r="M81" s="281">
        <v>0</v>
      </c>
      <c r="N81" s="281">
        <v>0</v>
      </c>
      <c r="O81" s="281">
        <v>653.77657510999995</v>
      </c>
    </row>
    <row r="82" spans="1:30" s="267" customFormat="1" ht="12.75" x14ac:dyDescent="0.2">
      <c r="A82" s="263" t="s">
        <v>791</v>
      </c>
      <c r="B82" s="264"/>
      <c r="C82" s="264"/>
      <c r="F82" s="223">
        <v>-71175.123961000005</v>
      </c>
      <c r="G82" s="223">
        <v>60.529680999999997</v>
      </c>
      <c r="H82" s="223">
        <v>1513.242025</v>
      </c>
      <c r="I82" s="223">
        <v>1.9609540000000001</v>
      </c>
      <c r="J82" s="223">
        <v>584.36429199999998</v>
      </c>
      <c r="K82" s="223">
        <v>0</v>
      </c>
      <c r="L82" s="223">
        <v>0</v>
      </c>
      <c r="M82" s="223">
        <v>0</v>
      </c>
      <c r="N82" s="223">
        <v>0</v>
      </c>
      <c r="O82" s="223">
        <v>-69077.517644000007</v>
      </c>
    </row>
    <row r="83" spans="1:30" s="234" customFormat="1" ht="12.75" x14ac:dyDescent="0.2">
      <c r="A83" s="224" t="s">
        <v>724</v>
      </c>
      <c r="B83" s="225" t="s">
        <v>792</v>
      </c>
      <c r="C83" s="225"/>
      <c r="F83" s="231">
        <v>-200853.79559299999</v>
      </c>
      <c r="G83" s="231">
        <v>13.0349</v>
      </c>
      <c r="H83" s="231">
        <v>325.8725</v>
      </c>
      <c r="I83" s="231">
        <v>0.52683899999999995</v>
      </c>
      <c r="J83" s="231">
        <v>156.99802199999999</v>
      </c>
      <c r="K83" s="231">
        <v>0</v>
      </c>
      <c r="L83" s="231">
        <v>0</v>
      </c>
      <c r="M83" s="231">
        <v>0</v>
      </c>
      <c r="N83" s="231">
        <v>0</v>
      </c>
      <c r="O83" s="231">
        <v>-200370.92507100001</v>
      </c>
    </row>
    <row r="84" spans="1:30" s="234" customFormat="1" ht="12.75" x14ac:dyDescent="0.2">
      <c r="A84" s="224" t="s">
        <v>737</v>
      </c>
      <c r="B84" s="225" t="s">
        <v>793</v>
      </c>
      <c r="C84" s="225"/>
      <c r="F84" s="231">
        <v>-8257.6482369999994</v>
      </c>
      <c r="G84" s="231">
        <v>4.9326059999999998</v>
      </c>
      <c r="H84" s="231">
        <v>123.31515</v>
      </c>
      <c r="I84" s="231">
        <v>0.24841199999999999</v>
      </c>
      <c r="J84" s="231">
        <v>74.026775999999998</v>
      </c>
      <c r="K84" s="231">
        <v>0</v>
      </c>
      <c r="L84" s="231">
        <v>0</v>
      </c>
      <c r="M84" s="231">
        <v>0</v>
      </c>
      <c r="N84" s="231">
        <v>0</v>
      </c>
      <c r="O84" s="231">
        <v>-8060.3063110000003</v>
      </c>
    </row>
    <row r="85" spans="1:30" s="234" customFormat="1" ht="12.75" x14ac:dyDescent="0.2">
      <c r="A85" s="278" t="s">
        <v>758</v>
      </c>
      <c r="B85" s="279" t="s">
        <v>794</v>
      </c>
      <c r="C85" s="279"/>
      <c r="F85" s="231">
        <v>0</v>
      </c>
      <c r="G85" s="231">
        <v>35.925289999999997</v>
      </c>
      <c r="H85" s="231">
        <v>898.13225</v>
      </c>
      <c r="I85" s="231">
        <v>0.93139000000000005</v>
      </c>
      <c r="J85" s="231">
        <v>277.55421999999999</v>
      </c>
      <c r="K85" s="231">
        <v>0</v>
      </c>
      <c r="L85" s="231">
        <v>0</v>
      </c>
      <c r="M85" s="231">
        <v>0</v>
      </c>
      <c r="N85" s="231">
        <v>0</v>
      </c>
      <c r="O85" s="231">
        <v>1175.6864700000001</v>
      </c>
    </row>
    <row r="86" spans="1:30" s="234" customFormat="1" ht="12.75" x14ac:dyDescent="0.2">
      <c r="A86" s="278" t="s">
        <v>764</v>
      </c>
      <c r="B86" s="279" t="s">
        <v>795</v>
      </c>
      <c r="C86" s="279"/>
      <c r="F86" s="231">
        <v>2612.724639</v>
      </c>
      <c r="G86" s="231">
        <v>1.0494209999999999</v>
      </c>
      <c r="H86" s="231">
        <v>26.235524999999999</v>
      </c>
      <c r="I86" s="231">
        <v>5.0011E-2</v>
      </c>
      <c r="J86" s="231">
        <v>14.903278</v>
      </c>
      <c r="K86" s="231">
        <v>0</v>
      </c>
      <c r="L86" s="231">
        <v>0</v>
      </c>
      <c r="M86" s="231">
        <v>0</v>
      </c>
      <c r="N86" s="231">
        <v>0</v>
      </c>
      <c r="O86" s="231">
        <v>2653.8634419999998</v>
      </c>
    </row>
    <row r="87" spans="1:30" s="234" customFormat="1" ht="12.75" x14ac:dyDescent="0.2">
      <c r="A87" s="278" t="s">
        <v>776</v>
      </c>
      <c r="B87" s="279" t="s">
        <v>796</v>
      </c>
      <c r="C87" s="279"/>
      <c r="D87" s="251"/>
      <c r="E87" s="251"/>
      <c r="F87" s="252">
        <v>3560.1637719999999</v>
      </c>
      <c r="G87" s="252">
        <v>5.5874639999999998</v>
      </c>
      <c r="H87" s="252">
        <v>139.6866</v>
      </c>
      <c r="I87" s="252">
        <v>0.20430200000000001</v>
      </c>
      <c r="J87" s="252">
        <v>60.881996000000001</v>
      </c>
      <c r="K87" s="252">
        <v>0</v>
      </c>
      <c r="L87" s="252">
        <v>0</v>
      </c>
      <c r="M87" s="252">
        <v>0</v>
      </c>
      <c r="N87" s="252">
        <v>0</v>
      </c>
      <c r="O87" s="252">
        <v>3760.732368</v>
      </c>
    </row>
    <row r="88" spans="1:30" s="234" customFormat="1" ht="12.75" x14ac:dyDescent="0.2">
      <c r="A88" s="259" t="s">
        <v>778</v>
      </c>
      <c r="B88" s="260" t="s">
        <v>797</v>
      </c>
      <c r="C88" s="260"/>
      <c r="D88" s="280"/>
      <c r="E88" s="280"/>
      <c r="F88" s="281">
        <v>131763.43145800001</v>
      </c>
      <c r="G88" s="281">
        <v>0</v>
      </c>
      <c r="H88" s="281">
        <v>0</v>
      </c>
      <c r="I88" s="281">
        <v>0</v>
      </c>
      <c r="J88" s="281">
        <v>0</v>
      </c>
      <c r="K88" s="281">
        <v>0</v>
      </c>
      <c r="L88" s="281">
        <v>0</v>
      </c>
      <c r="M88" s="281">
        <v>0</v>
      </c>
      <c r="N88" s="281">
        <v>0</v>
      </c>
      <c r="O88" s="281">
        <v>131763.43145800001</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80"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822</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567472.32239516405</v>
      </c>
      <c r="G7" s="218">
        <v>4588.7688213667498</v>
      </c>
      <c r="H7" s="218">
        <v>114719.220534169</v>
      </c>
      <c r="I7" s="218">
        <v>127.04967542166</v>
      </c>
      <c r="J7" s="218">
        <v>37860.803275654704</v>
      </c>
      <c r="K7" s="218">
        <v>3607.0676609986199</v>
      </c>
      <c r="L7" s="218">
        <v>3463.0045310763198</v>
      </c>
      <c r="M7" s="218">
        <v>3015.8138704552498</v>
      </c>
      <c r="N7" s="218">
        <v>0.22040859733333401</v>
      </c>
      <c r="O7" s="218">
        <v>730138.45267611498</v>
      </c>
    </row>
    <row r="8" spans="1:16" ht="15.75" thickTop="1" x14ac:dyDescent="0.2">
      <c r="A8" s="220" t="s">
        <v>723</v>
      </c>
      <c r="B8" s="221"/>
      <c r="C8" s="221"/>
      <c r="F8" s="223">
        <v>526197.41866647894</v>
      </c>
      <c r="G8" s="223">
        <v>2260.2923071451901</v>
      </c>
      <c r="H8" s="223">
        <v>56507.307678629797</v>
      </c>
      <c r="I8" s="223">
        <v>40.189212798146698</v>
      </c>
      <c r="J8" s="223">
        <v>11976.3854138477</v>
      </c>
      <c r="K8" s="223">
        <v>0</v>
      </c>
      <c r="L8" s="223">
        <v>0</v>
      </c>
      <c r="M8" s="223">
        <v>0</v>
      </c>
      <c r="N8" s="223">
        <v>0</v>
      </c>
      <c r="O8" s="223">
        <v>594681.11175895599</v>
      </c>
    </row>
    <row r="9" spans="1:16" x14ac:dyDescent="0.2">
      <c r="A9" s="224" t="s">
        <v>724</v>
      </c>
      <c r="B9" s="225" t="s">
        <v>725</v>
      </c>
      <c r="C9" s="225"/>
      <c r="F9" s="226">
        <v>339084.48766344303</v>
      </c>
      <c r="G9" s="226">
        <v>277.05999217839701</v>
      </c>
      <c r="H9" s="226">
        <v>6926.4998044599197</v>
      </c>
      <c r="I9" s="226">
        <v>9.3921473587767093</v>
      </c>
      <c r="J9" s="226">
        <v>2798.85991291546</v>
      </c>
      <c r="K9" s="226">
        <v>0</v>
      </c>
      <c r="L9" s="226">
        <v>0</v>
      </c>
      <c r="M9" s="226">
        <v>0</v>
      </c>
      <c r="N9" s="226">
        <v>0</v>
      </c>
      <c r="O9" s="226">
        <v>348809.84738081798</v>
      </c>
      <c r="P9" s="227"/>
    </row>
    <row r="10" spans="1:16" x14ac:dyDescent="0.2">
      <c r="A10" s="228"/>
      <c r="B10" s="229" t="s">
        <v>726</v>
      </c>
      <c r="C10" s="230"/>
      <c r="F10" s="231">
        <v>124128.67612950801</v>
      </c>
      <c r="G10" s="231">
        <v>4.7345227284117799</v>
      </c>
      <c r="H10" s="231">
        <v>118.363068210295</v>
      </c>
      <c r="I10" s="231">
        <v>2.3506015988409299</v>
      </c>
      <c r="J10" s="231">
        <v>700.47927645459697</v>
      </c>
      <c r="K10" s="231">
        <v>0</v>
      </c>
      <c r="L10" s="231">
        <v>0</v>
      </c>
      <c r="M10" s="231">
        <v>0</v>
      </c>
      <c r="N10" s="231">
        <v>0</v>
      </c>
      <c r="O10" s="231">
        <v>124947.518474173</v>
      </c>
    </row>
    <row r="11" spans="1:16" x14ac:dyDescent="0.2">
      <c r="A11" s="228"/>
      <c r="B11" s="232" t="s">
        <v>727</v>
      </c>
      <c r="C11" s="230"/>
      <c r="F11" s="231">
        <v>19092.252312691799</v>
      </c>
      <c r="G11" s="231">
        <v>0.47302863866392703</v>
      </c>
      <c r="H11" s="231">
        <v>11.825715966598199</v>
      </c>
      <c r="I11" s="231">
        <v>0.16992044136641099</v>
      </c>
      <c r="J11" s="231">
        <v>50.636291527190501</v>
      </c>
      <c r="K11" s="231">
        <v>0</v>
      </c>
      <c r="L11" s="231">
        <v>0</v>
      </c>
      <c r="M11" s="231">
        <v>0</v>
      </c>
      <c r="N11" s="231">
        <v>0</v>
      </c>
      <c r="O11" s="231">
        <v>19154.714320185602</v>
      </c>
    </row>
    <row r="12" spans="1:16" s="234" customFormat="1" ht="12.75" x14ac:dyDescent="0.2">
      <c r="A12" s="228"/>
      <c r="B12" s="232" t="s">
        <v>728</v>
      </c>
      <c r="C12" s="233"/>
      <c r="F12" s="231">
        <v>66120.794314322193</v>
      </c>
      <c r="G12" s="231">
        <v>111.196595489915</v>
      </c>
      <c r="H12" s="231">
        <v>2779.91488724787</v>
      </c>
      <c r="I12" s="231">
        <v>1.5662587084324999</v>
      </c>
      <c r="J12" s="231">
        <v>466.745095112885</v>
      </c>
      <c r="K12" s="231">
        <v>0</v>
      </c>
      <c r="L12" s="231">
        <v>0</v>
      </c>
      <c r="M12" s="231">
        <v>0</v>
      </c>
      <c r="N12" s="231">
        <v>0</v>
      </c>
      <c r="O12" s="231">
        <v>69367.454296682903</v>
      </c>
    </row>
    <row r="13" spans="1:16" s="234" customFormat="1" ht="12.75" x14ac:dyDescent="0.2">
      <c r="A13" s="228"/>
      <c r="B13" s="229" t="s">
        <v>729</v>
      </c>
      <c r="C13" s="229"/>
      <c r="F13" s="231">
        <v>50686.015745393699</v>
      </c>
      <c r="G13" s="231">
        <v>2.7152066918502098</v>
      </c>
      <c r="H13" s="231">
        <v>67.880167296255294</v>
      </c>
      <c r="I13" s="231">
        <v>2.0440472151512701</v>
      </c>
      <c r="J13" s="231">
        <v>609.12607011507703</v>
      </c>
      <c r="K13" s="231">
        <v>0</v>
      </c>
      <c r="L13" s="231">
        <v>0</v>
      </c>
      <c r="M13" s="231">
        <v>0</v>
      </c>
      <c r="N13" s="231">
        <v>0</v>
      </c>
      <c r="O13" s="231">
        <v>51363.021982805003</v>
      </c>
    </row>
    <row r="14" spans="1:16" s="237" customFormat="1" ht="12" x14ac:dyDescent="0.2">
      <c r="A14" s="235"/>
      <c r="B14" s="230"/>
      <c r="C14" s="236" t="s">
        <v>2</v>
      </c>
      <c r="F14" s="238">
        <v>5817.4910044103299</v>
      </c>
      <c r="G14" s="238">
        <v>0.158974627514024</v>
      </c>
      <c r="H14" s="238">
        <v>3.9743656878506002</v>
      </c>
      <c r="I14" s="238">
        <v>0.13733499345845401</v>
      </c>
      <c r="J14" s="238">
        <v>40.925828050619302</v>
      </c>
      <c r="K14" s="238">
        <v>0</v>
      </c>
      <c r="L14" s="238">
        <v>0</v>
      </c>
      <c r="M14" s="238">
        <v>0</v>
      </c>
      <c r="N14" s="238">
        <v>0</v>
      </c>
      <c r="O14" s="238">
        <v>5862.3911981488</v>
      </c>
    </row>
    <row r="15" spans="1:16" s="237" customFormat="1" ht="12" x14ac:dyDescent="0.2">
      <c r="A15" s="235"/>
      <c r="B15" s="230"/>
      <c r="C15" s="236" t="s">
        <v>730</v>
      </c>
      <c r="F15" s="238">
        <v>3498.9188534354398</v>
      </c>
      <c r="G15" s="238">
        <v>7.2433328535745495E-2</v>
      </c>
      <c r="H15" s="238">
        <v>1.81083321339364</v>
      </c>
      <c r="I15" s="238">
        <v>5.22285193316257E-2</v>
      </c>
      <c r="J15" s="238">
        <v>15.5640987608245</v>
      </c>
      <c r="K15" s="238">
        <v>0</v>
      </c>
      <c r="L15" s="238">
        <v>0</v>
      </c>
      <c r="M15" s="238">
        <v>0</v>
      </c>
      <c r="N15" s="238">
        <v>0</v>
      </c>
      <c r="O15" s="238">
        <v>3516.2937854096599</v>
      </c>
    </row>
    <row r="16" spans="1:16" s="237" customFormat="1" ht="12" x14ac:dyDescent="0.2">
      <c r="A16" s="235"/>
      <c r="B16" s="230"/>
      <c r="C16" s="236" t="s">
        <v>731</v>
      </c>
      <c r="F16" s="238">
        <v>8965.3783946469794</v>
      </c>
      <c r="G16" s="238">
        <v>0.17655897556016401</v>
      </c>
      <c r="H16" s="238">
        <v>4.4139743890040899</v>
      </c>
      <c r="I16" s="238">
        <v>0.15417543048844101</v>
      </c>
      <c r="J16" s="238">
        <v>45.944278285555498</v>
      </c>
      <c r="K16" s="238">
        <v>0</v>
      </c>
      <c r="L16" s="238">
        <v>0</v>
      </c>
      <c r="M16" s="238">
        <v>0</v>
      </c>
      <c r="N16" s="238">
        <v>0</v>
      </c>
      <c r="O16" s="238">
        <v>9015.7366473215407</v>
      </c>
    </row>
    <row r="17" spans="1:16" s="237" customFormat="1" ht="12" x14ac:dyDescent="0.2">
      <c r="A17" s="235"/>
      <c r="B17" s="230"/>
      <c r="C17" s="236" t="s">
        <v>732</v>
      </c>
      <c r="F17" s="238">
        <v>10642.0601084503</v>
      </c>
      <c r="G17" s="238">
        <v>1.28638311425749</v>
      </c>
      <c r="H17" s="238">
        <v>32.159577856437203</v>
      </c>
      <c r="I17" s="238">
        <v>1.02268635079996</v>
      </c>
      <c r="J17" s="238">
        <v>304.760532538387</v>
      </c>
      <c r="K17" s="238">
        <v>0</v>
      </c>
      <c r="L17" s="238">
        <v>0</v>
      </c>
      <c r="M17" s="238">
        <v>0</v>
      </c>
      <c r="N17" s="238">
        <v>0</v>
      </c>
      <c r="O17" s="238">
        <v>10978.980218845199</v>
      </c>
    </row>
    <row r="18" spans="1:16" s="237" customFormat="1" ht="12" x14ac:dyDescent="0.2">
      <c r="A18" s="235"/>
      <c r="B18" s="230"/>
      <c r="C18" s="236" t="s">
        <v>35</v>
      </c>
      <c r="F18" s="238">
        <v>4953.0608829085004</v>
      </c>
      <c r="G18" s="238">
        <v>0.22476599999999999</v>
      </c>
      <c r="H18" s="238">
        <v>5.6191500000000003</v>
      </c>
      <c r="I18" s="238">
        <v>6.1529423083112003E-2</v>
      </c>
      <c r="J18" s="238">
        <v>18.335768078767401</v>
      </c>
      <c r="K18" s="238">
        <v>0</v>
      </c>
      <c r="L18" s="238">
        <v>0</v>
      </c>
      <c r="M18" s="238">
        <v>0</v>
      </c>
      <c r="N18" s="238">
        <v>0</v>
      </c>
      <c r="O18" s="238">
        <v>4977.0158009872703</v>
      </c>
    </row>
    <row r="19" spans="1:16" s="237" customFormat="1" ht="12" x14ac:dyDescent="0.2">
      <c r="A19" s="235"/>
      <c r="B19" s="230"/>
      <c r="C19" s="236" t="s">
        <v>733</v>
      </c>
      <c r="F19" s="238">
        <v>16809.106501542101</v>
      </c>
      <c r="G19" s="238">
        <v>0.79609064598279</v>
      </c>
      <c r="H19" s="238">
        <v>19.902266149569801</v>
      </c>
      <c r="I19" s="238">
        <v>0.61609249798967802</v>
      </c>
      <c r="J19" s="238">
        <v>183.59556440092399</v>
      </c>
      <c r="K19" s="238">
        <v>0</v>
      </c>
      <c r="L19" s="238">
        <v>0</v>
      </c>
      <c r="M19" s="238">
        <v>0</v>
      </c>
      <c r="N19" s="238">
        <v>0</v>
      </c>
      <c r="O19" s="238">
        <v>17012.6043320926</v>
      </c>
    </row>
    <row r="20" spans="1:16" s="234" customFormat="1" ht="12.75" x14ac:dyDescent="0.2">
      <c r="A20" s="228"/>
      <c r="B20" s="229" t="s">
        <v>734</v>
      </c>
      <c r="C20" s="239"/>
      <c r="F20" s="231">
        <v>1257.4500350000001</v>
      </c>
      <c r="G20" s="231">
        <v>2.1883188000000001E-2</v>
      </c>
      <c r="H20" s="231">
        <v>0.54707969999999995</v>
      </c>
      <c r="I20" s="231">
        <v>2.8972896000000001E-2</v>
      </c>
      <c r="J20" s="231">
        <v>8.633923008</v>
      </c>
      <c r="K20" s="231">
        <v>0</v>
      </c>
      <c r="L20" s="231">
        <v>0</v>
      </c>
      <c r="M20" s="231">
        <v>0</v>
      </c>
      <c r="N20" s="231">
        <v>0</v>
      </c>
      <c r="O20" s="231">
        <v>1266.6310377079999</v>
      </c>
    </row>
    <row r="21" spans="1:16" s="234" customFormat="1" ht="12.75" x14ac:dyDescent="0.2">
      <c r="A21" s="228"/>
      <c r="B21" s="229" t="s">
        <v>735</v>
      </c>
      <c r="C21" s="229"/>
      <c r="F21" s="231">
        <v>33672.535916885499</v>
      </c>
      <c r="G21" s="231">
        <v>0.61390477197098503</v>
      </c>
      <c r="H21" s="231">
        <v>15.3476192992746</v>
      </c>
      <c r="I21" s="231">
        <v>0.70806876345632896</v>
      </c>
      <c r="J21" s="231">
        <v>211.004491509986</v>
      </c>
      <c r="K21" s="231">
        <v>0</v>
      </c>
      <c r="L21" s="231">
        <v>0</v>
      </c>
      <c r="M21" s="231">
        <v>0</v>
      </c>
      <c r="N21" s="231">
        <v>0</v>
      </c>
      <c r="O21" s="231">
        <v>33898.888027694797</v>
      </c>
    </row>
    <row r="22" spans="1:16" s="234" customFormat="1" ht="12.75" x14ac:dyDescent="0.2">
      <c r="A22" s="228"/>
      <c r="B22" s="229" t="s">
        <v>181</v>
      </c>
      <c r="C22" s="229"/>
      <c r="F22" s="231">
        <v>41985.308799999999</v>
      </c>
      <c r="G22" s="231">
        <v>157.26382450617101</v>
      </c>
      <c r="H22" s="231">
        <v>3931.5956126542701</v>
      </c>
      <c r="I22" s="231">
        <v>2.4639381920574102</v>
      </c>
      <c r="J22" s="231">
        <v>734.25358123310798</v>
      </c>
      <c r="K22" s="231">
        <v>0</v>
      </c>
      <c r="L22" s="231">
        <v>0</v>
      </c>
      <c r="M22" s="231">
        <v>0</v>
      </c>
      <c r="N22" s="231">
        <v>0</v>
      </c>
      <c r="O22" s="231">
        <v>46651.157993887398</v>
      </c>
    </row>
    <row r="23" spans="1:16" s="234" customFormat="1" ht="12.75" x14ac:dyDescent="0.2">
      <c r="A23" s="228"/>
      <c r="B23" s="229" t="s">
        <v>736</v>
      </c>
      <c r="C23" s="229"/>
      <c r="F23" s="231">
        <v>2141.4544096414202</v>
      </c>
      <c r="G23" s="231">
        <v>4.1026163414445302E-2</v>
      </c>
      <c r="H23" s="231">
        <v>1.02565408536113</v>
      </c>
      <c r="I23" s="231">
        <v>6.0339543471863398E-2</v>
      </c>
      <c r="J23" s="231">
        <v>17.9811839546153</v>
      </c>
      <c r="K23" s="231">
        <v>0</v>
      </c>
      <c r="L23" s="231">
        <v>0</v>
      </c>
      <c r="M23" s="231">
        <v>0</v>
      </c>
      <c r="N23" s="231">
        <v>0</v>
      </c>
      <c r="O23" s="231">
        <v>2160.46124768139</v>
      </c>
    </row>
    <row r="24" spans="1:16" s="240" customFormat="1" ht="14.25" x14ac:dyDescent="0.2">
      <c r="A24" s="224" t="s">
        <v>737</v>
      </c>
      <c r="B24" s="225" t="s">
        <v>738</v>
      </c>
      <c r="C24" s="225"/>
      <c r="F24" s="226">
        <v>171482.96507582799</v>
      </c>
      <c r="G24" s="226">
        <v>29.291797125906701</v>
      </c>
      <c r="H24" s="226">
        <v>732.29492814766695</v>
      </c>
      <c r="I24" s="226">
        <v>30.669928954942399</v>
      </c>
      <c r="J24" s="226">
        <v>9139.6388285728408</v>
      </c>
      <c r="K24" s="226">
        <v>0</v>
      </c>
      <c r="L24" s="226">
        <v>0</v>
      </c>
      <c r="M24" s="226">
        <v>0</v>
      </c>
      <c r="N24" s="226">
        <v>0</v>
      </c>
      <c r="O24" s="226">
        <v>181354.898832548</v>
      </c>
      <c r="P24" s="241"/>
    </row>
    <row r="25" spans="1:16" s="234" customFormat="1" ht="12.75" x14ac:dyDescent="0.2">
      <c r="A25" s="228"/>
      <c r="B25" s="232" t="s">
        <v>739</v>
      </c>
      <c r="C25" s="229"/>
      <c r="F25" s="231">
        <v>6860.9715623601496</v>
      </c>
      <c r="G25" s="231">
        <v>0.33986616315004597</v>
      </c>
      <c r="H25" s="231">
        <v>8.4966540787511597</v>
      </c>
      <c r="I25" s="231">
        <v>0.20655879096786001</v>
      </c>
      <c r="J25" s="231">
        <v>61.554519708422198</v>
      </c>
      <c r="K25" s="231">
        <v>0</v>
      </c>
      <c r="L25" s="231">
        <v>0</v>
      </c>
      <c r="M25" s="231">
        <v>0</v>
      </c>
      <c r="N25" s="231">
        <v>0</v>
      </c>
      <c r="O25" s="231">
        <v>6931.0227361473299</v>
      </c>
    </row>
    <row r="26" spans="1:16" s="234" customFormat="1" ht="12.75" x14ac:dyDescent="0.2">
      <c r="A26" s="228"/>
      <c r="B26" s="229" t="s">
        <v>740</v>
      </c>
      <c r="C26" s="229"/>
      <c r="F26" s="231">
        <v>116292.029987381</v>
      </c>
      <c r="G26" s="231">
        <v>11.256631779104501</v>
      </c>
      <c r="H26" s="231">
        <v>281.41579447761302</v>
      </c>
      <c r="I26" s="231">
        <v>19.0437290561024</v>
      </c>
      <c r="J26" s="231">
        <v>5675.0312587184999</v>
      </c>
      <c r="K26" s="231">
        <v>0</v>
      </c>
      <c r="L26" s="231">
        <v>0</v>
      </c>
      <c r="M26" s="231">
        <v>0</v>
      </c>
      <c r="N26" s="231">
        <v>0</v>
      </c>
      <c r="O26" s="231">
        <v>122248.477040577</v>
      </c>
    </row>
    <row r="27" spans="1:16" s="237" customFormat="1" ht="12" x14ac:dyDescent="0.2">
      <c r="A27" s="235"/>
      <c r="B27" s="230"/>
      <c r="C27" s="236" t="s">
        <v>741</v>
      </c>
      <c r="F27" s="238">
        <v>41355.879402874401</v>
      </c>
      <c r="G27" s="238">
        <v>4.9943739287367102</v>
      </c>
      <c r="H27" s="238">
        <v>124.85934821841801</v>
      </c>
      <c r="I27" s="238">
        <v>8.7861784373429899</v>
      </c>
      <c r="J27" s="238">
        <v>2618.28117432821</v>
      </c>
      <c r="K27" s="238">
        <v>0</v>
      </c>
      <c r="L27" s="238">
        <v>0</v>
      </c>
      <c r="M27" s="238">
        <v>0</v>
      </c>
      <c r="N27" s="238">
        <v>0</v>
      </c>
      <c r="O27" s="238">
        <v>44099.019925421002</v>
      </c>
    </row>
    <row r="28" spans="1:16" s="237" customFormat="1" ht="12" x14ac:dyDescent="0.2">
      <c r="A28" s="235"/>
      <c r="B28" s="230"/>
      <c r="C28" s="236" t="s">
        <v>742</v>
      </c>
      <c r="F28" s="238">
        <v>33738.073147270399</v>
      </c>
      <c r="G28" s="238">
        <v>3.7890377113997902</v>
      </c>
      <c r="H28" s="238">
        <v>94.7259427849947</v>
      </c>
      <c r="I28" s="238">
        <v>8.1556967317251594</v>
      </c>
      <c r="J28" s="238">
        <v>2430.3976260540999</v>
      </c>
      <c r="K28" s="238">
        <v>0</v>
      </c>
      <c r="L28" s="238">
        <v>0</v>
      </c>
      <c r="M28" s="238">
        <v>0</v>
      </c>
      <c r="N28" s="238">
        <v>0</v>
      </c>
      <c r="O28" s="238">
        <v>36263.196716109502</v>
      </c>
    </row>
    <row r="29" spans="1:16" s="237" customFormat="1" ht="12" x14ac:dyDescent="0.2">
      <c r="A29" s="235"/>
      <c r="B29" s="230"/>
      <c r="C29" s="236" t="s">
        <v>743</v>
      </c>
      <c r="F29" s="238">
        <v>11904.262894171599</v>
      </c>
      <c r="G29" s="238">
        <v>0.89028445108737597</v>
      </c>
      <c r="H29" s="238">
        <v>22.2571112771844</v>
      </c>
      <c r="I29" s="238">
        <v>0.71619367470421902</v>
      </c>
      <c r="J29" s="238">
        <v>213.42571506185701</v>
      </c>
      <c r="K29" s="238">
        <v>0</v>
      </c>
      <c r="L29" s="238">
        <v>0</v>
      </c>
      <c r="M29" s="238">
        <v>0</v>
      </c>
      <c r="N29" s="238">
        <v>0</v>
      </c>
      <c r="O29" s="238">
        <v>12139.945720510599</v>
      </c>
    </row>
    <row r="30" spans="1:16" s="237" customFormat="1" ht="12" x14ac:dyDescent="0.2">
      <c r="A30" s="235"/>
      <c r="B30" s="230"/>
      <c r="C30" s="236" t="s">
        <v>744</v>
      </c>
      <c r="F30" s="238">
        <v>165.29459538825699</v>
      </c>
      <c r="G30" s="238">
        <v>9.7168223496269995E-2</v>
      </c>
      <c r="H30" s="238">
        <v>2.42920558740675</v>
      </c>
      <c r="I30" s="238">
        <v>3.1295855633429398E-3</v>
      </c>
      <c r="J30" s="238">
        <v>0.93261649787619705</v>
      </c>
      <c r="K30" s="238">
        <v>0</v>
      </c>
      <c r="L30" s="238">
        <v>0</v>
      </c>
      <c r="M30" s="238">
        <v>0</v>
      </c>
      <c r="N30" s="238">
        <v>0</v>
      </c>
      <c r="O30" s="238">
        <v>168.65641747353999</v>
      </c>
      <c r="P30" s="242"/>
    </row>
    <row r="31" spans="1:16" s="237" customFormat="1" ht="12" x14ac:dyDescent="0.2">
      <c r="A31" s="235"/>
      <c r="B31" s="230"/>
      <c r="C31" s="236" t="s">
        <v>745</v>
      </c>
      <c r="F31" s="238">
        <v>636.22531187356401</v>
      </c>
      <c r="G31" s="238">
        <v>1.44210589840966E-2</v>
      </c>
      <c r="H31" s="238">
        <v>0.36052647460241399</v>
      </c>
      <c r="I31" s="238">
        <v>4.9987823527842097E-2</v>
      </c>
      <c r="J31" s="238">
        <v>14.896371411296901</v>
      </c>
      <c r="K31" s="238">
        <v>0</v>
      </c>
      <c r="L31" s="238">
        <v>0</v>
      </c>
      <c r="M31" s="238">
        <v>0</v>
      </c>
      <c r="N31" s="238">
        <v>0</v>
      </c>
      <c r="O31" s="238">
        <v>651.48220975946401</v>
      </c>
    </row>
    <row r="32" spans="1:16" s="237" customFormat="1" ht="12" x14ac:dyDescent="0.2">
      <c r="A32" s="235"/>
      <c r="B32" s="230"/>
      <c r="C32" s="236" t="s">
        <v>746</v>
      </c>
      <c r="D32" s="243"/>
      <c r="E32" s="243"/>
      <c r="F32" s="244">
        <v>339.91936572806998</v>
      </c>
      <c r="G32" s="244">
        <v>8.6898505101575992E-3</v>
      </c>
      <c r="H32" s="244">
        <v>0.21724626275393999</v>
      </c>
      <c r="I32" s="244">
        <v>2.66981850413225E-2</v>
      </c>
      <c r="J32" s="244">
        <v>7.9560591423141096</v>
      </c>
      <c r="K32" s="244">
        <v>0</v>
      </c>
      <c r="L32" s="244">
        <v>0</v>
      </c>
      <c r="M32" s="244">
        <v>0</v>
      </c>
      <c r="N32" s="244">
        <v>0</v>
      </c>
      <c r="O32" s="244">
        <v>348.09267113313803</v>
      </c>
    </row>
    <row r="33" spans="1:15" s="237" customFormat="1" ht="12" x14ac:dyDescent="0.2">
      <c r="A33" s="235"/>
      <c r="B33" s="230"/>
      <c r="C33" s="236" t="s">
        <v>747</v>
      </c>
      <c r="D33" s="243"/>
      <c r="E33" s="243"/>
      <c r="F33" s="244">
        <v>27641.845627734499</v>
      </c>
      <c r="G33" s="244">
        <v>1.2308595078340001</v>
      </c>
      <c r="H33" s="244">
        <v>30.771487695849899</v>
      </c>
      <c r="I33" s="244">
        <v>1.2963615066413301</v>
      </c>
      <c r="J33" s="244">
        <v>386.31572897911599</v>
      </c>
      <c r="K33" s="244">
        <v>0</v>
      </c>
      <c r="L33" s="244">
        <v>0</v>
      </c>
      <c r="M33" s="244">
        <v>0</v>
      </c>
      <c r="N33" s="244">
        <v>0</v>
      </c>
      <c r="O33" s="244">
        <v>28058.932844409399</v>
      </c>
    </row>
    <row r="34" spans="1:15" s="237" customFormat="1" ht="12" x14ac:dyDescent="0.2">
      <c r="A34" s="235"/>
      <c r="B34" s="230"/>
      <c r="C34" s="245" t="s">
        <v>748</v>
      </c>
      <c r="D34" s="243"/>
      <c r="E34" s="243"/>
      <c r="F34" s="244">
        <v>510.52964234048198</v>
      </c>
      <c r="G34" s="244">
        <v>0.231797047056126</v>
      </c>
      <c r="H34" s="244">
        <v>5.7949261764031403</v>
      </c>
      <c r="I34" s="244">
        <v>9.4831115561552493E-3</v>
      </c>
      <c r="J34" s="244">
        <v>2.8259672437342598</v>
      </c>
      <c r="K34" s="244">
        <v>0</v>
      </c>
      <c r="L34" s="244">
        <v>0</v>
      </c>
      <c r="M34" s="244">
        <v>0</v>
      </c>
      <c r="N34" s="244">
        <v>0</v>
      </c>
      <c r="O34" s="244">
        <v>519.15053576061905</v>
      </c>
    </row>
    <row r="35" spans="1:15" s="249" customFormat="1" ht="12.75" x14ac:dyDescent="0.2">
      <c r="A35" s="228"/>
      <c r="B35" s="229" t="s">
        <v>749</v>
      </c>
      <c r="C35" s="246"/>
      <c r="D35" s="247"/>
      <c r="E35" s="247"/>
      <c r="F35" s="248">
        <v>5354.4507652136499</v>
      </c>
      <c r="G35" s="248">
        <v>0.30057253756880598</v>
      </c>
      <c r="H35" s="248">
        <v>7.5143134392201496</v>
      </c>
      <c r="I35" s="248">
        <v>2.0721590172789899</v>
      </c>
      <c r="J35" s="248">
        <v>617.50338714913801</v>
      </c>
      <c r="K35" s="248">
        <v>0</v>
      </c>
      <c r="L35" s="248">
        <v>0</v>
      </c>
      <c r="M35" s="248">
        <v>0</v>
      </c>
      <c r="N35" s="248">
        <v>0</v>
      </c>
      <c r="O35" s="248">
        <v>5979.4684658020096</v>
      </c>
    </row>
    <row r="36" spans="1:15" s="249" customFormat="1" ht="12.75" x14ac:dyDescent="0.2">
      <c r="A36" s="228"/>
      <c r="B36" s="232" t="s">
        <v>750</v>
      </c>
      <c r="C36" s="246"/>
      <c r="D36" s="247"/>
      <c r="E36" s="247"/>
      <c r="F36" s="248">
        <v>5357.81322776256</v>
      </c>
      <c r="G36" s="248">
        <v>0.49445784302782703</v>
      </c>
      <c r="H36" s="248">
        <v>12.361446075695699</v>
      </c>
      <c r="I36" s="248">
        <v>0.141261162388297</v>
      </c>
      <c r="J36" s="248">
        <v>42.0958263917125</v>
      </c>
      <c r="K36" s="248">
        <v>0</v>
      </c>
      <c r="L36" s="248">
        <v>0</v>
      </c>
      <c r="M36" s="248">
        <v>0</v>
      </c>
      <c r="N36" s="248">
        <v>0</v>
      </c>
      <c r="O36" s="248">
        <v>5412.2705002299699</v>
      </c>
    </row>
    <row r="37" spans="1:15" s="234" customFormat="1" ht="12.75" x14ac:dyDescent="0.2">
      <c r="A37" s="228"/>
      <c r="B37" s="229" t="s">
        <v>751</v>
      </c>
      <c r="C37" s="250"/>
      <c r="D37" s="251"/>
      <c r="E37" s="251"/>
      <c r="F37" s="252">
        <v>37617.699533110303</v>
      </c>
      <c r="G37" s="252">
        <v>16.9002688030555</v>
      </c>
      <c r="H37" s="252">
        <v>422.50672007638701</v>
      </c>
      <c r="I37" s="252">
        <v>9.2062209282049192</v>
      </c>
      <c r="J37" s="252">
        <v>2743.4538366050701</v>
      </c>
      <c r="K37" s="252">
        <v>0</v>
      </c>
      <c r="L37" s="252">
        <v>0</v>
      </c>
      <c r="M37" s="252">
        <v>0</v>
      </c>
      <c r="N37" s="252">
        <v>0</v>
      </c>
      <c r="O37" s="252">
        <v>40783.660089791803</v>
      </c>
    </row>
    <row r="38" spans="1:15" s="237" customFormat="1" ht="12" x14ac:dyDescent="0.2">
      <c r="A38" s="235"/>
      <c r="B38" s="230"/>
      <c r="C38" s="236" t="s">
        <v>752</v>
      </c>
      <c r="F38" s="238">
        <v>10256.806574038401</v>
      </c>
      <c r="G38" s="238">
        <v>0.61195991201730404</v>
      </c>
      <c r="H38" s="238">
        <v>15.2989978004326</v>
      </c>
      <c r="I38" s="238">
        <v>3.9573666485203098</v>
      </c>
      <c r="J38" s="238">
        <v>1179.29526125905</v>
      </c>
      <c r="K38" s="238">
        <v>0</v>
      </c>
      <c r="L38" s="238">
        <v>0</v>
      </c>
      <c r="M38" s="238">
        <v>0</v>
      </c>
      <c r="N38" s="238">
        <v>0</v>
      </c>
      <c r="O38" s="238">
        <v>11451.4008330979</v>
      </c>
    </row>
    <row r="39" spans="1:15" s="237" customFormat="1" ht="12" x14ac:dyDescent="0.2">
      <c r="A39" s="235"/>
      <c r="B39" s="230"/>
      <c r="C39" s="236" t="s">
        <v>753</v>
      </c>
      <c r="F39" s="238">
        <v>1554.4347297736199</v>
      </c>
      <c r="G39" s="238">
        <v>0.82984948342322495</v>
      </c>
      <c r="H39" s="238">
        <v>20.746237085580599</v>
      </c>
      <c r="I39" s="238">
        <v>0.447712259732854</v>
      </c>
      <c r="J39" s="238">
        <v>133.41825340039</v>
      </c>
      <c r="K39" s="238">
        <v>0</v>
      </c>
      <c r="L39" s="238">
        <v>0</v>
      </c>
      <c r="M39" s="238">
        <v>0</v>
      </c>
      <c r="N39" s="238">
        <v>0</v>
      </c>
      <c r="O39" s="238">
        <v>1708.5992202595901</v>
      </c>
    </row>
    <row r="40" spans="1:15" s="237" customFormat="1" ht="12" x14ac:dyDescent="0.2">
      <c r="A40" s="235"/>
      <c r="B40" s="230"/>
      <c r="C40" s="236" t="s">
        <v>754</v>
      </c>
      <c r="F40" s="238">
        <v>9756.5830753366808</v>
      </c>
      <c r="G40" s="238">
        <v>0.64841535956101004</v>
      </c>
      <c r="H40" s="238">
        <v>16.210383989025299</v>
      </c>
      <c r="I40" s="238">
        <v>3.6926934118522499</v>
      </c>
      <c r="J40" s="238">
        <v>1100.42263673197</v>
      </c>
      <c r="K40" s="238">
        <v>0</v>
      </c>
      <c r="L40" s="238">
        <v>0</v>
      </c>
      <c r="M40" s="238">
        <v>0</v>
      </c>
      <c r="N40" s="238">
        <v>0</v>
      </c>
      <c r="O40" s="238">
        <v>10873.2160960577</v>
      </c>
    </row>
    <row r="41" spans="1:15" s="237" customFormat="1" ht="12" x14ac:dyDescent="0.2">
      <c r="A41" s="235"/>
      <c r="B41" s="230"/>
      <c r="C41" s="236" t="s">
        <v>755</v>
      </c>
      <c r="F41" s="238">
        <v>527.12039955872103</v>
      </c>
      <c r="G41" s="238">
        <v>0.43222783630115702</v>
      </c>
      <c r="H41" s="238">
        <v>10.8056959075289</v>
      </c>
      <c r="I41" s="238">
        <v>7.1807533001282495E-2</v>
      </c>
      <c r="J41" s="238">
        <v>21.3986448343822</v>
      </c>
      <c r="K41" s="238">
        <v>0</v>
      </c>
      <c r="L41" s="238">
        <v>0</v>
      </c>
      <c r="M41" s="238">
        <v>0</v>
      </c>
      <c r="N41" s="238">
        <v>0</v>
      </c>
      <c r="O41" s="238">
        <v>559.32474030063202</v>
      </c>
    </row>
    <row r="42" spans="1:15" s="237" customFormat="1" ht="12" x14ac:dyDescent="0.2">
      <c r="A42" s="235"/>
      <c r="B42" s="230"/>
      <c r="C42" s="236" t="s">
        <v>756</v>
      </c>
      <c r="F42" s="238">
        <v>4935.2019824029203</v>
      </c>
      <c r="G42" s="238">
        <v>3.7834893285028</v>
      </c>
      <c r="H42" s="238">
        <v>94.587233212569998</v>
      </c>
      <c r="I42" s="238">
        <v>0.75411473509822402</v>
      </c>
      <c r="J42" s="238">
        <v>224.726191059271</v>
      </c>
      <c r="K42" s="238">
        <v>0</v>
      </c>
      <c r="L42" s="238">
        <v>0</v>
      </c>
      <c r="M42" s="238">
        <v>0</v>
      </c>
      <c r="N42" s="238">
        <v>0</v>
      </c>
      <c r="O42" s="238">
        <v>5254.51540667476</v>
      </c>
    </row>
    <row r="43" spans="1:15" s="237" customFormat="1" ht="12" x14ac:dyDescent="0.2">
      <c r="A43" s="235"/>
      <c r="B43" s="230"/>
      <c r="C43" s="253" t="s">
        <v>757</v>
      </c>
      <c r="F43" s="238">
        <v>10587.552771999999</v>
      </c>
      <c r="G43" s="238">
        <v>10.59432688325</v>
      </c>
      <c r="H43" s="238">
        <v>264.85817208125002</v>
      </c>
      <c r="I43" s="238">
        <v>0.28252633999999999</v>
      </c>
      <c r="J43" s="238">
        <v>84.192849319999993</v>
      </c>
      <c r="K43" s="238">
        <v>0</v>
      </c>
      <c r="L43" s="238">
        <v>0</v>
      </c>
      <c r="M43" s="238">
        <v>0</v>
      </c>
      <c r="N43" s="238">
        <v>0</v>
      </c>
      <c r="O43" s="238">
        <v>10936.6037934013</v>
      </c>
    </row>
    <row r="44" spans="1:15" s="240" customFormat="1" ht="12.75" x14ac:dyDescent="0.2">
      <c r="A44" s="224" t="s">
        <v>758</v>
      </c>
      <c r="B44" s="225" t="s">
        <v>759</v>
      </c>
      <c r="C44" s="225"/>
      <c r="F44" s="226">
        <v>15629.880527208001</v>
      </c>
      <c r="G44" s="226">
        <v>1953.9405178408899</v>
      </c>
      <c r="H44" s="226">
        <v>48848.512946022202</v>
      </c>
      <c r="I44" s="226">
        <v>0.12713648442757999</v>
      </c>
      <c r="J44" s="226">
        <v>37.886672359419002</v>
      </c>
      <c r="K44" s="226">
        <v>0</v>
      </c>
      <c r="L44" s="226">
        <v>0</v>
      </c>
      <c r="M44" s="226">
        <v>0</v>
      </c>
      <c r="N44" s="226">
        <v>0</v>
      </c>
      <c r="O44" s="226">
        <v>64516.280145589597</v>
      </c>
    </row>
    <row r="45" spans="1:15" s="234" customFormat="1" ht="12.75" x14ac:dyDescent="0.2">
      <c r="A45" s="228"/>
      <c r="B45" s="229" t="s">
        <v>760</v>
      </c>
      <c r="C45" s="229"/>
      <c r="F45" s="231">
        <v>0</v>
      </c>
      <c r="G45" s="231">
        <v>62.244419725433602</v>
      </c>
      <c r="H45" s="231">
        <v>1556.11049313584</v>
      </c>
      <c r="I45" s="231">
        <v>0</v>
      </c>
      <c r="J45" s="231">
        <v>0</v>
      </c>
      <c r="K45" s="231">
        <v>0</v>
      </c>
      <c r="L45" s="231">
        <v>0</v>
      </c>
      <c r="M45" s="231">
        <v>0</v>
      </c>
      <c r="N45" s="231">
        <v>0</v>
      </c>
      <c r="O45" s="231">
        <v>1556.11049313584</v>
      </c>
    </row>
    <row r="46" spans="1:15" s="234" customFormat="1" ht="12.75" x14ac:dyDescent="0.2">
      <c r="A46" s="228"/>
      <c r="B46" s="229" t="s">
        <v>761</v>
      </c>
      <c r="C46" s="229"/>
      <c r="F46" s="231">
        <v>15629.880527208001</v>
      </c>
      <c r="G46" s="231">
        <v>1891.69609811545</v>
      </c>
      <c r="H46" s="231">
        <v>47292.402452886301</v>
      </c>
      <c r="I46" s="231">
        <v>0.12713648442757999</v>
      </c>
      <c r="J46" s="231">
        <v>37.886672359419002</v>
      </c>
      <c r="K46" s="231">
        <v>0</v>
      </c>
      <c r="L46" s="231">
        <v>0</v>
      </c>
      <c r="M46" s="231">
        <v>0</v>
      </c>
      <c r="N46" s="231">
        <v>0</v>
      </c>
      <c r="O46" s="231">
        <v>62960.169652453696</v>
      </c>
    </row>
    <row r="47" spans="1:15" s="237" customFormat="1" ht="12" x14ac:dyDescent="0.2">
      <c r="A47" s="254"/>
      <c r="B47" s="255"/>
      <c r="C47" s="230" t="s">
        <v>762</v>
      </c>
      <c r="F47" s="238">
        <v>184.61221610362</v>
      </c>
      <c r="G47" s="238">
        <v>251.84980927766301</v>
      </c>
      <c r="H47" s="238">
        <v>6296.2452319415697</v>
      </c>
      <c r="I47" s="238">
        <v>0.114</v>
      </c>
      <c r="J47" s="238">
        <v>33.972000000000001</v>
      </c>
      <c r="K47" s="238">
        <v>0</v>
      </c>
      <c r="L47" s="238">
        <v>0</v>
      </c>
      <c r="M47" s="238">
        <v>0</v>
      </c>
      <c r="N47" s="238">
        <v>0</v>
      </c>
      <c r="O47" s="238">
        <v>6514.8294480451896</v>
      </c>
    </row>
    <row r="48" spans="1:15" s="237" customFormat="1" ht="12" x14ac:dyDescent="0.2">
      <c r="A48" s="254"/>
      <c r="B48" s="255"/>
      <c r="C48" s="230" t="s">
        <v>763</v>
      </c>
      <c r="F48" s="238">
        <v>49.138193210161504</v>
      </c>
      <c r="G48" s="238">
        <v>548.43740103104801</v>
      </c>
      <c r="H48" s="238">
        <v>13710.9350257762</v>
      </c>
      <c r="I48" s="238">
        <v>0</v>
      </c>
      <c r="J48" s="238">
        <v>0</v>
      </c>
      <c r="K48" s="238">
        <v>0</v>
      </c>
      <c r="L48" s="238">
        <v>0</v>
      </c>
      <c r="M48" s="238">
        <v>0</v>
      </c>
      <c r="N48" s="238">
        <v>0</v>
      </c>
      <c r="O48" s="238">
        <v>13760.073218986399</v>
      </c>
    </row>
    <row r="49" spans="1:16" s="237" customFormat="1" ht="12" x14ac:dyDescent="0.2">
      <c r="A49" s="256"/>
      <c r="B49" s="257"/>
      <c r="C49" s="258" t="s">
        <v>380</v>
      </c>
      <c r="D49" s="243"/>
      <c r="E49" s="243"/>
      <c r="F49" s="244">
        <v>10354.014106353299</v>
      </c>
      <c r="G49" s="244">
        <v>1079.9371840398101</v>
      </c>
      <c r="H49" s="244">
        <v>26998.4296009953</v>
      </c>
      <c r="I49" s="244">
        <v>0</v>
      </c>
      <c r="J49" s="244">
        <v>0</v>
      </c>
      <c r="K49" s="244">
        <v>0</v>
      </c>
      <c r="L49" s="244">
        <v>0</v>
      </c>
      <c r="M49" s="244">
        <v>0</v>
      </c>
      <c r="N49" s="244">
        <v>0</v>
      </c>
      <c r="O49" s="244">
        <v>37352.443707348597</v>
      </c>
    </row>
    <row r="50" spans="1:16" s="237" customFormat="1" ht="12" x14ac:dyDescent="0.2">
      <c r="A50" s="256"/>
      <c r="B50" s="257"/>
      <c r="C50" s="258" t="s">
        <v>381</v>
      </c>
      <c r="D50" s="243"/>
      <c r="E50" s="243"/>
      <c r="F50" s="244">
        <v>5042.1160115408602</v>
      </c>
      <c r="G50" s="244">
        <v>11.4717037669304</v>
      </c>
      <c r="H50" s="244">
        <v>286.79259417326</v>
      </c>
      <c r="I50" s="244">
        <v>1.3136484427580499E-2</v>
      </c>
      <c r="J50" s="244">
        <v>3.9146723594189798</v>
      </c>
      <c r="K50" s="244">
        <v>0</v>
      </c>
      <c r="L50" s="244">
        <v>0</v>
      </c>
      <c r="M50" s="244">
        <v>0</v>
      </c>
      <c r="N50" s="244">
        <v>0</v>
      </c>
      <c r="O50" s="244">
        <v>5332.8232780735398</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39218.163882778499</v>
      </c>
      <c r="G52" s="266">
        <v>4.21463788645229</v>
      </c>
      <c r="H52" s="266">
        <v>105.36594716130701</v>
      </c>
      <c r="I52" s="266">
        <v>9.3810154928064406</v>
      </c>
      <c r="J52" s="266">
        <v>2795.5426168563199</v>
      </c>
      <c r="K52" s="266">
        <v>3607.0676609986199</v>
      </c>
      <c r="L52" s="266">
        <v>3463.0045310763198</v>
      </c>
      <c r="M52" s="266">
        <v>3015.8138704552498</v>
      </c>
      <c r="N52" s="266">
        <v>0.22040859733333401</v>
      </c>
      <c r="O52" s="266">
        <v>52205.1789179236</v>
      </c>
    </row>
    <row r="53" spans="1:16" s="240" customFormat="1" ht="12.75" x14ac:dyDescent="0.2">
      <c r="A53" s="224" t="s">
        <v>724</v>
      </c>
      <c r="B53" s="225" t="s">
        <v>767</v>
      </c>
      <c r="C53" s="225"/>
      <c r="D53" s="268"/>
      <c r="E53" s="268"/>
      <c r="F53" s="269">
        <v>9641.6903806335995</v>
      </c>
      <c r="G53" s="269">
        <v>0</v>
      </c>
      <c r="H53" s="269">
        <v>0</v>
      </c>
      <c r="I53" s="269">
        <v>0</v>
      </c>
      <c r="J53" s="269">
        <v>0</v>
      </c>
      <c r="K53" s="269">
        <v>0</v>
      </c>
      <c r="L53" s="269">
        <v>0</v>
      </c>
      <c r="M53" s="269">
        <v>0</v>
      </c>
      <c r="N53" s="269">
        <v>0</v>
      </c>
      <c r="O53" s="269">
        <v>9641.6903806335995</v>
      </c>
    </row>
    <row r="54" spans="1:16" s="273" customFormat="1" ht="12" x14ac:dyDescent="0.2">
      <c r="A54" s="235"/>
      <c r="B54" s="270"/>
      <c r="C54" s="236" t="s">
        <v>560</v>
      </c>
      <c r="D54" s="271"/>
      <c r="E54" s="271"/>
      <c r="F54" s="272">
        <v>7145.2143277319201</v>
      </c>
      <c r="G54" s="272">
        <v>0</v>
      </c>
      <c r="H54" s="272">
        <v>0</v>
      </c>
      <c r="I54" s="272">
        <v>0</v>
      </c>
      <c r="J54" s="272">
        <v>0</v>
      </c>
      <c r="K54" s="272">
        <v>0</v>
      </c>
      <c r="L54" s="272">
        <v>0</v>
      </c>
      <c r="M54" s="272">
        <v>0</v>
      </c>
      <c r="N54" s="272">
        <v>0</v>
      </c>
      <c r="O54" s="272">
        <v>7145.2143277319201</v>
      </c>
      <c r="P54" s="271"/>
    </row>
    <row r="55" spans="1:16" s="273" customFormat="1" ht="12" x14ac:dyDescent="0.2">
      <c r="A55" s="235"/>
      <c r="B55" s="270"/>
      <c r="C55" s="236" t="s">
        <v>191</v>
      </c>
      <c r="D55" s="271"/>
      <c r="E55" s="271"/>
      <c r="F55" s="272">
        <v>1671.73317652216</v>
      </c>
      <c r="G55" s="272">
        <v>0</v>
      </c>
      <c r="H55" s="272">
        <v>0</v>
      </c>
      <c r="I55" s="272">
        <v>0</v>
      </c>
      <c r="J55" s="272">
        <v>0</v>
      </c>
      <c r="K55" s="272">
        <v>0</v>
      </c>
      <c r="L55" s="272">
        <v>0</v>
      </c>
      <c r="M55" s="272">
        <v>0</v>
      </c>
      <c r="N55" s="272">
        <v>0</v>
      </c>
      <c r="O55" s="272">
        <v>1671.73317652216</v>
      </c>
      <c r="P55" s="271"/>
    </row>
    <row r="56" spans="1:16" s="273" customFormat="1" ht="12" x14ac:dyDescent="0.2">
      <c r="A56" s="235"/>
      <c r="B56" s="270"/>
      <c r="C56" s="236" t="s">
        <v>768</v>
      </c>
      <c r="D56" s="271"/>
      <c r="E56" s="271"/>
      <c r="F56" s="272">
        <v>824.74287637952796</v>
      </c>
      <c r="G56" s="272">
        <v>0</v>
      </c>
      <c r="H56" s="272">
        <v>0</v>
      </c>
      <c r="I56" s="272">
        <v>0</v>
      </c>
      <c r="J56" s="272">
        <v>0</v>
      </c>
      <c r="K56" s="272">
        <v>0</v>
      </c>
      <c r="L56" s="272">
        <v>0</v>
      </c>
      <c r="M56" s="272">
        <v>0</v>
      </c>
      <c r="N56" s="272">
        <v>0</v>
      </c>
      <c r="O56" s="272">
        <v>824.74287637952796</v>
      </c>
      <c r="P56" s="271"/>
    </row>
    <row r="57" spans="1:16" s="275" customFormat="1" ht="12.75" x14ac:dyDescent="0.2">
      <c r="A57" s="224" t="s">
        <v>737</v>
      </c>
      <c r="B57" s="225" t="s">
        <v>769</v>
      </c>
      <c r="C57" s="225"/>
      <c r="D57" s="274"/>
      <c r="E57" s="274"/>
      <c r="F57" s="269">
        <v>5724.0303518470901</v>
      </c>
      <c r="G57" s="269">
        <v>4.1199008864522897</v>
      </c>
      <c r="H57" s="269">
        <v>102.997522161307</v>
      </c>
      <c r="I57" s="269">
        <v>8.1373095684527001</v>
      </c>
      <c r="J57" s="269">
        <v>2424.9182513989099</v>
      </c>
      <c r="K57" s="269">
        <v>0</v>
      </c>
      <c r="L57" s="269">
        <v>0</v>
      </c>
      <c r="M57" s="269">
        <v>0</v>
      </c>
      <c r="N57" s="269">
        <v>0</v>
      </c>
      <c r="O57" s="269">
        <v>8251.9461254073103</v>
      </c>
      <c r="P57" s="274"/>
    </row>
    <row r="58" spans="1:16" s="277" customFormat="1" ht="12" x14ac:dyDescent="0.2">
      <c r="A58" s="235"/>
      <c r="B58" s="270"/>
      <c r="C58" s="236" t="s">
        <v>192</v>
      </c>
      <c r="D58" s="276"/>
      <c r="E58" s="276"/>
      <c r="F58" s="272">
        <v>2628.2625073506301</v>
      </c>
      <c r="G58" s="272">
        <v>0</v>
      </c>
      <c r="H58" s="272">
        <v>0</v>
      </c>
      <c r="I58" s="272">
        <v>0</v>
      </c>
      <c r="J58" s="272">
        <v>0</v>
      </c>
      <c r="K58" s="272">
        <v>0</v>
      </c>
      <c r="L58" s="272">
        <v>0</v>
      </c>
      <c r="M58" s="272">
        <v>0</v>
      </c>
      <c r="N58" s="272">
        <v>0</v>
      </c>
      <c r="O58" s="272">
        <v>2628.2625073506301</v>
      </c>
      <c r="P58" s="276"/>
    </row>
    <row r="59" spans="1:16" s="277" customFormat="1" ht="12" x14ac:dyDescent="0.2">
      <c r="A59" s="235"/>
      <c r="B59" s="270"/>
      <c r="C59" s="236" t="s">
        <v>190</v>
      </c>
      <c r="D59" s="276"/>
      <c r="E59" s="276"/>
      <c r="F59" s="272">
        <v>0</v>
      </c>
      <c r="G59" s="272">
        <v>0</v>
      </c>
      <c r="H59" s="272">
        <v>0</v>
      </c>
      <c r="I59" s="272">
        <v>4.0520876310724496</v>
      </c>
      <c r="J59" s="272">
        <v>1207.52211405959</v>
      </c>
      <c r="K59" s="272">
        <v>0</v>
      </c>
      <c r="L59" s="272">
        <v>0</v>
      </c>
      <c r="M59" s="272">
        <v>0</v>
      </c>
      <c r="N59" s="272">
        <v>0</v>
      </c>
      <c r="O59" s="272">
        <v>1207.52211405959</v>
      </c>
      <c r="P59" s="276"/>
    </row>
    <row r="60" spans="1:16" s="277" customFormat="1" ht="12" x14ac:dyDescent="0.2">
      <c r="A60" s="235"/>
      <c r="B60" s="270"/>
      <c r="C60" s="236" t="s">
        <v>770</v>
      </c>
      <c r="D60" s="276"/>
      <c r="E60" s="276"/>
      <c r="F60" s="272">
        <v>0</v>
      </c>
      <c r="G60" s="272">
        <v>0</v>
      </c>
      <c r="H60" s="272">
        <v>0</v>
      </c>
      <c r="I60" s="272">
        <v>4.0358999999999998</v>
      </c>
      <c r="J60" s="272">
        <v>1202.6982</v>
      </c>
      <c r="K60" s="272">
        <v>0</v>
      </c>
      <c r="L60" s="272">
        <v>0</v>
      </c>
      <c r="M60" s="272">
        <v>0</v>
      </c>
      <c r="N60" s="272">
        <v>0</v>
      </c>
      <c r="O60" s="272">
        <v>1202.6982</v>
      </c>
      <c r="P60" s="276"/>
    </row>
    <row r="61" spans="1:16" s="277" customFormat="1" ht="12" x14ac:dyDescent="0.2">
      <c r="A61" s="235"/>
      <c r="B61" s="270"/>
      <c r="C61" s="236" t="s">
        <v>771</v>
      </c>
      <c r="D61" s="276"/>
      <c r="E61" s="276"/>
      <c r="F61" s="272">
        <v>3095.7678444964599</v>
      </c>
      <c r="G61" s="272">
        <v>4.1199008864522897</v>
      </c>
      <c r="H61" s="272">
        <v>102.997522161307</v>
      </c>
      <c r="I61" s="272">
        <v>4.9321937380254303E-2</v>
      </c>
      <c r="J61" s="272">
        <v>14.6979373393158</v>
      </c>
      <c r="K61" s="272">
        <v>0</v>
      </c>
      <c r="L61" s="272">
        <v>0</v>
      </c>
      <c r="M61" s="272">
        <v>0</v>
      </c>
      <c r="N61" s="272">
        <v>0</v>
      </c>
      <c r="O61" s="272">
        <v>3213.46330399709</v>
      </c>
      <c r="P61" s="276"/>
    </row>
    <row r="62" spans="1:16" s="240" customFormat="1" ht="12.75" x14ac:dyDescent="0.2">
      <c r="A62" s="224" t="s">
        <v>758</v>
      </c>
      <c r="B62" s="225" t="s">
        <v>772</v>
      </c>
      <c r="C62" s="225"/>
      <c r="D62" s="268"/>
      <c r="E62" s="268"/>
      <c r="F62" s="269">
        <v>14971.1526317309</v>
      </c>
      <c r="G62" s="269">
        <v>9.4737000000000002E-2</v>
      </c>
      <c r="H62" s="269">
        <v>2.3684249999999998</v>
      </c>
      <c r="I62" s="269">
        <v>0</v>
      </c>
      <c r="J62" s="269">
        <v>0</v>
      </c>
      <c r="K62" s="269">
        <v>0</v>
      </c>
      <c r="L62" s="269">
        <v>3438.3949157317102</v>
      </c>
      <c r="M62" s="269">
        <v>2877.3689962357998</v>
      </c>
      <c r="N62" s="269">
        <v>0</v>
      </c>
      <c r="O62" s="269">
        <v>21289.284968698499</v>
      </c>
      <c r="P62" s="268"/>
    </row>
    <row r="63" spans="1:16" s="273" customFormat="1" ht="12" x14ac:dyDescent="0.2">
      <c r="A63" s="235"/>
      <c r="B63" s="230"/>
      <c r="C63" s="230" t="s">
        <v>773</v>
      </c>
      <c r="D63" s="271"/>
      <c r="E63" s="271"/>
      <c r="F63" s="272">
        <v>10552.2063868359</v>
      </c>
      <c r="G63" s="272">
        <v>9.4737000000000002E-2</v>
      </c>
      <c r="H63" s="272">
        <v>2.3684249999999998</v>
      </c>
      <c r="I63" s="272">
        <v>0</v>
      </c>
      <c r="J63" s="272">
        <v>0</v>
      </c>
      <c r="K63" s="272">
        <v>0</v>
      </c>
      <c r="L63" s="272">
        <v>0</v>
      </c>
      <c r="M63" s="272">
        <v>0</v>
      </c>
      <c r="N63" s="272">
        <v>0</v>
      </c>
      <c r="O63" s="272">
        <v>10554.574811835901</v>
      </c>
      <c r="P63" s="271"/>
    </row>
    <row r="64" spans="1:16" s="273" customFormat="1" ht="12" x14ac:dyDescent="0.2">
      <c r="A64" s="235"/>
      <c r="B64" s="230"/>
      <c r="C64" s="230" t="s">
        <v>252</v>
      </c>
      <c r="D64" s="271"/>
      <c r="E64" s="271"/>
      <c r="F64" s="272">
        <v>4418.9462448950098</v>
      </c>
      <c r="G64" s="272">
        <v>0</v>
      </c>
      <c r="H64" s="272">
        <v>0</v>
      </c>
      <c r="I64" s="272">
        <v>0</v>
      </c>
      <c r="J64" s="272">
        <v>0</v>
      </c>
      <c r="K64" s="272">
        <v>0</v>
      </c>
      <c r="L64" s="272">
        <v>3438.3949157317102</v>
      </c>
      <c r="M64" s="272">
        <v>76.469002041840994</v>
      </c>
      <c r="N64" s="272">
        <v>0</v>
      </c>
      <c r="O64" s="272">
        <v>7933.8101626685602</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2800.8999941939601</v>
      </c>
      <c r="N65" s="272">
        <v>0</v>
      </c>
      <c r="O65" s="272">
        <v>2800.8999941939601</v>
      </c>
      <c r="P65" s="271"/>
    </row>
    <row r="66" spans="1:16" s="234" customFormat="1" x14ac:dyDescent="0.25">
      <c r="A66" s="278" t="s">
        <v>764</v>
      </c>
      <c r="B66" s="279" t="s">
        <v>775</v>
      </c>
      <c r="C66" s="279"/>
      <c r="D66" s="251"/>
      <c r="E66" s="251"/>
      <c r="F66" s="252">
        <v>0</v>
      </c>
      <c r="G66" s="252">
        <v>0</v>
      </c>
      <c r="H66" s="252">
        <v>0</v>
      </c>
      <c r="I66" s="252">
        <v>0</v>
      </c>
      <c r="J66" s="252">
        <v>0</v>
      </c>
      <c r="K66" s="252">
        <v>3607.0676609986199</v>
      </c>
      <c r="L66" s="252">
        <v>22.9262882522195</v>
      </c>
      <c r="M66" s="252">
        <v>3.3357132357637198</v>
      </c>
      <c r="N66" s="252">
        <v>0.22040859733333401</v>
      </c>
      <c r="O66" s="252">
        <v>3633.5500710839401</v>
      </c>
      <c r="P66" s="251"/>
    </row>
    <row r="67" spans="1:16" s="234" customFormat="1" ht="12.75" x14ac:dyDescent="0.2">
      <c r="A67" s="278" t="s">
        <v>776</v>
      </c>
      <c r="B67" s="279" t="s">
        <v>777</v>
      </c>
      <c r="C67" s="279"/>
      <c r="D67" s="251"/>
      <c r="E67" s="251"/>
      <c r="F67" s="252">
        <v>8881.2905185668405</v>
      </c>
      <c r="G67" s="252">
        <v>0</v>
      </c>
      <c r="H67" s="252">
        <v>0</v>
      </c>
      <c r="I67" s="252">
        <v>0</v>
      </c>
      <c r="J67" s="252">
        <v>0</v>
      </c>
      <c r="K67" s="252">
        <v>0</v>
      </c>
      <c r="L67" s="252">
        <v>0</v>
      </c>
      <c r="M67" s="252">
        <v>0</v>
      </c>
      <c r="N67" s="252">
        <v>0</v>
      </c>
      <c r="O67" s="252">
        <v>8881.2905185668405</v>
      </c>
      <c r="P67" s="251"/>
    </row>
    <row r="68" spans="1:16" s="234" customFormat="1" ht="12.75" x14ac:dyDescent="0.2">
      <c r="A68" s="259" t="s">
        <v>778</v>
      </c>
      <c r="B68" s="260" t="s">
        <v>779</v>
      </c>
      <c r="C68" s="260"/>
      <c r="D68" s="280"/>
      <c r="E68" s="280"/>
      <c r="F68" s="281">
        <v>0</v>
      </c>
      <c r="G68" s="281">
        <v>0</v>
      </c>
      <c r="H68" s="281">
        <v>0</v>
      </c>
      <c r="I68" s="281">
        <v>1.2437059243537401</v>
      </c>
      <c r="J68" s="281">
        <v>370.62436545741502</v>
      </c>
      <c r="K68" s="281">
        <v>0</v>
      </c>
      <c r="L68" s="281">
        <v>1.6833270923999499</v>
      </c>
      <c r="M68" s="281">
        <v>135.10916098369</v>
      </c>
      <c r="N68" s="281">
        <v>0</v>
      </c>
      <c r="O68" s="281">
        <v>507.41685353350499</v>
      </c>
      <c r="P68" s="251"/>
    </row>
    <row r="69" spans="1:16" s="267" customFormat="1" ht="12.75" x14ac:dyDescent="0.2">
      <c r="A69" s="282" t="s">
        <v>780</v>
      </c>
      <c r="B69" s="283"/>
      <c r="C69" s="283"/>
      <c r="D69" s="284"/>
      <c r="E69" s="284"/>
      <c r="F69" s="285">
        <v>1521.9619242666699</v>
      </c>
      <c r="G69" s="285">
        <v>1341.13916629511</v>
      </c>
      <c r="H69" s="285">
        <v>33528.479157377798</v>
      </c>
      <c r="I69" s="285">
        <v>73.320721200706899</v>
      </c>
      <c r="J69" s="285">
        <v>21849.5749178107</v>
      </c>
      <c r="K69" s="285">
        <v>0</v>
      </c>
      <c r="L69" s="285">
        <v>0</v>
      </c>
      <c r="M69" s="285">
        <v>0</v>
      </c>
      <c r="N69" s="285">
        <v>0</v>
      </c>
      <c r="O69" s="285">
        <v>56900.0159994551</v>
      </c>
      <c r="P69" s="265"/>
    </row>
    <row r="70" spans="1:16" s="234" customFormat="1" ht="12.75" x14ac:dyDescent="0.2">
      <c r="A70" s="278" t="s">
        <v>724</v>
      </c>
      <c r="B70" s="279" t="s">
        <v>27</v>
      </c>
      <c r="C70" s="279"/>
      <c r="D70" s="251"/>
      <c r="E70" s="251"/>
      <c r="F70" s="252">
        <v>0</v>
      </c>
      <c r="G70" s="252">
        <v>1170.1295688381499</v>
      </c>
      <c r="H70" s="252">
        <v>29253.239220953699</v>
      </c>
      <c r="I70" s="252">
        <v>0</v>
      </c>
      <c r="J70" s="252">
        <v>0</v>
      </c>
      <c r="K70" s="252">
        <v>0</v>
      </c>
      <c r="L70" s="252">
        <v>0</v>
      </c>
      <c r="M70" s="252">
        <v>0</v>
      </c>
      <c r="N70" s="252">
        <v>0</v>
      </c>
      <c r="O70" s="252">
        <v>29253.239220953699</v>
      </c>
      <c r="P70" s="251"/>
    </row>
    <row r="71" spans="1:16" s="234" customFormat="1" ht="12.75" x14ac:dyDescent="0.2">
      <c r="A71" s="278" t="s">
        <v>737</v>
      </c>
      <c r="B71" s="279" t="s">
        <v>28</v>
      </c>
      <c r="C71" s="279"/>
      <c r="D71" s="251"/>
      <c r="E71" s="251"/>
      <c r="F71" s="252">
        <v>0</v>
      </c>
      <c r="G71" s="252">
        <v>167.55107833056201</v>
      </c>
      <c r="H71" s="252">
        <v>4188.7769582640403</v>
      </c>
      <c r="I71" s="252">
        <v>17.678220972628999</v>
      </c>
      <c r="J71" s="252">
        <v>5268.1098498434303</v>
      </c>
      <c r="K71" s="252">
        <v>0</v>
      </c>
      <c r="L71" s="252">
        <v>0</v>
      </c>
      <c r="M71" s="252">
        <v>0</v>
      </c>
      <c r="N71" s="252">
        <v>0</v>
      </c>
      <c r="O71" s="252">
        <v>9456.8868081074706</v>
      </c>
      <c r="P71" s="251"/>
    </row>
    <row r="72" spans="1:16" s="234" customFormat="1" ht="12.75" x14ac:dyDescent="0.2">
      <c r="A72" s="224" t="s">
        <v>758</v>
      </c>
      <c r="B72" s="225" t="s">
        <v>781</v>
      </c>
      <c r="C72" s="225"/>
      <c r="F72" s="231">
        <v>0</v>
      </c>
      <c r="G72" s="231">
        <v>0</v>
      </c>
      <c r="H72" s="231">
        <v>0</v>
      </c>
      <c r="I72" s="231">
        <v>55.552834917393497</v>
      </c>
      <c r="J72" s="231">
        <v>16554.7448053833</v>
      </c>
      <c r="K72" s="231">
        <v>0</v>
      </c>
      <c r="L72" s="231">
        <v>0</v>
      </c>
      <c r="M72" s="231">
        <v>0</v>
      </c>
      <c r="N72" s="231">
        <v>0</v>
      </c>
      <c r="O72" s="231">
        <v>16554.7448053833</v>
      </c>
    </row>
    <row r="73" spans="1:16" s="237" customFormat="1" ht="12" x14ac:dyDescent="0.2">
      <c r="A73" s="286"/>
      <c r="B73" s="258"/>
      <c r="C73" s="258" t="s">
        <v>782</v>
      </c>
      <c r="D73" s="243"/>
      <c r="E73" s="243"/>
      <c r="F73" s="244">
        <v>0</v>
      </c>
      <c r="G73" s="244">
        <v>0</v>
      </c>
      <c r="H73" s="244">
        <v>0</v>
      </c>
      <c r="I73" s="244">
        <v>45.289409193410002</v>
      </c>
      <c r="J73" s="244">
        <v>13496.243939636201</v>
      </c>
      <c r="K73" s="244">
        <v>0</v>
      </c>
      <c r="L73" s="244">
        <v>0</v>
      </c>
      <c r="M73" s="244">
        <v>0</v>
      </c>
      <c r="N73" s="244">
        <v>0</v>
      </c>
      <c r="O73" s="244">
        <v>13496.243939636201</v>
      </c>
    </row>
    <row r="74" spans="1:16" s="237" customFormat="1" ht="12" x14ac:dyDescent="0.2">
      <c r="A74" s="286"/>
      <c r="B74" s="258"/>
      <c r="C74" s="258" t="s">
        <v>783</v>
      </c>
      <c r="D74" s="243"/>
      <c r="E74" s="243"/>
      <c r="F74" s="244">
        <v>0</v>
      </c>
      <c r="G74" s="244">
        <v>0</v>
      </c>
      <c r="H74" s="244">
        <v>0</v>
      </c>
      <c r="I74" s="244">
        <v>10.263425723983501</v>
      </c>
      <c r="J74" s="244">
        <v>3058.5008657470698</v>
      </c>
      <c r="K74" s="244">
        <v>0</v>
      </c>
      <c r="L74" s="244">
        <v>0</v>
      </c>
      <c r="M74" s="244">
        <v>0</v>
      </c>
      <c r="N74" s="244">
        <v>0</v>
      </c>
      <c r="O74" s="244">
        <v>3058.5008657470698</v>
      </c>
    </row>
    <row r="75" spans="1:16" s="234" customFormat="1" ht="12.75" x14ac:dyDescent="0.2">
      <c r="A75" s="278" t="s">
        <v>764</v>
      </c>
      <c r="B75" s="279" t="s">
        <v>193</v>
      </c>
      <c r="C75" s="287"/>
      <c r="D75" s="251"/>
      <c r="E75" s="251"/>
      <c r="F75" s="252">
        <v>0</v>
      </c>
      <c r="G75" s="252">
        <v>3.4585191263992598</v>
      </c>
      <c r="H75" s="252">
        <v>86.462978159981503</v>
      </c>
      <c r="I75" s="252">
        <v>8.9665310684425306E-2</v>
      </c>
      <c r="J75" s="252">
        <v>26.7202625839587</v>
      </c>
      <c r="K75" s="252">
        <v>0</v>
      </c>
      <c r="L75" s="252">
        <v>0</v>
      </c>
      <c r="M75" s="252">
        <v>0</v>
      </c>
      <c r="N75" s="252">
        <v>0</v>
      </c>
      <c r="O75" s="252">
        <v>113.18324074394</v>
      </c>
    </row>
    <row r="76" spans="1:16" s="234" customFormat="1" ht="12.75" x14ac:dyDescent="0.2">
      <c r="A76" s="259" t="s">
        <v>776</v>
      </c>
      <c r="B76" s="260" t="s">
        <v>784</v>
      </c>
      <c r="C76" s="288"/>
      <c r="D76" s="280"/>
      <c r="E76" s="280"/>
      <c r="F76" s="281">
        <v>1521.9619242666699</v>
      </c>
      <c r="G76" s="281">
        <v>0</v>
      </c>
      <c r="H76" s="281">
        <v>0</v>
      </c>
      <c r="I76" s="281">
        <v>0</v>
      </c>
      <c r="J76" s="281">
        <v>0</v>
      </c>
      <c r="K76" s="281">
        <v>0</v>
      </c>
      <c r="L76" s="281">
        <v>0</v>
      </c>
      <c r="M76" s="281">
        <v>0</v>
      </c>
      <c r="N76" s="281">
        <v>0</v>
      </c>
      <c r="O76" s="281">
        <v>1521.9619242666699</v>
      </c>
    </row>
    <row r="77" spans="1:16" s="234" customFormat="1" ht="12.75" x14ac:dyDescent="0.2">
      <c r="A77" s="220" t="s">
        <v>785</v>
      </c>
      <c r="B77" s="289"/>
      <c r="C77" s="289"/>
      <c r="F77" s="223">
        <v>534.77792164000005</v>
      </c>
      <c r="G77" s="223">
        <v>983.12271004000002</v>
      </c>
      <c r="H77" s="223">
        <v>24578.067750999999</v>
      </c>
      <c r="I77" s="223">
        <v>4.1587259300000001</v>
      </c>
      <c r="J77" s="223">
        <v>1239.30032714</v>
      </c>
      <c r="K77" s="223">
        <v>0</v>
      </c>
      <c r="L77" s="223">
        <v>0</v>
      </c>
      <c r="M77" s="223">
        <v>0</v>
      </c>
      <c r="N77" s="223">
        <v>0</v>
      </c>
      <c r="O77" s="223">
        <v>26352.145999780001</v>
      </c>
    </row>
    <row r="78" spans="1:16" s="234" customFormat="1" ht="12.75" x14ac:dyDescent="0.2">
      <c r="A78" s="224" t="s">
        <v>724</v>
      </c>
      <c r="B78" s="225" t="s">
        <v>786</v>
      </c>
      <c r="C78" s="225"/>
      <c r="F78" s="231">
        <v>0</v>
      </c>
      <c r="G78" s="231">
        <v>945.25997516999996</v>
      </c>
      <c r="H78" s="231">
        <v>23631.499379249999</v>
      </c>
      <c r="I78" s="231">
        <v>0</v>
      </c>
      <c r="J78" s="231">
        <v>0</v>
      </c>
      <c r="K78" s="231">
        <v>0</v>
      </c>
      <c r="L78" s="231">
        <v>0</v>
      </c>
      <c r="M78" s="231">
        <v>0</v>
      </c>
      <c r="N78" s="231">
        <v>0</v>
      </c>
      <c r="O78" s="231">
        <v>23631.499379249999</v>
      </c>
    </row>
    <row r="79" spans="1:16" s="234" customFormat="1" ht="12.75" x14ac:dyDescent="0.2">
      <c r="A79" s="224" t="s">
        <v>737</v>
      </c>
      <c r="B79" s="225" t="s">
        <v>787</v>
      </c>
      <c r="C79" s="225"/>
      <c r="F79" s="231">
        <v>0</v>
      </c>
      <c r="G79" s="231">
        <v>22.54119794</v>
      </c>
      <c r="H79" s="231">
        <v>563.52994850000005</v>
      </c>
      <c r="I79" s="231">
        <v>1.35247188</v>
      </c>
      <c r="J79" s="231">
        <v>403.03662023999999</v>
      </c>
      <c r="K79" s="231">
        <v>0</v>
      </c>
      <c r="L79" s="231">
        <v>0</v>
      </c>
      <c r="M79" s="231">
        <v>0</v>
      </c>
      <c r="N79" s="231">
        <v>0</v>
      </c>
      <c r="O79" s="231">
        <v>966.56656873999998</v>
      </c>
    </row>
    <row r="80" spans="1:16" s="234" customFormat="1" ht="12.75" x14ac:dyDescent="0.2">
      <c r="A80" s="278" t="s">
        <v>788</v>
      </c>
      <c r="B80" s="279" t="s">
        <v>789</v>
      </c>
      <c r="C80" s="279"/>
      <c r="D80" s="251"/>
      <c r="E80" s="251"/>
      <c r="F80" s="252">
        <v>0</v>
      </c>
      <c r="G80" s="252">
        <v>15.105605260000001</v>
      </c>
      <c r="H80" s="252">
        <v>377.6401315</v>
      </c>
      <c r="I80" s="252">
        <v>2.0882582099999998</v>
      </c>
      <c r="J80" s="252">
        <v>622.30094657999996</v>
      </c>
      <c r="K80" s="252">
        <v>0</v>
      </c>
      <c r="L80" s="252">
        <v>0</v>
      </c>
      <c r="M80" s="252">
        <v>0</v>
      </c>
      <c r="N80" s="252">
        <v>0</v>
      </c>
      <c r="O80" s="252">
        <v>999.94107808000001</v>
      </c>
    </row>
    <row r="81" spans="1:30" s="234" customFormat="1" ht="12.75" x14ac:dyDescent="0.2">
      <c r="A81" s="259" t="s">
        <v>764</v>
      </c>
      <c r="B81" s="260" t="s">
        <v>790</v>
      </c>
      <c r="C81" s="260"/>
      <c r="D81" s="280"/>
      <c r="E81" s="280"/>
      <c r="F81" s="281">
        <v>534.77792164000005</v>
      </c>
      <c r="G81" s="281">
        <v>0.21593166999999999</v>
      </c>
      <c r="H81" s="281">
        <v>5.3982917500000003</v>
      </c>
      <c r="I81" s="281">
        <v>0.71799584000000005</v>
      </c>
      <c r="J81" s="281">
        <v>213.96276032</v>
      </c>
      <c r="K81" s="281">
        <v>0</v>
      </c>
      <c r="L81" s="281">
        <v>0</v>
      </c>
      <c r="M81" s="281">
        <v>0</v>
      </c>
      <c r="N81" s="281">
        <v>0</v>
      </c>
      <c r="O81" s="281">
        <v>754.13897370999996</v>
      </c>
    </row>
    <row r="82" spans="1:30" s="267" customFormat="1" ht="12.75" x14ac:dyDescent="0.2">
      <c r="A82" s="263" t="s">
        <v>791</v>
      </c>
      <c r="B82" s="264"/>
      <c r="C82" s="264"/>
      <c r="F82" s="223">
        <v>-62543.705658000101</v>
      </c>
      <c r="G82" s="223">
        <v>56.582090999999998</v>
      </c>
      <c r="H82" s="223">
        <v>1414.552275</v>
      </c>
      <c r="I82" s="223">
        <v>1.8583609999999999</v>
      </c>
      <c r="J82" s="223">
        <v>553.79157799999996</v>
      </c>
      <c r="K82" s="223">
        <v>0</v>
      </c>
      <c r="L82" s="223">
        <v>0</v>
      </c>
      <c r="M82" s="223">
        <v>0</v>
      </c>
      <c r="N82" s="223">
        <v>0</v>
      </c>
      <c r="O82" s="223">
        <v>-60575.361805000102</v>
      </c>
    </row>
    <row r="83" spans="1:30" s="234" customFormat="1" ht="12.75" x14ac:dyDescent="0.2">
      <c r="A83" s="224" t="s">
        <v>724</v>
      </c>
      <c r="B83" s="225" t="s">
        <v>792</v>
      </c>
      <c r="C83" s="225"/>
      <c r="F83" s="231">
        <v>-208772.38334199999</v>
      </c>
      <c r="G83" s="231">
        <v>12.008583</v>
      </c>
      <c r="H83" s="231">
        <v>300.21457500000002</v>
      </c>
      <c r="I83" s="231">
        <v>0.504054</v>
      </c>
      <c r="J83" s="231">
        <v>150.20809199999999</v>
      </c>
      <c r="K83" s="231">
        <v>0</v>
      </c>
      <c r="L83" s="231">
        <v>0</v>
      </c>
      <c r="M83" s="231">
        <v>0</v>
      </c>
      <c r="N83" s="231">
        <v>0</v>
      </c>
      <c r="O83" s="231">
        <v>-208321.96067500001</v>
      </c>
    </row>
    <row r="84" spans="1:30" s="234" customFormat="1" ht="12.75" x14ac:dyDescent="0.2">
      <c r="A84" s="224" t="s">
        <v>737</v>
      </c>
      <c r="B84" s="225" t="s">
        <v>793</v>
      </c>
      <c r="C84" s="225"/>
      <c r="F84" s="231">
        <v>-6928.5361839999996</v>
      </c>
      <c r="G84" s="231">
        <v>5.3440859999999999</v>
      </c>
      <c r="H84" s="231">
        <v>133.60214999999999</v>
      </c>
      <c r="I84" s="231">
        <v>0.26570500000000002</v>
      </c>
      <c r="J84" s="231">
        <v>79.180090000000007</v>
      </c>
      <c r="K84" s="231">
        <v>0</v>
      </c>
      <c r="L84" s="231">
        <v>0</v>
      </c>
      <c r="M84" s="231">
        <v>0</v>
      </c>
      <c r="N84" s="231">
        <v>0</v>
      </c>
      <c r="O84" s="231">
        <v>-6715.753944</v>
      </c>
    </row>
    <row r="85" spans="1:30" s="234" customFormat="1" ht="12.75" x14ac:dyDescent="0.2">
      <c r="A85" s="278" t="s">
        <v>758</v>
      </c>
      <c r="B85" s="279" t="s">
        <v>794</v>
      </c>
      <c r="C85" s="279"/>
      <c r="F85" s="231">
        <v>0</v>
      </c>
      <c r="G85" s="231">
        <v>33.44079</v>
      </c>
      <c r="H85" s="231">
        <v>836.01975000000004</v>
      </c>
      <c r="I85" s="231">
        <v>0.86697999999999997</v>
      </c>
      <c r="J85" s="231">
        <v>258.36004000000003</v>
      </c>
      <c r="K85" s="231">
        <v>0</v>
      </c>
      <c r="L85" s="231">
        <v>0</v>
      </c>
      <c r="M85" s="231">
        <v>0</v>
      </c>
      <c r="N85" s="231">
        <v>0</v>
      </c>
      <c r="O85" s="231">
        <v>1094.37979</v>
      </c>
    </row>
    <row r="86" spans="1:30" s="234" customFormat="1" ht="12.75" x14ac:dyDescent="0.2">
      <c r="A86" s="278" t="s">
        <v>764</v>
      </c>
      <c r="B86" s="279" t="s">
        <v>795</v>
      </c>
      <c r="C86" s="279"/>
      <c r="F86" s="231">
        <v>2770.6310050000002</v>
      </c>
      <c r="G86" s="231">
        <v>0.39091799999999999</v>
      </c>
      <c r="H86" s="231">
        <v>9.7729499999999998</v>
      </c>
      <c r="I86" s="231">
        <v>2.2234E-2</v>
      </c>
      <c r="J86" s="231">
        <v>6.6257320000000002</v>
      </c>
      <c r="K86" s="231">
        <v>0</v>
      </c>
      <c r="L86" s="231">
        <v>0</v>
      </c>
      <c r="M86" s="231">
        <v>0</v>
      </c>
      <c r="N86" s="231">
        <v>0</v>
      </c>
      <c r="O86" s="231">
        <v>2787.0296870000002</v>
      </c>
    </row>
    <row r="87" spans="1:30" s="234" customFormat="1" ht="12.75" x14ac:dyDescent="0.2">
      <c r="A87" s="278" t="s">
        <v>776</v>
      </c>
      <c r="B87" s="279" t="s">
        <v>796</v>
      </c>
      <c r="C87" s="279"/>
      <c r="D87" s="251"/>
      <c r="E87" s="251"/>
      <c r="F87" s="252">
        <v>3504.8639400000002</v>
      </c>
      <c r="G87" s="252">
        <v>5.3977139999999997</v>
      </c>
      <c r="H87" s="252">
        <v>134.94284999999999</v>
      </c>
      <c r="I87" s="252">
        <v>0.19938800000000001</v>
      </c>
      <c r="J87" s="252">
        <v>59.417624000000004</v>
      </c>
      <c r="K87" s="252">
        <v>0</v>
      </c>
      <c r="L87" s="252">
        <v>0</v>
      </c>
      <c r="M87" s="252">
        <v>0</v>
      </c>
      <c r="N87" s="252">
        <v>0</v>
      </c>
      <c r="O87" s="252">
        <v>3699.2244139999998</v>
      </c>
    </row>
    <row r="88" spans="1:30" s="234" customFormat="1" ht="12.75" x14ac:dyDescent="0.2">
      <c r="A88" s="259" t="s">
        <v>778</v>
      </c>
      <c r="B88" s="260" t="s">
        <v>797</v>
      </c>
      <c r="C88" s="260"/>
      <c r="D88" s="280"/>
      <c r="E88" s="280"/>
      <c r="F88" s="281">
        <v>146881.71892300001</v>
      </c>
      <c r="G88" s="281">
        <v>0</v>
      </c>
      <c r="H88" s="281">
        <v>0</v>
      </c>
      <c r="I88" s="281">
        <v>0</v>
      </c>
      <c r="J88" s="281">
        <v>0</v>
      </c>
      <c r="K88" s="281">
        <v>0</v>
      </c>
      <c r="L88" s="281">
        <v>0</v>
      </c>
      <c r="M88" s="281">
        <v>0</v>
      </c>
      <c r="N88" s="281">
        <v>0</v>
      </c>
      <c r="O88" s="281">
        <v>146881.71892300001</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823</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562662.30303833704</v>
      </c>
      <c r="G7" s="218">
        <v>4686.0534557459496</v>
      </c>
      <c r="H7" s="218">
        <v>117151.33639364901</v>
      </c>
      <c r="I7" s="218">
        <v>127.970428194422</v>
      </c>
      <c r="J7" s="218">
        <v>38135.187601937701</v>
      </c>
      <c r="K7" s="218">
        <v>3159.2956287521001</v>
      </c>
      <c r="L7" s="218">
        <v>4048.6267085395598</v>
      </c>
      <c r="M7" s="218">
        <v>2557.1056430386502</v>
      </c>
      <c r="N7" s="218">
        <v>0.22907906</v>
      </c>
      <c r="O7" s="218">
        <v>727714.08409331401</v>
      </c>
    </row>
    <row r="8" spans="1:16" ht="15.75" thickTop="1" x14ac:dyDescent="0.2">
      <c r="A8" s="220" t="s">
        <v>723</v>
      </c>
      <c r="B8" s="221"/>
      <c r="C8" s="221"/>
      <c r="F8" s="223">
        <v>523129.75127358601</v>
      </c>
      <c r="G8" s="223">
        <v>2382.7634566781799</v>
      </c>
      <c r="H8" s="223">
        <v>59569.086416954597</v>
      </c>
      <c r="I8" s="223">
        <v>39.6982849207646</v>
      </c>
      <c r="J8" s="223">
        <v>11830.0889063878</v>
      </c>
      <c r="K8" s="223">
        <v>0</v>
      </c>
      <c r="L8" s="223">
        <v>0</v>
      </c>
      <c r="M8" s="223">
        <v>0</v>
      </c>
      <c r="N8" s="223">
        <v>0</v>
      </c>
      <c r="O8" s="223">
        <v>594528.92659692804</v>
      </c>
    </row>
    <row r="9" spans="1:16" x14ac:dyDescent="0.2">
      <c r="A9" s="224" t="s">
        <v>724</v>
      </c>
      <c r="B9" s="225" t="s">
        <v>725</v>
      </c>
      <c r="C9" s="225"/>
      <c r="F9" s="226">
        <v>337316.33562479197</v>
      </c>
      <c r="G9" s="226">
        <v>267.46414437155403</v>
      </c>
      <c r="H9" s="226">
        <v>6686.6036092888498</v>
      </c>
      <c r="I9" s="226">
        <v>9.1011486212923494</v>
      </c>
      <c r="J9" s="226">
        <v>2712.1422891451198</v>
      </c>
      <c r="K9" s="226">
        <v>0</v>
      </c>
      <c r="L9" s="226">
        <v>0</v>
      </c>
      <c r="M9" s="226">
        <v>0</v>
      </c>
      <c r="N9" s="226">
        <v>0</v>
      </c>
      <c r="O9" s="226">
        <v>346715.08152322599</v>
      </c>
      <c r="P9" s="227"/>
    </row>
    <row r="10" spans="1:16" x14ac:dyDescent="0.2">
      <c r="A10" s="228"/>
      <c r="B10" s="229" t="s">
        <v>726</v>
      </c>
      <c r="C10" s="230"/>
      <c r="F10" s="231">
        <v>129853.378853035</v>
      </c>
      <c r="G10" s="231">
        <v>5.0412341316879496</v>
      </c>
      <c r="H10" s="231">
        <v>126.030853292199</v>
      </c>
      <c r="I10" s="231">
        <v>2.4271957376248201</v>
      </c>
      <c r="J10" s="231">
        <v>723.30432981219599</v>
      </c>
      <c r="K10" s="231">
        <v>0</v>
      </c>
      <c r="L10" s="231">
        <v>0</v>
      </c>
      <c r="M10" s="231">
        <v>0</v>
      </c>
      <c r="N10" s="231">
        <v>0</v>
      </c>
      <c r="O10" s="231">
        <v>130702.714036139</v>
      </c>
    </row>
    <row r="11" spans="1:16" x14ac:dyDescent="0.2">
      <c r="A11" s="228"/>
      <c r="B11" s="232" t="s">
        <v>727</v>
      </c>
      <c r="C11" s="230"/>
      <c r="F11" s="231">
        <v>17990.015269219701</v>
      </c>
      <c r="G11" s="231">
        <v>0.45599126651733501</v>
      </c>
      <c r="H11" s="231">
        <v>11.3997816629334</v>
      </c>
      <c r="I11" s="231">
        <v>0.18557676299809001</v>
      </c>
      <c r="J11" s="231">
        <v>55.301875373430804</v>
      </c>
      <c r="K11" s="231">
        <v>0</v>
      </c>
      <c r="L11" s="231">
        <v>0</v>
      </c>
      <c r="M11" s="231">
        <v>0</v>
      </c>
      <c r="N11" s="231">
        <v>0</v>
      </c>
      <c r="O11" s="231">
        <v>18056.7169262561</v>
      </c>
    </row>
    <row r="12" spans="1:16" s="234" customFormat="1" ht="12.75" x14ac:dyDescent="0.2">
      <c r="A12" s="228"/>
      <c r="B12" s="232" t="s">
        <v>728</v>
      </c>
      <c r="C12" s="233"/>
      <c r="F12" s="231">
        <v>63114.432672988703</v>
      </c>
      <c r="G12" s="231">
        <v>112.819873780276</v>
      </c>
      <c r="H12" s="231">
        <v>2820.4968445068898</v>
      </c>
      <c r="I12" s="231">
        <v>1.49416243312505</v>
      </c>
      <c r="J12" s="231">
        <v>445.26040507126601</v>
      </c>
      <c r="K12" s="231">
        <v>0</v>
      </c>
      <c r="L12" s="231">
        <v>0</v>
      </c>
      <c r="M12" s="231">
        <v>0</v>
      </c>
      <c r="N12" s="231">
        <v>0</v>
      </c>
      <c r="O12" s="231">
        <v>66380.189922566904</v>
      </c>
    </row>
    <row r="13" spans="1:16" s="234" customFormat="1" ht="12.75" x14ac:dyDescent="0.2">
      <c r="A13" s="228"/>
      <c r="B13" s="229" t="s">
        <v>729</v>
      </c>
      <c r="C13" s="229"/>
      <c r="F13" s="231">
        <v>51007.212705920203</v>
      </c>
      <c r="G13" s="231">
        <v>2.5567363019832898</v>
      </c>
      <c r="H13" s="231">
        <v>63.918407549582298</v>
      </c>
      <c r="I13" s="231">
        <v>1.9526154742976201</v>
      </c>
      <c r="J13" s="231">
        <v>581.87941134069195</v>
      </c>
      <c r="K13" s="231">
        <v>0</v>
      </c>
      <c r="L13" s="231">
        <v>0</v>
      </c>
      <c r="M13" s="231">
        <v>0</v>
      </c>
      <c r="N13" s="231">
        <v>0</v>
      </c>
      <c r="O13" s="231">
        <v>51653.010524810503</v>
      </c>
    </row>
    <row r="14" spans="1:16" s="237" customFormat="1" ht="12" x14ac:dyDescent="0.2">
      <c r="A14" s="235"/>
      <c r="B14" s="230"/>
      <c r="C14" s="236" t="s">
        <v>2</v>
      </c>
      <c r="F14" s="238">
        <v>4967.0122741198402</v>
      </c>
      <c r="G14" s="238">
        <v>0.14206089699462601</v>
      </c>
      <c r="H14" s="238">
        <v>3.5515224248656598</v>
      </c>
      <c r="I14" s="238">
        <v>0.123197238184397</v>
      </c>
      <c r="J14" s="238">
        <v>36.712776978950203</v>
      </c>
      <c r="K14" s="238">
        <v>0</v>
      </c>
      <c r="L14" s="238">
        <v>0</v>
      </c>
      <c r="M14" s="238">
        <v>0</v>
      </c>
      <c r="N14" s="238">
        <v>0</v>
      </c>
      <c r="O14" s="238">
        <v>5007.2765735236599</v>
      </c>
    </row>
    <row r="15" spans="1:16" s="237" customFormat="1" ht="12" x14ac:dyDescent="0.2">
      <c r="A15" s="235"/>
      <c r="B15" s="230"/>
      <c r="C15" s="236" t="s">
        <v>730</v>
      </c>
      <c r="F15" s="238">
        <v>3759.39569651075</v>
      </c>
      <c r="G15" s="238">
        <v>8.0437925264710802E-2</v>
      </c>
      <c r="H15" s="238">
        <v>2.01094813161777</v>
      </c>
      <c r="I15" s="238">
        <v>5.5783539993005102E-2</v>
      </c>
      <c r="J15" s="238">
        <v>16.623494917915501</v>
      </c>
      <c r="K15" s="238">
        <v>0</v>
      </c>
      <c r="L15" s="238">
        <v>0</v>
      </c>
      <c r="M15" s="238">
        <v>0</v>
      </c>
      <c r="N15" s="238">
        <v>0</v>
      </c>
      <c r="O15" s="238">
        <v>3778.0301395602801</v>
      </c>
    </row>
    <row r="16" spans="1:16" s="237" customFormat="1" ht="12" x14ac:dyDescent="0.2">
      <c r="A16" s="235"/>
      <c r="B16" s="230"/>
      <c r="C16" s="236" t="s">
        <v>731</v>
      </c>
      <c r="F16" s="238">
        <v>9412.8858227377295</v>
      </c>
      <c r="G16" s="238">
        <v>0.19359407657761801</v>
      </c>
      <c r="H16" s="238">
        <v>4.8398519144404402</v>
      </c>
      <c r="I16" s="238">
        <v>0.16359214943067099</v>
      </c>
      <c r="J16" s="238">
        <v>48.750460530340099</v>
      </c>
      <c r="K16" s="238">
        <v>0</v>
      </c>
      <c r="L16" s="238">
        <v>0</v>
      </c>
      <c r="M16" s="238">
        <v>0</v>
      </c>
      <c r="N16" s="238">
        <v>0</v>
      </c>
      <c r="O16" s="238">
        <v>9466.4761351825091</v>
      </c>
    </row>
    <row r="17" spans="1:16" s="237" customFormat="1" ht="12" x14ac:dyDescent="0.2">
      <c r="A17" s="235"/>
      <c r="B17" s="230"/>
      <c r="C17" s="236" t="s">
        <v>732</v>
      </c>
      <c r="F17" s="238">
        <v>11312.0718595531</v>
      </c>
      <c r="G17" s="238">
        <v>1.23388212029566</v>
      </c>
      <c r="H17" s="238">
        <v>30.847053007391398</v>
      </c>
      <c r="I17" s="238">
        <v>0.97667170163426198</v>
      </c>
      <c r="J17" s="238">
        <v>291.04816708700997</v>
      </c>
      <c r="K17" s="238">
        <v>0</v>
      </c>
      <c r="L17" s="238">
        <v>0</v>
      </c>
      <c r="M17" s="238">
        <v>0</v>
      </c>
      <c r="N17" s="238">
        <v>0</v>
      </c>
      <c r="O17" s="238">
        <v>11633.9670796475</v>
      </c>
    </row>
    <row r="18" spans="1:16" s="237" customFormat="1" ht="12" x14ac:dyDescent="0.2">
      <c r="A18" s="235"/>
      <c r="B18" s="230"/>
      <c r="C18" s="236" t="s">
        <v>35</v>
      </c>
      <c r="F18" s="238">
        <v>4582.9340215623997</v>
      </c>
      <c r="G18" s="238">
        <v>0.168272</v>
      </c>
      <c r="H18" s="238">
        <v>4.2068000000000003</v>
      </c>
      <c r="I18" s="238">
        <v>5.3021736956358798E-2</v>
      </c>
      <c r="J18" s="238">
        <v>15.8004776129949</v>
      </c>
      <c r="K18" s="238">
        <v>0</v>
      </c>
      <c r="L18" s="238">
        <v>0</v>
      </c>
      <c r="M18" s="238">
        <v>0</v>
      </c>
      <c r="N18" s="238">
        <v>0</v>
      </c>
      <c r="O18" s="238">
        <v>4602.9412991753898</v>
      </c>
    </row>
    <row r="19" spans="1:16" s="237" customFormat="1" ht="12" x14ac:dyDescent="0.2">
      <c r="A19" s="235"/>
      <c r="B19" s="230"/>
      <c r="C19" s="236" t="s">
        <v>733</v>
      </c>
      <c r="F19" s="238">
        <v>16972.913031436401</v>
      </c>
      <c r="G19" s="238">
        <v>0.73848928285067905</v>
      </c>
      <c r="H19" s="238">
        <v>18.462232071267</v>
      </c>
      <c r="I19" s="238">
        <v>0.58034910809893003</v>
      </c>
      <c r="J19" s="238">
        <v>172.94403421348099</v>
      </c>
      <c r="K19" s="238">
        <v>0</v>
      </c>
      <c r="L19" s="238">
        <v>0</v>
      </c>
      <c r="M19" s="238">
        <v>0</v>
      </c>
      <c r="N19" s="238">
        <v>0</v>
      </c>
      <c r="O19" s="238">
        <v>17164.319297721198</v>
      </c>
    </row>
    <row r="20" spans="1:16" s="234" customFormat="1" ht="12.75" x14ac:dyDescent="0.2">
      <c r="A20" s="228"/>
      <c r="B20" s="229" t="s">
        <v>734</v>
      </c>
      <c r="C20" s="239"/>
      <c r="F20" s="231">
        <v>1020.9044699999999</v>
      </c>
      <c r="G20" s="231">
        <v>1.74594E-2</v>
      </c>
      <c r="H20" s="231">
        <v>0.43648500000000001</v>
      </c>
      <c r="I20" s="231">
        <v>2.5800500000000001E-2</v>
      </c>
      <c r="J20" s="231">
        <v>7.6885490000000001</v>
      </c>
      <c r="K20" s="231">
        <v>0</v>
      </c>
      <c r="L20" s="231">
        <v>0</v>
      </c>
      <c r="M20" s="231">
        <v>0</v>
      </c>
      <c r="N20" s="231">
        <v>0</v>
      </c>
      <c r="O20" s="231">
        <v>1029.0295040000001</v>
      </c>
    </row>
    <row r="21" spans="1:16" s="234" customFormat="1" ht="12.75" x14ac:dyDescent="0.2">
      <c r="A21" s="228"/>
      <c r="B21" s="229" t="s">
        <v>735</v>
      </c>
      <c r="C21" s="229"/>
      <c r="F21" s="231">
        <v>32185.538932517698</v>
      </c>
      <c r="G21" s="231">
        <v>0.62926166772884096</v>
      </c>
      <c r="H21" s="231">
        <v>15.731541693221001</v>
      </c>
      <c r="I21" s="231">
        <v>0.68222470984091899</v>
      </c>
      <c r="J21" s="231">
        <v>203.30296353259399</v>
      </c>
      <c r="K21" s="231">
        <v>0</v>
      </c>
      <c r="L21" s="231">
        <v>0</v>
      </c>
      <c r="M21" s="231">
        <v>0</v>
      </c>
      <c r="N21" s="231">
        <v>0</v>
      </c>
      <c r="O21" s="231">
        <v>32404.5734377435</v>
      </c>
    </row>
    <row r="22" spans="1:16" s="234" customFormat="1" ht="12.75" x14ac:dyDescent="0.2">
      <c r="A22" s="228"/>
      <c r="B22" s="229" t="s">
        <v>181</v>
      </c>
      <c r="C22" s="229"/>
      <c r="F22" s="231">
        <v>39922.845956999998</v>
      </c>
      <c r="G22" s="231">
        <v>145.902867735033</v>
      </c>
      <c r="H22" s="231">
        <v>3647.5716933758199</v>
      </c>
      <c r="I22" s="231">
        <v>2.2743767786136599</v>
      </c>
      <c r="J22" s="231">
        <v>677.76428002687203</v>
      </c>
      <c r="K22" s="231">
        <v>0</v>
      </c>
      <c r="L22" s="231">
        <v>0</v>
      </c>
      <c r="M22" s="231">
        <v>0</v>
      </c>
      <c r="N22" s="231">
        <v>0</v>
      </c>
      <c r="O22" s="231">
        <v>44248.181930402701</v>
      </c>
    </row>
    <row r="23" spans="1:16" s="234" customFormat="1" ht="12.75" x14ac:dyDescent="0.2">
      <c r="A23" s="228"/>
      <c r="B23" s="229" t="s">
        <v>736</v>
      </c>
      <c r="C23" s="229"/>
      <c r="F23" s="231">
        <v>2222.0067641106398</v>
      </c>
      <c r="G23" s="231">
        <v>4.0720088328038598E-2</v>
      </c>
      <c r="H23" s="231">
        <v>1.0180022082009601</v>
      </c>
      <c r="I23" s="231">
        <v>5.9196224792183401E-2</v>
      </c>
      <c r="J23" s="231">
        <v>17.6404749880707</v>
      </c>
      <c r="K23" s="231">
        <v>0</v>
      </c>
      <c r="L23" s="231">
        <v>0</v>
      </c>
      <c r="M23" s="231">
        <v>0</v>
      </c>
      <c r="N23" s="231">
        <v>0</v>
      </c>
      <c r="O23" s="231">
        <v>2240.66524130691</v>
      </c>
    </row>
    <row r="24" spans="1:16" s="240" customFormat="1" ht="14.25" x14ac:dyDescent="0.2">
      <c r="A24" s="224" t="s">
        <v>737</v>
      </c>
      <c r="B24" s="225" t="s">
        <v>738</v>
      </c>
      <c r="C24" s="225"/>
      <c r="F24" s="226">
        <v>170170.98016022399</v>
      </c>
      <c r="G24" s="226">
        <v>28.935491785666599</v>
      </c>
      <c r="H24" s="226">
        <v>723.38729464166602</v>
      </c>
      <c r="I24" s="226">
        <v>30.470402977499202</v>
      </c>
      <c r="J24" s="226">
        <v>9080.1800872947497</v>
      </c>
      <c r="K24" s="226">
        <v>0</v>
      </c>
      <c r="L24" s="226">
        <v>0</v>
      </c>
      <c r="M24" s="226">
        <v>0</v>
      </c>
      <c r="N24" s="226">
        <v>0</v>
      </c>
      <c r="O24" s="226">
        <v>179974.54754216</v>
      </c>
      <c r="P24" s="241"/>
    </row>
    <row r="25" spans="1:16" s="234" customFormat="1" ht="12.75" x14ac:dyDescent="0.2">
      <c r="A25" s="228"/>
      <c r="B25" s="232" t="s">
        <v>739</v>
      </c>
      <c r="C25" s="229"/>
      <c r="F25" s="231">
        <v>7048.1549023090502</v>
      </c>
      <c r="G25" s="231">
        <v>0.35945249779463601</v>
      </c>
      <c r="H25" s="231">
        <v>8.9863124448659004</v>
      </c>
      <c r="I25" s="231">
        <v>0.21192443807122399</v>
      </c>
      <c r="J25" s="231">
        <v>63.153482545224897</v>
      </c>
      <c r="K25" s="231">
        <v>0</v>
      </c>
      <c r="L25" s="231">
        <v>0</v>
      </c>
      <c r="M25" s="231">
        <v>0</v>
      </c>
      <c r="N25" s="231">
        <v>0</v>
      </c>
      <c r="O25" s="231">
        <v>7120.2946972991404</v>
      </c>
    </row>
    <row r="26" spans="1:16" s="234" customFormat="1" ht="12.75" x14ac:dyDescent="0.2">
      <c r="A26" s="228"/>
      <c r="B26" s="229" t="s">
        <v>740</v>
      </c>
      <c r="C26" s="229"/>
      <c r="F26" s="231">
        <v>114783.94924226801</v>
      </c>
      <c r="G26" s="231">
        <v>11.3278173411803</v>
      </c>
      <c r="H26" s="231">
        <v>283.19543352950802</v>
      </c>
      <c r="I26" s="231">
        <v>18.687013410881502</v>
      </c>
      <c r="J26" s="231">
        <v>5568.7299964426902</v>
      </c>
      <c r="K26" s="231">
        <v>0</v>
      </c>
      <c r="L26" s="231">
        <v>0</v>
      </c>
      <c r="M26" s="231">
        <v>0</v>
      </c>
      <c r="N26" s="231">
        <v>0</v>
      </c>
      <c r="O26" s="231">
        <v>120635.874672241</v>
      </c>
    </row>
    <row r="27" spans="1:16" s="237" customFormat="1" ht="12" x14ac:dyDescent="0.2">
      <c r="A27" s="235"/>
      <c r="B27" s="230"/>
      <c r="C27" s="236" t="s">
        <v>741</v>
      </c>
      <c r="F27" s="238">
        <v>40946.486715821302</v>
      </c>
      <c r="G27" s="238">
        <v>5.0669509314889201</v>
      </c>
      <c r="H27" s="238">
        <v>126.673773287223</v>
      </c>
      <c r="I27" s="238">
        <v>8.8175871581875196</v>
      </c>
      <c r="J27" s="238">
        <v>2627.6409731398799</v>
      </c>
      <c r="K27" s="238">
        <v>0</v>
      </c>
      <c r="L27" s="238">
        <v>0</v>
      </c>
      <c r="M27" s="238">
        <v>0</v>
      </c>
      <c r="N27" s="238">
        <v>0</v>
      </c>
      <c r="O27" s="238">
        <v>43700.801462248397</v>
      </c>
    </row>
    <row r="28" spans="1:16" s="237" customFormat="1" ht="12" x14ac:dyDescent="0.2">
      <c r="A28" s="235"/>
      <c r="B28" s="230"/>
      <c r="C28" s="236" t="s">
        <v>742</v>
      </c>
      <c r="F28" s="238">
        <v>32469.8734653217</v>
      </c>
      <c r="G28" s="238">
        <v>3.6711471203279702</v>
      </c>
      <c r="H28" s="238">
        <v>91.778678008199094</v>
      </c>
      <c r="I28" s="238">
        <v>7.8370374145447403</v>
      </c>
      <c r="J28" s="238">
        <v>2335.4371495343298</v>
      </c>
      <c r="K28" s="238">
        <v>0</v>
      </c>
      <c r="L28" s="238">
        <v>0</v>
      </c>
      <c r="M28" s="238">
        <v>0</v>
      </c>
      <c r="N28" s="238">
        <v>0</v>
      </c>
      <c r="O28" s="238">
        <v>34897.089292864301</v>
      </c>
    </row>
    <row r="29" spans="1:16" s="237" customFormat="1" ht="12" x14ac:dyDescent="0.2">
      <c r="A29" s="235"/>
      <c r="B29" s="230"/>
      <c r="C29" s="236" t="s">
        <v>743</v>
      </c>
      <c r="F29" s="238">
        <v>11793.4350806765</v>
      </c>
      <c r="G29" s="238">
        <v>0.93627251448645399</v>
      </c>
      <c r="H29" s="238">
        <v>23.406812862161399</v>
      </c>
      <c r="I29" s="238">
        <v>0.680575809634</v>
      </c>
      <c r="J29" s="238">
        <v>202.81159127093201</v>
      </c>
      <c r="K29" s="238">
        <v>0</v>
      </c>
      <c r="L29" s="238">
        <v>0</v>
      </c>
      <c r="M29" s="238">
        <v>0</v>
      </c>
      <c r="N29" s="238">
        <v>0</v>
      </c>
      <c r="O29" s="238">
        <v>12019.6534848096</v>
      </c>
    </row>
    <row r="30" spans="1:16" s="237" customFormat="1" ht="12" x14ac:dyDescent="0.2">
      <c r="A30" s="235"/>
      <c r="B30" s="230"/>
      <c r="C30" s="236" t="s">
        <v>744</v>
      </c>
      <c r="F30" s="238">
        <v>147.37629185234201</v>
      </c>
      <c r="G30" s="238">
        <v>9.3186329960375999E-2</v>
      </c>
      <c r="H30" s="238">
        <v>2.3296582490094</v>
      </c>
      <c r="I30" s="238">
        <v>2.8216415661356099E-3</v>
      </c>
      <c r="J30" s="238">
        <v>0.84084918670841202</v>
      </c>
      <c r="K30" s="238">
        <v>0</v>
      </c>
      <c r="L30" s="238">
        <v>0</v>
      </c>
      <c r="M30" s="238">
        <v>0</v>
      </c>
      <c r="N30" s="238">
        <v>0</v>
      </c>
      <c r="O30" s="238">
        <v>150.54679928805999</v>
      </c>
      <c r="P30" s="242"/>
    </row>
    <row r="31" spans="1:16" s="237" customFormat="1" ht="12" x14ac:dyDescent="0.2">
      <c r="A31" s="235"/>
      <c r="B31" s="230"/>
      <c r="C31" s="236" t="s">
        <v>745</v>
      </c>
      <c r="F31" s="238">
        <v>601.20584325089499</v>
      </c>
      <c r="G31" s="238">
        <v>1.38733162634039E-2</v>
      </c>
      <c r="H31" s="238">
        <v>0.34683290658509702</v>
      </c>
      <c r="I31" s="238">
        <v>4.7066113881619E-2</v>
      </c>
      <c r="J31" s="238">
        <v>14.0257019367225</v>
      </c>
      <c r="K31" s="238">
        <v>0</v>
      </c>
      <c r="L31" s="238">
        <v>0</v>
      </c>
      <c r="M31" s="238">
        <v>0</v>
      </c>
      <c r="N31" s="238">
        <v>0</v>
      </c>
      <c r="O31" s="238">
        <v>615.57837809420198</v>
      </c>
    </row>
    <row r="32" spans="1:16" s="237" customFormat="1" ht="12" x14ac:dyDescent="0.2">
      <c r="A32" s="235"/>
      <c r="B32" s="230"/>
      <c r="C32" s="236" t="s">
        <v>746</v>
      </c>
      <c r="D32" s="243"/>
      <c r="E32" s="243"/>
      <c r="F32" s="244">
        <v>330.07218298935601</v>
      </c>
      <c r="G32" s="244">
        <v>8.45370666458411E-3</v>
      </c>
      <c r="H32" s="244">
        <v>0.21134266661460299</v>
      </c>
      <c r="I32" s="244">
        <v>2.5846089432508799E-2</v>
      </c>
      <c r="J32" s="244">
        <v>7.7021346508876203</v>
      </c>
      <c r="K32" s="244">
        <v>0</v>
      </c>
      <c r="L32" s="244">
        <v>0</v>
      </c>
      <c r="M32" s="244">
        <v>0</v>
      </c>
      <c r="N32" s="244">
        <v>0</v>
      </c>
      <c r="O32" s="244">
        <v>337.98566030685799</v>
      </c>
    </row>
    <row r="33" spans="1:15" s="237" customFormat="1" ht="12" x14ac:dyDescent="0.2">
      <c r="A33" s="235"/>
      <c r="B33" s="230"/>
      <c r="C33" s="236" t="s">
        <v>747</v>
      </c>
      <c r="D33" s="243"/>
      <c r="E33" s="243"/>
      <c r="F33" s="244">
        <v>27866.7576975007</v>
      </c>
      <c r="G33" s="244">
        <v>1.25739732272996</v>
      </c>
      <c r="H33" s="244">
        <v>31.434933068248998</v>
      </c>
      <c r="I33" s="244">
        <v>1.2644156288130499</v>
      </c>
      <c r="J33" s="244">
        <v>376.79585738628703</v>
      </c>
      <c r="K33" s="244">
        <v>0</v>
      </c>
      <c r="L33" s="244">
        <v>0</v>
      </c>
      <c r="M33" s="244">
        <v>0</v>
      </c>
      <c r="N33" s="244">
        <v>0</v>
      </c>
      <c r="O33" s="244">
        <v>28274.988487955299</v>
      </c>
    </row>
    <row r="34" spans="1:15" s="237" customFormat="1" ht="12" x14ac:dyDescent="0.2">
      <c r="A34" s="235"/>
      <c r="B34" s="230"/>
      <c r="C34" s="245" t="s">
        <v>748</v>
      </c>
      <c r="D34" s="243"/>
      <c r="E34" s="243"/>
      <c r="F34" s="244">
        <v>628.74196485549805</v>
      </c>
      <c r="G34" s="244">
        <v>0.28053609925866102</v>
      </c>
      <c r="H34" s="244">
        <v>7.0134024814665397</v>
      </c>
      <c r="I34" s="244">
        <v>1.1663554821943801E-2</v>
      </c>
      <c r="J34" s="244">
        <v>3.47573933693926</v>
      </c>
      <c r="K34" s="244">
        <v>0</v>
      </c>
      <c r="L34" s="244">
        <v>0</v>
      </c>
      <c r="M34" s="244">
        <v>0</v>
      </c>
      <c r="N34" s="244">
        <v>0</v>
      </c>
      <c r="O34" s="244">
        <v>639.23110667390404</v>
      </c>
    </row>
    <row r="35" spans="1:15" s="249" customFormat="1" ht="12.75" x14ac:dyDescent="0.2">
      <c r="A35" s="228"/>
      <c r="B35" s="229" t="s">
        <v>749</v>
      </c>
      <c r="C35" s="246"/>
      <c r="D35" s="247"/>
      <c r="E35" s="247"/>
      <c r="F35" s="248">
        <v>5820.8967547590701</v>
      </c>
      <c r="G35" s="248">
        <v>0.32675592480694499</v>
      </c>
      <c r="H35" s="248">
        <v>8.1688981201736208</v>
      </c>
      <c r="I35" s="248">
        <v>2.2526683292982099</v>
      </c>
      <c r="J35" s="248">
        <v>671.29516213086595</v>
      </c>
      <c r="K35" s="248">
        <v>0</v>
      </c>
      <c r="L35" s="248">
        <v>0</v>
      </c>
      <c r="M35" s="248">
        <v>0</v>
      </c>
      <c r="N35" s="248">
        <v>0</v>
      </c>
      <c r="O35" s="248">
        <v>6500.3608150101099</v>
      </c>
    </row>
    <row r="36" spans="1:15" s="249" customFormat="1" ht="12.75" x14ac:dyDescent="0.2">
      <c r="A36" s="228"/>
      <c r="B36" s="232" t="s">
        <v>750</v>
      </c>
      <c r="C36" s="246"/>
      <c r="D36" s="247"/>
      <c r="E36" s="247"/>
      <c r="F36" s="248">
        <v>5336.9733133422997</v>
      </c>
      <c r="G36" s="248">
        <v>0.49236914726567099</v>
      </c>
      <c r="H36" s="248">
        <v>12.3092286816418</v>
      </c>
      <c r="I36" s="248">
        <v>0.140665603193219</v>
      </c>
      <c r="J36" s="248">
        <v>41.918349751579299</v>
      </c>
      <c r="K36" s="248">
        <v>0</v>
      </c>
      <c r="L36" s="248">
        <v>0</v>
      </c>
      <c r="M36" s="248">
        <v>0</v>
      </c>
      <c r="N36" s="248">
        <v>0</v>
      </c>
      <c r="O36" s="248">
        <v>5391.2008917755202</v>
      </c>
    </row>
    <row r="37" spans="1:15" s="234" customFormat="1" ht="12.75" x14ac:dyDescent="0.2">
      <c r="A37" s="228"/>
      <c r="B37" s="229" t="s">
        <v>751</v>
      </c>
      <c r="C37" s="250"/>
      <c r="D37" s="251"/>
      <c r="E37" s="251"/>
      <c r="F37" s="252">
        <v>37181.0059475448</v>
      </c>
      <c r="G37" s="252">
        <v>16.429096874619098</v>
      </c>
      <c r="H37" s="252">
        <v>410.727421865476</v>
      </c>
      <c r="I37" s="252">
        <v>9.1781311960549896</v>
      </c>
      <c r="J37" s="252">
        <v>2735.0830964243901</v>
      </c>
      <c r="K37" s="252">
        <v>0</v>
      </c>
      <c r="L37" s="252">
        <v>0</v>
      </c>
      <c r="M37" s="252">
        <v>0</v>
      </c>
      <c r="N37" s="252">
        <v>0</v>
      </c>
      <c r="O37" s="252">
        <v>40326.816465834701</v>
      </c>
    </row>
    <row r="38" spans="1:15" s="237" customFormat="1" ht="12" x14ac:dyDescent="0.2">
      <c r="A38" s="235"/>
      <c r="B38" s="230"/>
      <c r="C38" s="236" t="s">
        <v>752</v>
      </c>
      <c r="F38" s="238">
        <v>10403.5941144054</v>
      </c>
      <c r="G38" s="238">
        <v>0.61563492970883205</v>
      </c>
      <c r="H38" s="238">
        <v>15.390873242720801</v>
      </c>
      <c r="I38" s="238">
        <v>4.0156740237949897</v>
      </c>
      <c r="J38" s="238">
        <v>1196.67085909091</v>
      </c>
      <c r="K38" s="238">
        <v>0</v>
      </c>
      <c r="L38" s="238">
        <v>0</v>
      </c>
      <c r="M38" s="238">
        <v>0</v>
      </c>
      <c r="N38" s="238">
        <v>0</v>
      </c>
      <c r="O38" s="238">
        <v>11615.655846739</v>
      </c>
    </row>
    <row r="39" spans="1:15" s="237" customFormat="1" ht="12" x14ac:dyDescent="0.2">
      <c r="A39" s="235"/>
      <c r="B39" s="230"/>
      <c r="C39" s="236" t="s">
        <v>753</v>
      </c>
      <c r="F39" s="238">
        <v>1729.6226037921199</v>
      </c>
      <c r="G39" s="238">
        <v>0.85136375291766397</v>
      </c>
      <c r="H39" s="238">
        <v>21.2840938229416</v>
      </c>
      <c r="I39" s="238">
        <v>0.52174371505268902</v>
      </c>
      <c r="J39" s="238">
        <v>155.479627085701</v>
      </c>
      <c r="K39" s="238">
        <v>0</v>
      </c>
      <c r="L39" s="238">
        <v>0</v>
      </c>
      <c r="M39" s="238">
        <v>0</v>
      </c>
      <c r="N39" s="238">
        <v>0</v>
      </c>
      <c r="O39" s="238">
        <v>1906.38632470076</v>
      </c>
    </row>
    <row r="40" spans="1:15" s="237" customFormat="1" ht="12" x14ac:dyDescent="0.2">
      <c r="A40" s="235"/>
      <c r="B40" s="230"/>
      <c r="C40" s="236" t="s">
        <v>754</v>
      </c>
      <c r="F40" s="238">
        <v>9551.5571302308199</v>
      </c>
      <c r="G40" s="238">
        <v>0.687957362489103</v>
      </c>
      <c r="H40" s="238">
        <v>17.1989340622276</v>
      </c>
      <c r="I40" s="238">
        <v>3.56072795509602</v>
      </c>
      <c r="J40" s="238">
        <v>1061.09693061861</v>
      </c>
      <c r="K40" s="238">
        <v>0</v>
      </c>
      <c r="L40" s="238">
        <v>0</v>
      </c>
      <c r="M40" s="238">
        <v>0</v>
      </c>
      <c r="N40" s="238">
        <v>0</v>
      </c>
      <c r="O40" s="238">
        <v>10629.8529949117</v>
      </c>
    </row>
    <row r="41" spans="1:15" s="237" customFormat="1" ht="12" x14ac:dyDescent="0.2">
      <c r="A41" s="235"/>
      <c r="B41" s="230"/>
      <c r="C41" s="236" t="s">
        <v>755</v>
      </c>
      <c r="F41" s="238">
        <v>481.24295261913102</v>
      </c>
      <c r="G41" s="238">
        <v>0.37166183980036899</v>
      </c>
      <c r="H41" s="238">
        <v>9.2915459950092192</v>
      </c>
      <c r="I41" s="238">
        <v>7.3094935563318794E-2</v>
      </c>
      <c r="J41" s="238">
        <v>21.782290797868999</v>
      </c>
      <c r="K41" s="238">
        <v>0</v>
      </c>
      <c r="L41" s="238">
        <v>0</v>
      </c>
      <c r="M41" s="238">
        <v>0</v>
      </c>
      <c r="N41" s="238">
        <v>0</v>
      </c>
      <c r="O41" s="238">
        <v>512.31678941200903</v>
      </c>
    </row>
    <row r="42" spans="1:15" s="237" customFormat="1" ht="12" x14ac:dyDescent="0.2">
      <c r="A42" s="235"/>
      <c r="B42" s="230"/>
      <c r="C42" s="236" t="s">
        <v>756</v>
      </c>
      <c r="F42" s="238">
        <v>5013.1357464973898</v>
      </c>
      <c r="G42" s="238">
        <v>3.9220381022030799</v>
      </c>
      <c r="H42" s="238">
        <v>98.050952555077103</v>
      </c>
      <c r="I42" s="238">
        <v>0.73936956654797603</v>
      </c>
      <c r="J42" s="238">
        <v>220.33213083129701</v>
      </c>
      <c r="K42" s="238">
        <v>0</v>
      </c>
      <c r="L42" s="238">
        <v>0</v>
      </c>
      <c r="M42" s="238">
        <v>0</v>
      </c>
      <c r="N42" s="238">
        <v>0</v>
      </c>
      <c r="O42" s="238">
        <v>5331.5188298837702</v>
      </c>
    </row>
    <row r="43" spans="1:15" s="237" customFormat="1" ht="12" x14ac:dyDescent="0.2">
      <c r="A43" s="235"/>
      <c r="B43" s="230"/>
      <c r="C43" s="253" t="s">
        <v>757</v>
      </c>
      <c r="F43" s="238">
        <v>10001.8534</v>
      </c>
      <c r="G43" s="238">
        <v>9.9804408875000004</v>
      </c>
      <c r="H43" s="238">
        <v>249.5110221875</v>
      </c>
      <c r="I43" s="238">
        <v>0.26752100000000001</v>
      </c>
      <c r="J43" s="238">
        <v>79.721258000000006</v>
      </c>
      <c r="K43" s="238">
        <v>0</v>
      </c>
      <c r="L43" s="238">
        <v>0</v>
      </c>
      <c r="M43" s="238">
        <v>0</v>
      </c>
      <c r="N43" s="238">
        <v>0</v>
      </c>
      <c r="O43" s="238">
        <v>10331.0856801875</v>
      </c>
    </row>
    <row r="44" spans="1:15" s="240" customFormat="1" ht="12.75" x14ac:dyDescent="0.2">
      <c r="A44" s="224" t="s">
        <v>758</v>
      </c>
      <c r="B44" s="225" t="s">
        <v>759</v>
      </c>
      <c r="C44" s="225"/>
      <c r="F44" s="226">
        <v>15642.3500885707</v>
      </c>
      <c r="G44" s="226">
        <v>2086.36382052096</v>
      </c>
      <c r="H44" s="226">
        <v>52159.095513024098</v>
      </c>
      <c r="I44" s="226">
        <v>0.12673332197307299</v>
      </c>
      <c r="J44" s="226">
        <v>37.766529947975897</v>
      </c>
      <c r="K44" s="226">
        <v>0</v>
      </c>
      <c r="L44" s="226">
        <v>0</v>
      </c>
      <c r="M44" s="226">
        <v>0</v>
      </c>
      <c r="N44" s="226">
        <v>0</v>
      </c>
      <c r="O44" s="226">
        <v>67839.212131542794</v>
      </c>
    </row>
    <row r="45" spans="1:15" s="234" customFormat="1" ht="12.75" x14ac:dyDescent="0.2">
      <c r="A45" s="228"/>
      <c r="B45" s="229" t="s">
        <v>760</v>
      </c>
      <c r="C45" s="229"/>
      <c r="F45" s="231">
        <v>0</v>
      </c>
      <c r="G45" s="231">
        <v>69.663542806368298</v>
      </c>
      <c r="H45" s="231">
        <v>1741.5885701592099</v>
      </c>
      <c r="I45" s="231">
        <v>0</v>
      </c>
      <c r="J45" s="231">
        <v>0</v>
      </c>
      <c r="K45" s="231">
        <v>0</v>
      </c>
      <c r="L45" s="231">
        <v>0</v>
      </c>
      <c r="M45" s="231">
        <v>0</v>
      </c>
      <c r="N45" s="231">
        <v>0</v>
      </c>
      <c r="O45" s="231">
        <v>1741.5885701592099</v>
      </c>
    </row>
    <row r="46" spans="1:15" s="234" customFormat="1" ht="12.75" x14ac:dyDescent="0.2">
      <c r="A46" s="228"/>
      <c r="B46" s="229" t="s">
        <v>761</v>
      </c>
      <c r="C46" s="229"/>
      <c r="F46" s="231">
        <v>15642.3500885707</v>
      </c>
      <c r="G46" s="231">
        <v>2016.7002777145899</v>
      </c>
      <c r="H46" s="231">
        <v>50417.5069428649</v>
      </c>
      <c r="I46" s="231">
        <v>0.12673332197307299</v>
      </c>
      <c r="J46" s="231">
        <v>37.766529947975897</v>
      </c>
      <c r="K46" s="231">
        <v>0</v>
      </c>
      <c r="L46" s="231">
        <v>0</v>
      </c>
      <c r="M46" s="231">
        <v>0</v>
      </c>
      <c r="N46" s="231">
        <v>0</v>
      </c>
      <c r="O46" s="231">
        <v>66097.623561383603</v>
      </c>
    </row>
    <row r="47" spans="1:15" s="237" customFormat="1" ht="12" x14ac:dyDescent="0.2">
      <c r="A47" s="254"/>
      <c r="B47" s="255"/>
      <c r="C47" s="230" t="s">
        <v>762</v>
      </c>
      <c r="F47" s="238">
        <v>174.687278178273</v>
      </c>
      <c r="G47" s="238">
        <v>263.66769438779198</v>
      </c>
      <c r="H47" s="238">
        <v>6591.69235969481</v>
      </c>
      <c r="I47" s="238">
        <v>0.114</v>
      </c>
      <c r="J47" s="238">
        <v>33.972000000000001</v>
      </c>
      <c r="K47" s="238">
        <v>0</v>
      </c>
      <c r="L47" s="238">
        <v>0</v>
      </c>
      <c r="M47" s="238">
        <v>0</v>
      </c>
      <c r="N47" s="238">
        <v>0</v>
      </c>
      <c r="O47" s="238">
        <v>6800.3516378730801</v>
      </c>
    </row>
    <row r="48" spans="1:15" s="237" customFormat="1" ht="12" x14ac:dyDescent="0.2">
      <c r="A48" s="254"/>
      <c r="B48" s="255"/>
      <c r="C48" s="230" t="s">
        <v>763</v>
      </c>
      <c r="F48" s="238">
        <v>51.140340318274397</v>
      </c>
      <c r="G48" s="238">
        <v>623.56229800367998</v>
      </c>
      <c r="H48" s="238">
        <v>15589.057450091999</v>
      </c>
      <c r="I48" s="238">
        <v>0</v>
      </c>
      <c r="J48" s="238">
        <v>0</v>
      </c>
      <c r="K48" s="238">
        <v>0</v>
      </c>
      <c r="L48" s="238">
        <v>0</v>
      </c>
      <c r="M48" s="238">
        <v>0</v>
      </c>
      <c r="N48" s="238">
        <v>0</v>
      </c>
      <c r="O48" s="238">
        <v>15640.197790410301</v>
      </c>
    </row>
    <row r="49" spans="1:16" s="237" customFormat="1" ht="12" x14ac:dyDescent="0.2">
      <c r="A49" s="256"/>
      <c r="B49" s="257"/>
      <c r="C49" s="258" t="s">
        <v>380</v>
      </c>
      <c r="D49" s="243"/>
      <c r="E49" s="243"/>
      <c r="F49" s="244">
        <v>10459.267985918899</v>
      </c>
      <c r="G49" s="244">
        <v>1120.50442214298</v>
      </c>
      <c r="H49" s="244">
        <v>28012.610553574599</v>
      </c>
      <c r="I49" s="244">
        <v>0</v>
      </c>
      <c r="J49" s="244">
        <v>0</v>
      </c>
      <c r="K49" s="244">
        <v>0</v>
      </c>
      <c r="L49" s="244">
        <v>0</v>
      </c>
      <c r="M49" s="244">
        <v>0</v>
      </c>
      <c r="N49" s="244">
        <v>0</v>
      </c>
      <c r="O49" s="244">
        <v>38471.878539493497</v>
      </c>
    </row>
    <row r="50" spans="1:16" s="237" customFormat="1" ht="12" x14ac:dyDescent="0.2">
      <c r="A50" s="256"/>
      <c r="B50" s="257"/>
      <c r="C50" s="258" t="s">
        <v>381</v>
      </c>
      <c r="D50" s="243"/>
      <c r="E50" s="243"/>
      <c r="F50" s="244">
        <v>4957.2544841552899</v>
      </c>
      <c r="G50" s="244">
        <v>8.9658631801387898</v>
      </c>
      <c r="H50" s="244">
        <v>224.14657950347001</v>
      </c>
      <c r="I50" s="244">
        <v>1.27333219730734E-2</v>
      </c>
      <c r="J50" s="244">
        <v>3.79452994797589</v>
      </c>
      <c r="K50" s="244">
        <v>0</v>
      </c>
      <c r="L50" s="244">
        <v>0</v>
      </c>
      <c r="M50" s="244">
        <v>0</v>
      </c>
      <c r="N50" s="244">
        <v>0</v>
      </c>
      <c r="O50" s="244">
        <v>5185.1955936067397</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37571.798851257998</v>
      </c>
      <c r="G52" s="266">
        <v>4.3474781010461996</v>
      </c>
      <c r="H52" s="266">
        <v>108.686952526155</v>
      </c>
      <c r="I52" s="266">
        <v>8.13638228248956</v>
      </c>
      <c r="J52" s="266">
        <v>2424.6419201818899</v>
      </c>
      <c r="K52" s="266">
        <v>3159.2956287521001</v>
      </c>
      <c r="L52" s="266">
        <v>4048.6267085395598</v>
      </c>
      <c r="M52" s="266">
        <v>2557.1056430386502</v>
      </c>
      <c r="N52" s="266">
        <v>0.22907906</v>
      </c>
      <c r="O52" s="266">
        <v>49870.3847833564</v>
      </c>
    </row>
    <row r="53" spans="1:16" s="240" customFormat="1" ht="12.75" x14ac:dyDescent="0.2">
      <c r="A53" s="224" t="s">
        <v>724</v>
      </c>
      <c r="B53" s="225" t="s">
        <v>767</v>
      </c>
      <c r="C53" s="225"/>
      <c r="D53" s="268"/>
      <c r="E53" s="268"/>
      <c r="F53" s="269">
        <v>9360.0678951535101</v>
      </c>
      <c r="G53" s="269">
        <v>0</v>
      </c>
      <c r="H53" s="269">
        <v>0</v>
      </c>
      <c r="I53" s="269">
        <v>0</v>
      </c>
      <c r="J53" s="269">
        <v>0</v>
      </c>
      <c r="K53" s="269">
        <v>0</v>
      </c>
      <c r="L53" s="269">
        <v>0</v>
      </c>
      <c r="M53" s="269">
        <v>0</v>
      </c>
      <c r="N53" s="269">
        <v>0</v>
      </c>
      <c r="O53" s="269">
        <v>9360.0678951535101</v>
      </c>
    </row>
    <row r="54" spans="1:16" s="273" customFormat="1" ht="12" x14ac:dyDescent="0.2">
      <c r="A54" s="235"/>
      <c r="B54" s="270"/>
      <c r="C54" s="236" t="s">
        <v>560</v>
      </c>
      <c r="D54" s="271"/>
      <c r="E54" s="271"/>
      <c r="F54" s="272">
        <v>6951.8278230617898</v>
      </c>
      <c r="G54" s="272">
        <v>0</v>
      </c>
      <c r="H54" s="272">
        <v>0</v>
      </c>
      <c r="I54" s="272">
        <v>0</v>
      </c>
      <c r="J54" s="272">
        <v>0</v>
      </c>
      <c r="K54" s="272">
        <v>0</v>
      </c>
      <c r="L54" s="272">
        <v>0</v>
      </c>
      <c r="M54" s="272">
        <v>0</v>
      </c>
      <c r="N54" s="272">
        <v>0</v>
      </c>
      <c r="O54" s="272">
        <v>6951.8278230617898</v>
      </c>
      <c r="P54" s="271"/>
    </row>
    <row r="55" spans="1:16" s="273" customFormat="1" ht="12" x14ac:dyDescent="0.2">
      <c r="A55" s="235"/>
      <c r="B55" s="270"/>
      <c r="C55" s="236" t="s">
        <v>191</v>
      </c>
      <c r="D55" s="271"/>
      <c r="E55" s="271"/>
      <c r="F55" s="272">
        <v>1642.6905856657499</v>
      </c>
      <c r="G55" s="272">
        <v>0</v>
      </c>
      <c r="H55" s="272">
        <v>0</v>
      </c>
      <c r="I55" s="272">
        <v>0</v>
      </c>
      <c r="J55" s="272">
        <v>0</v>
      </c>
      <c r="K55" s="272">
        <v>0</v>
      </c>
      <c r="L55" s="272">
        <v>0</v>
      </c>
      <c r="M55" s="272">
        <v>0</v>
      </c>
      <c r="N55" s="272">
        <v>0</v>
      </c>
      <c r="O55" s="272">
        <v>1642.6905856657499</v>
      </c>
      <c r="P55" s="271"/>
    </row>
    <row r="56" spans="1:16" s="273" customFormat="1" ht="12" x14ac:dyDescent="0.2">
      <c r="A56" s="235"/>
      <c r="B56" s="270"/>
      <c r="C56" s="236" t="s">
        <v>768</v>
      </c>
      <c r="D56" s="271"/>
      <c r="E56" s="271"/>
      <c r="F56" s="272">
        <v>765.54948642597606</v>
      </c>
      <c r="G56" s="272">
        <v>0</v>
      </c>
      <c r="H56" s="272">
        <v>0</v>
      </c>
      <c r="I56" s="272">
        <v>0</v>
      </c>
      <c r="J56" s="272">
        <v>0</v>
      </c>
      <c r="K56" s="272">
        <v>0</v>
      </c>
      <c r="L56" s="272">
        <v>0</v>
      </c>
      <c r="M56" s="272">
        <v>0</v>
      </c>
      <c r="N56" s="272">
        <v>0</v>
      </c>
      <c r="O56" s="272">
        <v>765.54948642597606</v>
      </c>
      <c r="P56" s="271"/>
    </row>
    <row r="57" spans="1:16" s="275" customFormat="1" ht="12.75" x14ac:dyDescent="0.2">
      <c r="A57" s="224" t="s">
        <v>737</v>
      </c>
      <c r="B57" s="225" t="s">
        <v>769</v>
      </c>
      <c r="C57" s="225"/>
      <c r="D57" s="274"/>
      <c r="E57" s="274"/>
      <c r="F57" s="269">
        <v>5386.4042543139603</v>
      </c>
      <c r="G57" s="269">
        <v>4.2509531010461998</v>
      </c>
      <c r="H57" s="269">
        <v>106.273827526155</v>
      </c>
      <c r="I57" s="269">
        <v>6.7830860931018</v>
      </c>
      <c r="J57" s="269">
        <v>2021.35965574434</v>
      </c>
      <c r="K57" s="269">
        <v>0</v>
      </c>
      <c r="L57" s="269">
        <v>0</v>
      </c>
      <c r="M57" s="269">
        <v>0</v>
      </c>
      <c r="N57" s="269">
        <v>0</v>
      </c>
      <c r="O57" s="269">
        <v>7514.03773758445</v>
      </c>
      <c r="P57" s="274"/>
    </row>
    <row r="58" spans="1:16" s="277" customFormat="1" ht="12" x14ac:dyDescent="0.2">
      <c r="A58" s="235"/>
      <c r="B58" s="270"/>
      <c r="C58" s="236" t="s">
        <v>192</v>
      </c>
      <c r="D58" s="276"/>
      <c r="E58" s="276"/>
      <c r="F58" s="272">
        <v>2600.7174894724699</v>
      </c>
      <c r="G58" s="272">
        <v>0</v>
      </c>
      <c r="H58" s="272">
        <v>0</v>
      </c>
      <c r="I58" s="272">
        <v>0</v>
      </c>
      <c r="J58" s="272">
        <v>0</v>
      </c>
      <c r="K58" s="272">
        <v>0</v>
      </c>
      <c r="L58" s="272">
        <v>0</v>
      </c>
      <c r="M58" s="272">
        <v>0</v>
      </c>
      <c r="N58" s="272">
        <v>0</v>
      </c>
      <c r="O58" s="272">
        <v>2600.7174894724699</v>
      </c>
      <c r="P58" s="276"/>
    </row>
    <row r="59" spans="1:16" s="277" customFormat="1" ht="12" x14ac:dyDescent="0.2">
      <c r="A59" s="235"/>
      <c r="B59" s="270"/>
      <c r="C59" s="236" t="s">
        <v>190</v>
      </c>
      <c r="D59" s="276"/>
      <c r="E59" s="276"/>
      <c r="F59" s="272">
        <v>0</v>
      </c>
      <c r="G59" s="272">
        <v>0</v>
      </c>
      <c r="H59" s="272">
        <v>0</v>
      </c>
      <c r="I59" s="272">
        <v>4.1429888011000804</v>
      </c>
      <c r="J59" s="272">
        <v>1234.61066272782</v>
      </c>
      <c r="K59" s="272">
        <v>0</v>
      </c>
      <c r="L59" s="272">
        <v>0</v>
      </c>
      <c r="M59" s="272">
        <v>0</v>
      </c>
      <c r="N59" s="272">
        <v>0</v>
      </c>
      <c r="O59" s="272">
        <v>1234.61066272782</v>
      </c>
      <c r="P59" s="276"/>
    </row>
    <row r="60" spans="1:16" s="277" customFormat="1" ht="12" x14ac:dyDescent="0.2">
      <c r="A60" s="235"/>
      <c r="B60" s="270"/>
      <c r="C60" s="236" t="s">
        <v>770</v>
      </c>
      <c r="D60" s="276"/>
      <c r="E60" s="276"/>
      <c r="F60" s="272">
        <v>0</v>
      </c>
      <c r="G60" s="272">
        <v>0</v>
      </c>
      <c r="H60" s="272">
        <v>0</v>
      </c>
      <c r="I60" s="272">
        <v>2.5944799999999999</v>
      </c>
      <c r="J60" s="272">
        <v>773.15503999999999</v>
      </c>
      <c r="K60" s="272">
        <v>0</v>
      </c>
      <c r="L60" s="272">
        <v>0</v>
      </c>
      <c r="M60" s="272">
        <v>0</v>
      </c>
      <c r="N60" s="272">
        <v>0</v>
      </c>
      <c r="O60" s="272">
        <v>773.15503999999999</v>
      </c>
      <c r="P60" s="276"/>
    </row>
    <row r="61" spans="1:16" s="277" customFormat="1" ht="12" x14ac:dyDescent="0.2">
      <c r="A61" s="235"/>
      <c r="B61" s="270"/>
      <c r="C61" s="236" t="s">
        <v>771</v>
      </c>
      <c r="D61" s="276"/>
      <c r="E61" s="276"/>
      <c r="F61" s="272">
        <v>2785.68676484149</v>
      </c>
      <c r="G61" s="272">
        <v>4.2509531010461998</v>
      </c>
      <c r="H61" s="272">
        <v>106.273827526155</v>
      </c>
      <c r="I61" s="272">
        <v>4.5617292001726997E-2</v>
      </c>
      <c r="J61" s="272">
        <v>13.5939530165147</v>
      </c>
      <c r="K61" s="272">
        <v>0</v>
      </c>
      <c r="L61" s="272">
        <v>0</v>
      </c>
      <c r="M61" s="272">
        <v>0</v>
      </c>
      <c r="N61" s="272">
        <v>0</v>
      </c>
      <c r="O61" s="272">
        <v>2905.5545453841601</v>
      </c>
      <c r="P61" s="276"/>
    </row>
    <row r="62" spans="1:16" s="240" customFormat="1" ht="12.75" x14ac:dyDescent="0.2">
      <c r="A62" s="224" t="s">
        <v>758</v>
      </c>
      <c r="B62" s="225" t="s">
        <v>772</v>
      </c>
      <c r="C62" s="225"/>
      <c r="D62" s="268"/>
      <c r="E62" s="268"/>
      <c r="F62" s="269">
        <v>15045.5405754763</v>
      </c>
      <c r="G62" s="269">
        <v>9.6525E-2</v>
      </c>
      <c r="H62" s="269">
        <v>2.413125</v>
      </c>
      <c r="I62" s="269">
        <v>0</v>
      </c>
      <c r="J62" s="269">
        <v>0</v>
      </c>
      <c r="K62" s="269">
        <v>0</v>
      </c>
      <c r="L62" s="269">
        <v>4011.6177598774798</v>
      </c>
      <c r="M62" s="269">
        <v>2294.20403603975</v>
      </c>
      <c r="N62" s="269">
        <v>0</v>
      </c>
      <c r="O62" s="269">
        <v>21353.775496393599</v>
      </c>
      <c r="P62" s="268"/>
    </row>
    <row r="63" spans="1:16" s="273" customFormat="1" ht="12" x14ac:dyDescent="0.2">
      <c r="A63" s="235"/>
      <c r="B63" s="230"/>
      <c r="C63" s="230" t="s">
        <v>773</v>
      </c>
      <c r="D63" s="271"/>
      <c r="E63" s="271"/>
      <c r="F63" s="272">
        <v>10843.6491219441</v>
      </c>
      <c r="G63" s="272">
        <v>9.6525E-2</v>
      </c>
      <c r="H63" s="272">
        <v>2.413125</v>
      </c>
      <c r="I63" s="272">
        <v>0</v>
      </c>
      <c r="J63" s="272">
        <v>0</v>
      </c>
      <c r="K63" s="272">
        <v>0</v>
      </c>
      <c r="L63" s="272">
        <v>0</v>
      </c>
      <c r="M63" s="272">
        <v>0</v>
      </c>
      <c r="N63" s="272">
        <v>0</v>
      </c>
      <c r="O63" s="272">
        <v>10846.0622469441</v>
      </c>
      <c r="P63" s="271"/>
    </row>
    <row r="64" spans="1:16" s="273" customFormat="1" ht="12" x14ac:dyDescent="0.2">
      <c r="A64" s="235"/>
      <c r="B64" s="230"/>
      <c r="C64" s="230" t="s">
        <v>252</v>
      </c>
      <c r="D64" s="271"/>
      <c r="E64" s="271"/>
      <c r="F64" s="272">
        <v>4201.8914535322501</v>
      </c>
      <c r="G64" s="272">
        <v>0</v>
      </c>
      <c r="H64" s="272">
        <v>0</v>
      </c>
      <c r="I64" s="272">
        <v>0</v>
      </c>
      <c r="J64" s="272">
        <v>0</v>
      </c>
      <c r="K64" s="272">
        <v>0</v>
      </c>
      <c r="L64" s="272">
        <v>4011.6177598774798</v>
      </c>
      <c r="M64" s="272">
        <v>41.932248903765696</v>
      </c>
      <c r="N64" s="272">
        <v>0</v>
      </c>
      <c r="O64" s="272">
        <v>8255.4414623134999</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2252.2717871359901</v>
      </c>
      <c r="N65" s="272">
        <v>0</v>
      </c>
      <c r="O65" s="272">
        <v>2252.2717871359901</v>
      </c>
      <c r="P65" s="271"/>
    </row>
    <row r="66" spans="1:16" s="234" customFormat="1" x14ac:dyDescent="0.25">
      <c r="A66" s="278" t="s">
        <v>764</v>
      </c>
      <c r="B66" s="279" t="s">
        <v>775</v>
      </c>
      <c r="C66" s="279"/>
      <c r="D66" s="251"/>
      <c r="E66" s="251"/>
      <c r="F66" s="252">
        <v>0</v>
      </c>
      <c r="G66" s="252">
        <v>0</v>
      </c>
      <c r="H66" s="252">
        <v>0</v>
      </c>
      <c r="I66" s="252">
        <v>0</v>
      </c>
      <c r="J66" s="252">
        <v>0</v>
      </c>
      <c r="K66" s="252">
        <v>3159.2956287521001</v>
      </c>
      <c r="L66" s="252">
        <v>35.376655914733398</v>
      </c>
      <c r="M66" s="252">
        <v>3.3357132357637198</v>
      </c>
      <c r="N66" s="252">
        <v>0.22907906</v>
      </c>
      <c r="O66" s="252">
        <v>3198.2370769626</v>
      </c>
      <c r="P66" s="251"/>
    </row>
    <row r="67" spans="1:16" s="234" customFormat="1" ht="12.75" x14ac:dyDescent="0.2">
      <c r="A67" s="278" t="s">
        <v>776</v>
      </c>
      <c r="B67" s="279" t="s">
        <v>777</v>
      </c>
      <c r="C67" s="279"/>
      <c r="D67" s="251"/>
      <c r="E67" s="251"/>
      <c r="F67" s="252">
        <v>7779.7861263142004</v>
      </c>
      <c r="G67" s="252">
        <v>0</v>
      </c>
      <c r="H67" s="252">
        <v>0</v>
      </c>
      <c r="I67" s="252">
        <v>0</v>
      </c>
      <c r="J67" s="252">
        <v>0</v>
      </c>
      <c r="K67" s="252">
        <v>0</v>
      </c>
      <c r="L67" s="252">
        <v>0</v>
      </c>
      <c r="M67" s="252">
        <v>0</v>
      </c>
      <c r="N67" s="252">
        <v>0</v>
      </c>
      <c r="O67" s="252">
        <v>7779.7861263142004</v>
      </c>
      <c r="P67" s="251"/>
    </row>
    <row r="68" spans="1:16" s="234" customFormat="1" ht="12.75" x14ac:dyDescent="0.2">
      <c r="A68" s="259" t="s">
        <v>778</v>
      </c>
      <c r="B68" s="260" t="s">
        <v>779</v>
      </c>
      <c r="C68" s="260"/>
      <c r="D68" s="280"/>
      <c r="E68" s="280"/>
      <c r="F68" s="281">
        <v>0</v>
      </c>
      <c r="G68" s="281">
        <v>0</v>
      </c>
      <c r="H68" s="281">
        <v>0</v>
      </c>
      <c r="I68" s="281">
        <v>1.35329618938776</v>
      </c>
      <c r="J68" s="281">
        <v>403.28226443755102</v>
      </c>
      <c r="K68" s="281">
        <v>0</v>
      </c>
      <c r="L68" s="281">
        <v>1.63229274734689</v>
      </c>
      <c r="M68" s="281">
        <v>259.56589376313298</v>
      </c>
      <c r="N68" s="281">
        <v>0</v>
      </c>
      <c r="O68" s="281">
        <v>664.48045094803103</v>
      </c>
      <c r="P68" s="251"/>
    </row>
    <row r="69" spans="1:16" s="267" customFormat="1" ht="12.75" x14ac:dyDescent="0.2">
      <c r="A69" s="282" t="s">
        <v>780</v>
      </c>
      <c r="B69" s="283"/>
      <c r="C69" s="283"/>
      <c r="D69" s="284"/>
      <c r="E69" s="284"/>
      <c r="F69" s="285">
        <v>1403.19191173333</v>
      </c>
      <c r="G69" s="285">
        <v>1335.11443511672</v>
      </c>
      <c r="H69" s="285">
        <v>33377.860877918101</v>
      </c>
      <c r="I69" s="285">
        <v>76.0015926711677</v>
      </c>
      <c r="J69" s="285">
        <v>22648.474616007999</v>
      </c>
      <c r="K69" s="285">
        <v>0</v>
      </c>
      <c r="L69" s="285">
        <v>0</v>
      </c>
      <c r="M69" s="285">
        <v>0</v>
      </c>
      <c r="N69" s="285">
        <v>0</v>
      </c>
      <c r="O69" s="285">
        <v>57429.527405659399</v>
      </c>
      <c r="P69" s="265"/>
    </row>
    <row r="70" spans="1:16" s="234" customFormat="1" ht="12.75" x14ac:dyDescent="0.2">
      <c r="A70" s="278" t="s">
        <v>724</v>
      </c>
      <c r="B70" s="279" t="s">
        <v>27</v>
      </c>
      <c r="C70" s="279"/>
      <c r="D70" s="251"/>
      <c r="E70" s="251"/>
      <c r="F70" s="252">
        <v>0</v>
      </c>
      <c r="G70" s="252">
        <v>1168.3278529361701</v>
      </c>
      <c r="H70" s="252">
        <v>29208.1963234043</v>
      </c>
      <c r="I70" s="252">
        <v>0</v>
      </c>
      <c r="J70" s="252">
        <v>0</v>
      </c>
      <c r="K70" s="252">
        <v>0</v>
      </c>
      <c r="L70" s="252">
        <v>0</v>
      </c>
      <c r="M70" s="252">
        <v>0</v>
      </c>
      <c r="N70" s="252">
        <v>0</v>
      </c>
      <c r="O70" s="252">
        <v>29208.1963234043</v>
      </c>
      <c r="P70" s="251"/>
    </row>
    <row r="71" spans="1:16" s="234" customFormat="1" ht="12.75" x14ac:dyDescent="0.2">
      <c r="A71" s="278" t="s">
        <v>737</v>
      </c>
      <c r="B71" s="279" t="s">
        <v>28</v>
      </c>
      <c r="C71" s="279"/>
      <c r="D71" s="251"/>
      <c r="E71" s="251"/>
      <c r="F71" s="252">
        <v>0</v>
      </c>
      <c r="G71" s="252">
        <v>163.325340339945</v>
      </c>
      <c r="H71" s="252">
        <v>4083.1335084986199</v>
      </c>
      <c r="I71" s="252">
        <v>17.659024373195201</v>
      </c>
      <c r="J71" s="252">
        <v>5262.3892632121597</v>
      </c>
      <c r="K71" s="252">
        <v>0</v>
      </c>
      <c r="L71" s="252">
        <v>0</v>
      </c>
      <c r="M71" s="252">
        <v>0</v>
      </c>
      <c r="N71" s="252">
        <v>0</v>
      </c>
      <c r="O71" s="252">
        <v>9345.5227717107791</v>
      </c>
      <c r="P71" s="251"/>
    </row>
    <row r="72" spans="1:16" s="234" customFormat="1" ht="12.75" x14ac:dyDescent="0.2">
      <c r="A72" s="224" t="s">
        <v>758</v>
      </c>
      <c r="B72" s="225" t="s">
        <v>781</v>
      </c>
      <c r="C72" s="225"/>
      <c r="F72" s="231">
        <v>0</v>
      </c>
      <c r="G72" s="231">
        <v>0</v>
      </c>
      <c r="H72" s="231">
        <v>0</v>
      </c>
      <c r="I72" s="231">
        <v>58.252832398401303</v>
      </c>
      <c r="J72" s="231">
        <v>17359.344054723599</v>
      </c>
      <c r="K72" s="231">
        <v>0</v>
      </c>
      <c r="L72" s="231">
        <v>0</v>
      </c>
      <c r="M72" s="231">
        <v>0</v>
      </c>
      <c r="N72" s="231">
        <v>0</v>
      </c>
      <c r="O72" s="231">
        <v>17359.344054723599</v>
      </c>
    </row>
    <row r="73" spans="1:16" s="237" customFormat="1" ht="12" x14ac:dyDescent="0.2">
      <c r="A73" s="286"/>
      <c r="B73" s="258"/>
      <c r="C73" s="258" t="s">
        <v>782</v>
      </c>
      <c r="D73" s="243"/>
      <c r="E73" s="243"/>
      <c r="F73" s="244">
        <v>0</v>
      </c>
      <c r="G73" s="244">
        <v>0</v>
      </c>
      <c r="H73" s="244">
        <v>0</v>
      </c>
      <c r="I73" s="244">
        <v>47.682668518260897</v>
      </c>
      <c r="J73" s="244">
        <v>14209.4352184417</v>
      </c>
      <c r="K73" s="244">
        <v>0</v>
      </c>
      <c r="L73" s="244">
        <v>0</v>
      </c>
      <c r="M73" s="244">
        <v>0</v>
      </c>
      <c r="N73" s="244">
        <v>0</v>
      </c>
      <c r="O73" s="244">
        <v>14209.4352184417</v>
      </c>
    </row>
    <row r="74" spans="1:16" s="237" customFormat="1" ht="12" x14ac:dyDescent="0.2">
      <c r="A74" s="286"/>
      <c r="B74" s="258"/>
      <c r="C74" s="258" t="s">
        <v>783</v>
      </c>
      <c r="D74" s="243"/>
      <c r="E74" s="243"/>
      <c r="F74" s="244">
        <v>0</v>
      </c>
      <c r="G74" s="244">
        <v>0</v>
      </c>
      <c r="H74" s="244">
        <v>0</v>
      </c>
      <c r="I74" s="244">
        <v>10.570163880140401</v>
      </c>
      <c r="J74" s="244">
        <v>3149.9088362818402</v>
      </c>
      <c r="K74" s="244">
        <v>0</v>
      </c>
      <c r="L74" s="244">
        <v>0</v>
      </c>
      <c r="M74" s="244">
        <v>0</v>
      </c>
      <c r="N74" s="244">
        <v>0</v>
      </c>
      <c r="O74" s="244">
        <v>3149.9088362818402</v>
      </c>
    </row>
    <row r="75" spans="1:16" s="234" customFormat="1" ht="12.75" x14ac:dyDescent="0.2">
      <c r="A75" s="278" t="s">
        <v>764</v>
      </c>
      <c r="B75" s="279" t="s">
        <v>193</v>
      </c>
      <c r="C75" s="287"/>
      <c r="D75" s="251"/>
      <c r="E75" s="251"/>
      <c r="F75" s="252">
        <v>0</v>
      </c>
      <c r="G75" s="252">
        <v>3.4612418406060401</v>
      </c>
      <c r="H75" s="252">
        <v>86.531046015151006</v>
      </c>
      <c r="I75" s="252">
        <v>8.9735899571267694E-2</v>
      </c>
      <c r="J75" s="252">
        <v>26.7412980722378</v>
      </c>
      <c r="K75" s="252">
        <v>0</v>
      </c>
      <c r="L75" s="252">
        <v>0</v>
      </c>
      <c r="M75" s="252">
        <v>0</v>
      </c>
      <c r="N75" s="252">
        <v>0</v>
      </c>
      <c r="O75" s="252">
        <v>113.272344087389</v>
      </c>
    </row>
    <row r="76" spans="1:16" s="234" customFormat="1" ht="12.75" x14ac:dyDescent="0.2">
      <c r="A76" s="259" t="s">
        <v>776</v>
      </c>
      <c r="B76" s="260" t="s">
        <v>784</v>
      </c>
      <c r="C76" s="288"/>
      <c r="D76" s="280"/>
      <c r="E76" s="280"/>
      <c r="F76" s="281">
        <v>1403.19191173333</v>
      </c>
      <c r="G76" s="281">
        <v>0</v>
      </c>
      <c r="H76" s="281">
        <v>0</v>
      </c>
      <c r="I76" s="281">
        <v>0</v>
      </c>
      <c r="J76" s="281">
        <v>0</v>
      </c>
      <c r="K76" s="281">
        <v>0</v>
      </c>
      <c r="L76" s="281">
        <v>0</v>
      </c>
      <c r="M76" s="281">
        <v>0</v>
      </c>
      <c r="N76" s="281">
        <v>0</v>
      </c>
      <c r="O76" s="281">
        <v>1403.19191173333</v>
      </c>
    </row>
    <row r="77" spans="1:16" s="234" customFormat="1" ht="12.75" x14ac:dyDescent="0.2">
      <c r="A77" s="220" t="s">
        <v>785</v>
      </c>
      <c r="B77" s="289"/>
      <c r="C77" s="289"/>
      <c r="F77" s="223">
        <v>557.56100175999995</v>
      </c>
      <c r="G77" s="223">
        <v>963.82808584999998</v>
      </c>
      <c r="H77" s="223">
        <v>24095.702146250002</v>
      </c>
      <c r="I77" s="223">
        <v>4.1341683199999997</v>
      </c>
      <c r="J77" s="223">
        <v>1231.98215936</v>
      </c>
      <c r="K77" s="223">
        <v>0</v>
      </c>
      <c r="L77" s="223">
        <v>0</v>
      </c>
      <c r="M77" s="223">
        <v>0</v>
      </c>
      <c r="N77" s="223">
        <v>0</v>
      </c>
      <c r="O77" s="223">
        <v>25885.245307370002</v>
      </c>
    </row>
    <row r="78" spans="1:16" s="234" customFormat="1" ht="12.75" x14ac:dyDescent="0.2">
      <c r="A78" s="224" t="s">
        <v>724</v>
      </c>
      <c r="B78" s="225" t="s">
        <v>786</v>
      </c>
      <c r="C78" s="225"/>
      <c r="F78" s="231">
        <v>0</v>
      </c>
      <c r="G78" s="231">
        <v>926.44829900000002</v>
      </c>
      <c r="H78" s="231">
        <v>23161.207474999999</v>
      </c>
      <c r="I78" s="231">
        <v>0</v>
      </c>
      <c r="J78" s="231">
        <v>0</v>
      </c>
      <c r="K78" s="231">
        <v>0</v>
      </c>
      <c r="L78" s="231">
        <v>0</v>
      </c>
      <c r="M78" s="231">
        <v>0</v>
      </c>
      <c r="N78" s="231">
        <v>0</v>
      </c>
      <c r="O78" s="231">
        <v>23161.207474999999</v>
      </c>
    </row>
    <row r="79" spans="1:16" s="234" customFormat="1" ht="12.75" x14ac:dyDescent="0.2">
      <c r="A79" s="224" t="s">
        <v>737</v>
      </c>
      <c r="B79" s="225" t="s">
        <v>787</v>
      </c>
      <c r="C79" s="225"/>
      <c r="F79" s="231">
        <v>0</v>
      </c>
      <c r="G79" s="231">
        <v>22.33913652</v>
      </c>
      <c r="H79" s="231">
        <v>558.47841300000005</v>
      </c>
      <c r="I79" s="231">
        <v>1.3403481900000001</v>
      </c>
      <c r="J79" s="231">
        <v>399.42376062</v>
      </c>
      <c r="K79" s="231">
        <v>0</v>
      </c>
      <c r="L79" s="231">
        <v>0</v>
      </c>
      <c r="M79" s="231">
        <v>0</v>
      </c>
      <c r="N79" s="231">
        <v>0</v>
      </c>
      <c r="O79" s="231">
        <v>957.90217361999999</v>
      </c>
    </row>
    <row r="80" spans="1:16" s="234" customFormat="1" ht="12.75" x14ac:dyDescent="0.2">
      <c r="A80" s="278" t="s">
        <v>788</v>
      </c>
      <c r="B80" s="279" t="s">
        <v>789</v>
      </c>
      <c r="C80" s="279"/>
      <c r="D80" s="251"/>
      <c r="E80" s="251"/>
      <c r="F80" s="252">
        <v>0</v>
      </c>
      <c r="G80" s="252">
        <v>14.83378255</v>
      </c>
      <c r="H80" s="252">
        <v>370.84456375000002</v>
      </c>
      <c r="I80" s="252">
        <v>2.07692297</v>
      </c>
      <c r="J80" s="252">
        <v>618.92304506000005</v>
      </c>
      <c r="K80" s="252">
        <v>0</v>
      </c>
      <c r="L80" s="252">
        <v>0</v>
      </c>
      <c r="M80" s="252">
        <v>0</v>
      </c>
      <c r="N80" s="252">
        <v>0</v>
      </c>
      <c r="O80" s="252">
        <v>989.76760880999996</v>
      </c>
    </row>
    <row r="81" spans="1:30" s="234" customFormat="1" ht="12.75" x14ac:dyDescent="0.2">
      <c r="A81" s="259" t="s">
        <v>764</v>
      </c>
      <c r="B81" s="260" t="s">
        <v>790</v>
      </c>
      <c r="C81" s="260"/>
      <c r="D81" s="280"/>
      <c r="E81" s="280"/>
      <c r="F81" s="281">
        <v>557.56100175999995</v>
      </c>
      <c r="G81" s="281">
        <v>0.20686778</v>
      </c>
      <c r="H81" s="281">
        <v>5.1716945000000001</v>
      </c>
      <c r="I81" s="281">
        <v>0.71689716000000003</v>
      </c>
      <c r="J81" s="281">
        <v>213.63535368000001</v>
      </c>
      <c r="K81" s="281">
        <v>0</v>
      </c>
      <c r="L81" s="281">
        <v>0</v>
      </c>
      <c r="M81" s="281">
        <v>0</v>
      </c>
      <c r="N81" s="281">
        <v>0</v>
      </c>
      <c r="O81" s="281">
        <v>776.36804993999999</v>
      </c>
    </row>
    <row r="82" spans="1:30" s="267" customFormat="1" ht="12.75" x14ac:dyDescent="0.2">
      <c r="A82" s="263" t="s">
        <v>791</v>
      </c>
      <c r="B82" s="264"/>
      <c r="C82" s="264"/>
      <c r="F82" s="223">
        <v>-78872.079910999993</v>
      </c>
      <c r="G82" s="223">
        <v>52.626218999999999</v>
      </c>
      <c r="H82" s="223">
        <v>1315.655475</v>
      </c>
      <c r="I82" s="223">
        <v>1.7427109999999999</v>
      </c>
      <c r="J82" s="223">
        <v>519.32787800000006</v>
      </c>
      <c r="K82" s="223">
        <v>0</v>
      </c>
      <c r="L82" s="223">
        <v>0</v>
      </c>
      <c r="M82" s="223">
        <v>0</v>
      </c>
      <c r="N82" s="223">
        <v>0</v>
      </c>
      <c r="O82" s="223">
        <v>-77037.096557999903</v>
      </c>
    </row>
    <row r="83" spans="1:30" s="234" customFormat="1" ht="12.75" x14ac:dyDescent="0.2">
      <c r="A83" s="224" t="s">
        <v>724</v>
      </c>
      <c r="B83" s="225" t="s">
        <v>792</v>
      </c>
      <c r="C83" s="225"/>
      <c r="F83" s="231">
        <v>-218200.89393399999</v>
      </c>
      <c r="G83" s="231">
        <v>12.218609000000001</v>
      </c>
      <c r="H83" s="231">
        <v>305.46522499999998</v>
      </c>
      <c r="I83" s="231">
        <v>0.50215799999999999</v>
      </c>
      <c r="J83" s="231">
        <v>149.64308399999999</v>
      </c>
      <c r="K83" s="231">
        <v>0</v>
      </c>
      <c r="L83" s="231">
        <v>0</v>
      </c>
      <c r="M83" s="231">
        <v>0</v>
      </c>
      <c r="N83" s="231">
        <v>0</v>
      </c>
      <c r="O83" s="231">
        <v>-217745.78562499999</v>
      </c>
    </row>
    <row r="84" spans="1:30" s="234" customFormat="1" ht="12.75" x14ac:dyDescent="0.2">
      <c r="A84" s="224" t="s">
        <v>737</v>
      </c>
      <c r="B84" s="225" t="s">
        <v>793</v>
      </c>
      <c r="C84" s="225"/>
      <c r="F84" s="231">
        <v>-5625.6015349999998</v>
      </c>
      <c r="G84" s="231">
        <v>5.2163700000000004</v>
      </c>
      <c r="H84" s="231">
        <v>130.40924999999999</v>
      </c>
      <c r="I84" s="231">
        <v>0.26150099999999998</v>
      </c>
      <c r="J84" s="231">
        <v>77.927297999999993</v>
      </c>
      <c r="K84" s="231">
        <v>0</v>
      </c>
      <c r="L84" s="231">
        <v>0</v>
      </c>
      <c r="M84" s="231">
        <v>0</v>
      </c>
      <c r="N84" s="231">
        <v>0</v>
      </c>
      <c r="O84" s="231">
        <v>-5417.2649869999996</v>
      </c>
    </row>
    <row r="85" spans="1:30" s="234" customFormat="1" ht="12.75" x14ac:dyDescent="0.2">
      <c r="A85" s="278" t="s">
        <v>758</v>
      </c>
      <c r="B85" s="279" t="s">
        <v>794</v>
      </c>
      <c r="C85" s="279"/>
      <c r="F85" s="231">
        <v>0</v>
      </c>
      <c r="G85" s="231">
        <v>29.901009999999999</v>
      </c>
      <c r="H85" s="231">
        <v>747.52525000000003</v>
      </c>
      <c r="I85" s="231">
        <v>0.77517999999999998</v>
      </c>
      <c r="J85" s="231">
        <v>231.00363999999999</v>
      </c>
      <c r="K85" s="231">
        <v>0</v>
      </c>
      <c r="L85" s="231">
        <v>0</v>
      </c>
      <c r="M85" s="231">
        <v>0</v>
      </c>
      <c r="N85" s="231">
        <v>0</v>
      </c>
      <c r="O85" s="231">
        <v>978.52889000000005</v>
      </c>
    </row>
    <row r="86" spans="1:30" s="234" customFormat="1" ht="12.75" x14ac:dyDescent="0.2">
      <c r="A86" s="278" t="s">
        <v>764</v>
      </c>
      <c r="B86" s="279" t="s">
        <v>795</v>
      </c>
      <c r="C86" s="279"/>
      <c r="F86" s="231">
        <v>2753.05971</v>
      </c>
      <c r="G86" s="231">
        <v>0.37806699999999999</v>
      </c>
      <c r="H86" s="231">
        <v>9.4516749999999998</v>
      </c>
      <c r="I86" s="231">
        <v>2.1625999999999999E-2</v>
      </c>
      <c r="J86" s="231">
        <v>6.4445480000000002</v>
      </c>
      <c r="K86" s="231">
        <v>0</v>
      </c>
      <c r="L86" s="231">
        <v>0</v>
      </c>
      <c r="M86" s="231">
        <v>0</v>
      </c>
      <c r="N86" s="231">
        <v>0</v>
      </c>
      <c r="O86" s="231">
        <v>2768.9559330000002</v>
      </c>
    </row>
    <row r="87" spans="1:30" s="234" customFormat="1" ht="12.75" x14ac:dyDescent="0.2">
      <c r="A87" s="278" t="s">
        <v>776</v>
      </c>
      <c r="B87" s="279" t="s">
        <v>796</v>
      </c>
      <c r="C87" s="279"/>
      <c r="D87" s="251"/>
      <c r="E87" s="251"/>
      <c r="F87" s="252">
        <v>3346.0401619999998</v>
      </c>
      <c r="G87" s="252">
        <v>4.9121629999999996</v>
      </c>
      <c r="H87" s="252">
        <v>122.804075</v>
      </c>
      <c r="I87" s="252">
        <v>0.18224599999999999</v>
      </c>
      <c r="J87" s="252">
        <v>54.309308000000001</v>
      </c>
      <c r="K87" s="252">
        <v>0</v>
      </c>
      <c r="L87" s="252">
        <v>0</v>
      </c>
      <c r="M87" s="252">
        <v>0</v>
      </c>
      <c r="N87" s="252">
        <v>0</v>
      </c>
      <c r="O87" s="252">
        <v>3523.1535450000001</v>
      </c>
    </row>
    <row r="88" spans="1:30" s="234" customFormat="1" ht="12.75" x14ac:dyDescent="0.2">
      <c r="A88" s="259" t="s">
        <v>778</v>
      </c>
      <c r="B88" s="260" t="s">
        <v>797</v>
      </c>
      <c r="C88" s="260"/>
      <c r="D88" s="280"/>
      <c r="E88" s="280"/>
      <c r="F88" s="281">
        <v>138855.31568599999</v>
      </c>
      <c r="G88" s="281">
        <v>0</v>
      </c>
      <c r="H88" s="281">
        <v>0</v>
      </c>
      <c r="I88" s="281">
        <v>0</v>
      </c>
      <c r="J88" s="281">
        <v>0</v>
      </c>
      <c r="K88" s="281">
        <v>0</v>
      </c>
      <c r="L88" s="281">
        <v>0</v>
      </c>
      <c r="M88" s="281">
        <v>0</v>
      </c>
      <c r="N88" s="281">
        <v>0</v>
      </c>
      <c r="O88" s="281">
        <v>138855.31568599999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810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824</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569999.95317439199</v>
      </c>
      <c r="G7" s="218">
        <v>4719.9029928960899</v>
      </c>
      <c r="H7" s="218">
        <v>117997.57482240201</v>
      </c>
      <c r="I7" s="218">
        <v>132.67341731419199</v>
      </c>
      <c r="J7" s="218">
        <v>39536.678359629099</v>
      </c>
      <c r="K7" s="218">
        <v>2754.8420398359299</v>
      </c>
      <c r="L7" s="218">
        <v>4985.5674559146701</v>
      </c>
      <c r="M7" s="218">
        <v>2902.9634956264499</v>
      </c>
      <c r="N7" s="218">
        <v>0.23774952266666699</v>
      </c>
      <c r="O7" s="218">
        <v>738177.81709732302</v>
      </c>
    </row>
    <row r="8" spans="1:16" ht="15.75" thickTop="1" x14ac:dyDescent="0.2">
      <c r="A8" s="220" t="s">
        <v>723</v>
      </c>
      <c r="B8" s="221"/>
      <c r="C8" s="221"/>
      <c r="F8" s="223">
        <v>528812.66747375904</v>
      </c>
      <c r="G8" s="223">
        <v>2455.0538758447701</v>
      </c>
      <c r="H8" s="223">
        <v>61376.346896119103</v>
      </c>
      <c r="I8" s="223">
        <v>40.2583337222529</v>
      </c>
      <c r="J8" s="223">
        <v>11996.9834492314</v>
      </c>
      <c r="K8" s="223">
        <v>0</v>
      </c>
      <c r="L8" s="223">
        <v>0</v>
      </c>
      <c r="M8" s="223">
        <v>0</v>
      </c>
      <c r="N8" s="223">
        <v>0</v>
      </c>
      <c r="O8" s="223">
        <v>602185.997819109</v>
      </c>
    </row>
    <row r="9" spans="1:16" x14ac:dyDescent="0.2">
      <c r="A9" s="224" t="s">
        <v>724</v>
      </c>
      <c r="B9" s="225" t="s">
        <v>725</v>
      </c>
      <c r="C9" s="225"/>
      <c r="F9" s="226">
        <v>340791.04082473402</v>
      </c>
      <c r="G9" s="226">
        <v>280.40338126454998</v>
      </c>
      <c r="H9" s="226">
        <v>7010.0845316137602</v>
      </c>
      <c r="I9" s="226">
        <v>9.3339485942997307</v>
      </c>
      <c r="J9" s="226">
        <v>2781.51668110132</v>
      </c>
      <c r="K9" s="226">
        <v>0</v>
      </c>
      <c r="L9" s="226">
        <v>0</v>
      </c>
      <c r="M9" s="226">
        <v>0</v>
      </c>
      <c r="N9" s="226">
        <v>0</v>
      </c>
      <c r="O9" s="226">
        <v>350582.642037449</v>
      </c>
      <c r="P9" s="227"/>
    </row>
    <row r="10" spans="1:16" x14ac:dyDescent="0.2">
      <c r="A10" s="228"/>
      <c r="B10" s="229" t="s">
        <v>726</v>
      </c>
      <c r="C10" s="230"/>
      <c r="F10" s="231">
        <v>128777.36188537101</v>
      </c>
      <c r="G10" s="231">
        <v>4.9602505793717997</v>
      </c>
      <c r="H10" s="231">
        <v>124.006264484295</v>
      </c>
      <c r="I10" s="231">
        <v>2.4431720169053999</v>
      </c>
      <c r="J10" s="231">
        <v>728.06526103780902</v>
      </c>
      <c r="K10" s="231">
        <v>0</v>
      </c>
      <c r="L10" s="231">
        <v>0</v>
      </c>
      <c r="M10" s="231">
        <v>0</v>
      </c>
      <c r="N10" s="231">
        <v>0</v>
      </c>
      <c r="O10" s="231">
        <v>129629.43341089301</v>
      </c>
    </row>
    <row r="11" spans="1:16" x14ac:dyDescent="0.2">
      <c r="A11" s="228"/>
      <c r="B11" s="232" t="s">
        <v>727</v>
      </c>
      <c r="C11" s="230"/>
      <c r="F11" s="231">
        <v>17246.366019362002</v>
      </c>
      <c r="G11" s="231">
        <v>0.43780237566607499</v>
      </c>
      <c r="H11" s="231">
        <v>10.945059391651901</v>
      </c>
      <c r="I11" s="231">
        <v>0.212979135044086</v>
      </c>
      <c r="J11" s="231">
        <v>63.467782243137698</v>
      </c>
      <c r="K11" s="231">
        <v>0</v>
      </c>
      <c r="L11" s="231">
        <v>0</v>
      </c>
      <c r="M11" s="231">
        <v>0</v>
      </c>
      <c r="N11" s="231">
        <v>0</v>
      </c>
      <c r="O11" s="231">
        <v>17320.778860996801</v>
      </c>
    </row>
    <row r="12" spans="1:16" s="234" customFormat="1" ht="12.75" x14ac:dyDescent="0.2">
      <c r="A12" s="228"/>
      <c r="B12" s="232" t="s">
        <v>728</v>
      </c>
      <c r="C12" s="233"/>
      <c r="F12" s="231">
        <v>60344.258633538499</v>
      </c>
      <c r="G12" s="231">
        <v>112.648730532993</v>
      </c>
      <c r="H12" s="231">
        <v>2816.2182633248299</v>
      </c>
      <c r="I12" s="231">
        <v>1.4336346932742601</v>
      </c>
      <c r="J12" s="231">
        <v>427.22313859572898</v>
      </c>
      <c r="K12" s="231">
        <v>0</v>
      </c>
      <c r="L12" s="231">
        <v>0</v>
      </c>
      <c r="M12" s="231">
        <v>0</v>
      </c>
      <c r="N12" s="231">
        <v>0</v>
      </c>
      <c r="O12" s="231">
        <v>63587.700035458998</v>
      </c>
    </row>
    <row r="13" spans="1:16" s="234" customFormat="1" ht="12.75" x14ac:dyDescent="0.2">
      <c r="A13" s="228"/>
      <c r="B13" s="229" t="s">
        <v>729</v>
      </c>
      <c r="C13" s="229"/>
      <c r="F13" s="231">
        <v>55289.726942620502</v>
      </c>
      <c r="G13" s="231">
        <v>2.6229810015651198</v>
      </c>
      <c r="H13" s="231">
        <v>65.574525039128005</v>
      </c>
      <c r="I13" s="231">
        <v>2.0237993111488901</v>
      </c>
      <c r="J13" s="231">
        <v>603.09219472236998</v>
      </c>
      <c r="K13" s="231">
        <v>0</v>
      </c>
      <c r="L13" s="231">
        <v>0</v>
      </c>
      <c r="M13" s="231">
        <v>0</v>
      </c>
      <c r="N13" s="231">
        <v>0</v>
      </c>
      <c r="O13" s="231">
        <v>55958.393662381997</v>
      </c>
    </row>
    <row r="14" spans="1:16" s="237" customFormat="1" ht="12" x14ac:dyDescent="0.2">
      <c r="A14" s="235"/>
      <c r="B14" s="230"/>
      <c r="C14" s="236" t="s">
        <v>2</v>
      </c>
      <c r="F14" s="238">
        <v>6164.16442786877</v>
      </c>
      <c r="G14" s="238">
        <v>0.16577485242857201</v>
      </c>
      <c r="H14" s="238">
        <v>4.1443713107143099</v>
      </c>
      <c r="I14" s="238">
        <v>0.14344135238224001</v>
      </c>
      <c r="J14" s="238">
        <v>42.7455230099076</v>
      </c>
      <c r="K14" s="238">
        <v>0</v>
      </c>
      <c r="L14" s="238">
        <v>0</v>
      </c>
      <c r="M14" s="238">
        <v>0</v>
      </c>
      <c r="N14" s="238">
        <v>0</v>
      </c>
      <c r="O14" s="238">
        <v>6211.0543221893904</v>
      </c>
    </row>
    <row r="15" spans="1:16" s="237" customFormat="1" ht="12" x14ac:dyDescent="0.2">
      <c r="A15" s="235"/>
      <c r="B15" s="230"/>
      <c r="C15" s="236" t="s">
        <v>730</v>
      </c>
      <c r="F15" s="238">
        <v>3562.9185968117999</v>
      </c>
      <c r="G15" s="238">
        <v>7.2476069573165505E-2</v>
      </c>
      <c r="H15" s="238">
        <v>1.8119017393291399</v>
      </c>
      <c r="I15" s="238">
        <v>5.2302053642918102E-2</v>
      </c>
      <c r="J15" s="238">
        <v>15.5860119855896</v>
      </c>
      <c r="K15" s="238">
        <v>0</v>
      </c>
      <c r="L15" s="238">
        <v>0</v>
      </c>
      <c r="M15" s="238">
        <v>0</v>
      </c>
      <c r="N15" s="238">
        <v>0</v>
      </c>
      <c r="O15" s="238">
        <v>3580.3165105367202</v>
      </c>
    </row>
    <row r="16" spans="1:16" s="237" customFormat="1" ht="12" x14ac:dyDescent="0.2">
      <c r="A16" s="235"/>
      <c r="B16" s="230"/>
      <c r="C16" s="236" t="s">
        <v>731</v>
      </c>
      <c r="F16" s="238">
        <v>10602.5414889207</v>
      </c>
      <c r="G16" s="238">
        <v>0.212413257467085</v>
      </c>
      <c r="H16" s="238">
        <v>5.3103314366771297</v>
      </c>
      <c r="I16" s="238">
        <v>0.18312260301806699</v>
      </c>
      <c r="J16" s="238">
        <v>54.570535699384003</v>
      </c>
      <c r="K16" s="238">
        <v>0</v>
      </c>
      <c r="L16" s="238">
        <v>0</v>
      </c>
      <c r="M16" s="238">
        <v>0</v>
      </c>
      <c r="N16" s="238">
        <v>0</v>
      </c>
      <c r="O16" s="238">
        <v>10662.422356056801</v>
      </c>
    </row>
    <row r="17" spans="1:16" s="237" customFormat="1" ht="12" x14ac:dyDescent="0.2">
      <c r="A17" s="235"/>
      <c r="B17" s="230"/>
      <c r="C17" s="236" t="s">
        <v>732</v>
      </c>
      <c r="F17" s="238">
        <v>12222.3706530623</v>
      </c>
      <c r="G17" s="238">
        <v>1.5133521025588701</v>
      </c>
      <c r="H17" s="238">
        <v>37.833802563971901</v>
      </c>
      <c r="I17" s="238">
        <v>1.1824884251174099</v>
      </c>
      <c r="J17" s="238">
        <v>352.38155068498702</v>
      </c>
      <c r="K17" s="238">
        <v>0</v>
      </c>
      <c r="L17" s="238">
        <v>0</v>
      </c>
      <c r="M17" s="238">
        <v>0</v>
      </c>
      <c r="N17" s="238">
        <v>0</v>
      </c>
      <c r="O17" s="238">
        <v>12612.5860063113</v>
      </c>
    </row>
    <row r="18" spans="1:16" s="237" customFormat="1" ht="12" x14ac:dyDescent="0.2">
      <c r="A18" s="235"/>
      <c r="B18" s="230"/>
      <c r="C18" s="236" t="s">
        <v>35</v>
      </c>
      <c r="F18" s="238">
        <v>4628.6619342668</v>
      </c>
      <c r="G18" s="238">
        <v>0.170771474798807</v>
      </c>
      <c r="H18" s="238">
        <v>4.2692868699701796</v>
      </c>
      <c r="I18" s="238">
        <v>5.4852200697853799E-2</v>
      </c>
      <c r="J18" s="238">
        <v>16.345955807960401</v>
      </c>
      <c r="K18" s="238">
        <v>0</v>
      </c>
      <c r="L18" s="238">
        <v>0</v>
      </c>
      <c r="M18" s="238">
        <v>0</v>
      </c>
      <c r="N18" s="238">
        <v>0</v>
      </c>
      <c r="O18" s="238">
        <v>4649.2771769447299</v>
      </c>
    </row>
    <row r="19" spans="1:16" s="237" customFormat="1" ht="12" x14ac:dyDescent="0.2">
      <c r="A19" s="235"/>
      <c r="B19" s="230"/>
      <c r="C19" s="236" t="s">
        <v>733</v>
      </c>
      <c r="F19" s="238">
        <v>18109.0698416901</v>
      </c>
      <c r="G19" s="238">
        <v>0.48819324473861397</v>
      </c>
      <c r="H19" s="238">
        <v>12.2048311184654</v>
      </c>
      <c r="I19" s="238">
        <v>0.40759267629040602</v>
      </c>
      <c r="J19" s="238">
        <v>121.462617534541</v>
      </c>
      <c r="K19" s="238">
        <v>0</v>
      </c>
      <c r="L19" s="238">
        <v>0</v>
      </c>
      <c r="M19" s="238">
        <v>0</v>
      </c>
      <c r="N19" s="238">
        <v>0</v>
      </c>
      <c r="O19" s="238">
        <v>18242.737290343099</v>
      </c>
    </row>
    <row r="20" spans="1:16" s="234" customFormat="1" ht="12.75" x14ac:dyDescent="0.2">
      <c r="A20" s="228"/>
      <c r="B20" s="229" t="s">
        <v>734</v>
      </c>
      <c r="C20" s="239"/>
      <c r="F20" s="231">
        <v>1075.23361</v>
      </c>
      <c r="G20" s="231">
        <v>1.8483900000000001E-2</v>
      </c>
      <c r="H20" s="231">
        <v>0.46209749999999999</v>
      </c>
      <c r="I20" s="231">
        <v>2.6804100000000001E-2</v>
      </c>
      <c r="J20" s="231">
        <v>7.9876218000000003</v>
      </c>
      <c r="K20" s="231">
        <v>0</v>
      </c>
      <c r="L20" s="231">
        <v>0</v>
      </c>
      <c r="M20" s="231">
        <v>0</v>
      </c>
      <c r="N20" s="231">
        <v>0</v>
      </c>
      <c r="O20" s="231">
        <v>1083.6833293</v>
      </c>
    </row>
    <row r="21" spans="1:16" s="234" customFormat="1" ht="12.75" x14ac:dyDescent="0.2">
      <c r="A21" s="228"/>
      <c r="B21" s="229" t="s">
        <v>735</v>
      </c>
      <c r="C21" s="229"/>
      <c r="F21" s="231">
        <v>32815.772097467903</v>
      </c>
      <c r="G21" s="231">
        <v>0.60805845436449502</v>
      </c>
      <c r="H21" s="231">
        <v>15.2014613591124</v>
      </c>
      <c r="I21" s="231">
        <v>0.69242902806865303</v>
      </c>
      <c r="J21" s="231">
        <v>206.34385036445801</v>
      </c>
      <c r="K21" s="231">
        <v>0</v>
      </c>
      <c r="L21" s="231">
        <v>0</v>
      </c>
      <c r="M21" s="231">
        <v>0</v>
      </c>
      <c r="N21" s="231">
        <v>0</v>
      </c>
      <c r="O21" s="231">
        <v>33037.317409191499</v>
      </c>
    </row>
    <row r="22" spans="1:16" s="234" customFormat="1" ht="12.75" x14ac:dyDescent="0.2">
      <c r="A22" s="228"/>
      <c r="B22" s="229" t="s">
        <v>181</v>
      </c>
      <c r="C22" s="229"/>
      <c r="F22" s="231">
        <v>42689.998123999998</v>
      </c>
      <c r="G22" s="231">
        <v>159.06302587310401</v>
      </c>
      <c r="H22" s="231">
        <v>3976.5756468276099</v>
      </c>
      <c r="I22" s="231">
        <v>2.4401959378751101</v>
      </c>
      <c r="J22" s="231">
        <v>727.17838948678195</v>
      </c>
      <c r="K22" s="231">
        <v>0</v>
      </c>
      <c r="L22" s="231">
        <v>0</v>
      </c>
      <c r="M22" s="231">
        <v>0</v>
      </c>
      <c r="N22" s="231">
        <v>0</v>
      </c>
      <c r="O22" s="231">
        <v>47393.752160314398</v>
      </c>
    </row>
    <row r="23" spans="1:16" s="234" customFormat="1" ht="12.75" x14ac:dyDescent="0.2">
      <c r="A23" s="228"/>
      <c r="B23" s="229" t="s">
        <v>736</v>
      </c>
      <c r="C23" s="229"/>
      <c r="F23" s="231">
        <v>2552.3235123740901</v>
      </c>
      <c r="G23" s="231">
        <v>4.4048547485231099E-2</v>
      </c>
      <c r="H23" s="231">
        <v>1.1012136871307801</v>
      </c>
      <c r="I23" s="231">
        <v>6.0934371983330703E-2</v>
      </c>
      <c r="J23" s="231">
        <v>18.1584428510325</v>
      </c>
      <c r="K23" s="231">
        <v>0</v>
      </c>
      <c r="L23" s="231">
        <v>0</v>
      </c>
      <c r="M23" s="231">
        <v>0</v>
      </c>
      <c r="N23" s="231">
        <v>0</v>
      </c>
      <c r="O23" s="231">
        <v>2571.5831689122601</v>
      </c>
    </row>
    <row r="24" spans="1:16" s="240" customFormat="1" ht="14.25" x14ac:dyDescent="0.2">
      <c r="A24" s="224" t="s">
        <v>737</v>
      </c>
      <c r="B24" s="225" t="s">
        <v>738</v>
      </c>
      <c r="C24" s="225"/>
      <c r="F24" s="226">
        <v>171789.29249509299</v>
      </c>
      <c r="G24" s="226">
        <v>31.398394593663301</v>
      </c>
      <c r="H24" s="226">
        <v>784.95986484158198</v>
      </c>
      <c r="I24" s="226">
        <v>30.798673592529301</v>
      </c>
      <c r="J24" s="226">
        <v>9178.0047305737498</v>
      </c>
      <c r="K24" s="226">
        <v>0</v>
      </c>
      <c r="L24" s="226">
        <v>0</v>
      </c>
      <c r="M24" s="226">
        <v>0</v>
      </c>
      <c r="N24" s="226">
        <v>0</v>
      </c>
      <c r="O24" s="226">
        <v>181752.25709050801</v>
      </c>
      <c r="P24" s="241"/>
    </row>
    <row r="25" spans="1:16" s="234" customFormat="1" ht="12.75" x14ac:dyDescent="0.2">
      <c r="A25" s="228"/>
      <c r="B25" s="232" t="s">
        <v>739</v>
      </c>
      <c r="C25" s="229"/>
      <c r="F25" s="231">
        <v>7635.0100979417502</v>
      </c>
      <c r="G25" s="231">
        <v>0.359389381302955</v>
      </c>
      <c r="H25" s="231">
        <v>8.9847345325738708</v>
      </c>
      <c r="I25" s="231">
        <v>0.228678673945857</v>
      </c>
      <c r="J25" s="231">
        <v>68.146244835865502</v>
      </c>
      <c r="K25" s="231">
        <v>0</v>
      </c>
      <c r="L25" s="231">
        <v>0</v>
      </c>
      <c r="M25" s="231">
        <v>0</v>
      </c>
      <c r="N25" s="231">
        <v>0</v>
      </c>
      <c r="O25" s="231">
        <v>7712.1410773101898</v>
      </c>
    </row>
    <row r="26" spans="1:16" s="234" customFormat="1" ht="12.75" x14ac:dyDescent="0.2">
      <c r="A26" s="228"/>
      <c r="B26" s="229" t="s">
        <v>740</v>
      </c>
      <c r="C26" s="229"/>
      <c r="F26" s="231">
        <v>111460.06214424</v>
      </c>
      <c r="G26" s="231">
        <v>11.510506795253001</v>
      </c>
      <c r="H26" s="231">
        <v>287.762669881325</v>
      </c>
      <c r="I26" s="231">
        <v>17.8324714859708</v>
      </c>
      <c r="J26" s="231">
        <v>5314.07650281929</v>
      </c>
      <c r="K26" s="231">
        <v>0</v>
      </c>
      <c r="L26" s="231">
        <v>0</v>
      </c>
      <c r="M26" s="231">
        <v>0</v>
      </c>
      <c r="N26" s="231">
        <v>0</v>
      </c>
      <c r="O26" s="231">
        <v>117061.901316941</v>
      </c>
    </row>
    <row r="27" spans="1:16" s="237" customFormat="1" ht="12" x14ac:dyDescent="0.2">
      <c r="A27" s="235"/>
      <c r="B27" s="230"/>
      <c r="C27" s="236" t="s">
        <v>741</v>
      </c>
      <c r="F27" s="238">
        <v>40761.165054613601</v>
      </c>
      <c r="G27" s="238">
        <v>5.2330713392952397</v>
      </c>
      <c r="H27" s="238">
        <v>130.82678348238099</v>
      </c>
      <c r="I27" s="238">
        <v>8.6291169376633796</v>
      </c>
      <c r="J27" s="238">
        <v>2571.4768474236898</v>
      </c>
      <c r="K27" s="238">
        <v>0</v>
      </c>
      <c r="L27" s="238">
        <v>0</v>
      </c>
      <c r="M27" s="238">
        <v>0</v>
      </c>
      <c r="N27" s="238">
        <v>0</v>
      </c>
      <c r="O27" s="238">
        <v>43463.468685519598</v>
      </c>
    </row>
    <row r="28" spans="1:16" s="237" customFormat="1" ht="12" x14ac:dyDescent="0.2">
      <c r="A28" s="235"/>
      <c r="B28" s="230"/>
      <c r="C28" s="236" t="s">
        <v>742</v>
      </c>
      <c r="F28" s="238">
        <v>31508.325708336299</v>
      </c>
      <c r="G28" s="238">
        <v>3.666925721228</v>
      </c>
      <c r="H28" s="238">
        <v>91.673143030700103</v>
      </c>
      <c r="I28" s="238">
        <v>7.4345909498541998</v>
      </c>
      <c r="J28" s="238">
        <v>2215.5081030565502</v>
      </c>
      <c r="K28" s="238">
        <v>0</v>
      </c>
      <c r="L28" s="238">
        <v>0</v>
      </c>
      <c r="M28" s="238">
        <v>0</v>
      </c>
      <c r="N28" s="238">
        <v>0</v>
      </c>
      <c r="O28" s="238">
        <v>33815.506954423501</v>
      </c>
    </row>
    <row r="29" spans="1:16" s="237" customFormat="1" ht="12" x14ac:dyDescent="0.2">
      <c r="A29" s="235"/>
      <c r="B29" s="230"/>
      <c r="C29" s="236" t="s">
        <v>743</v>
      </c>
      <c r="F29" s="238">
        <v>10905.0714027383</v>
      </c>
      <c r="G29" s="238">
        <v>1.00184852013287</v>
      </c>
      <c r="H29" s="238">
        <v>25.0462130033218</v>
      </c>
      <c r="I29" s="238">
        <v>0.54778335345165796</v>
      </c>
      <c r="J29" s="238">
        <v>163.23943932859399</v>
      </c>
      <c r="K29" s="238">
        <v>0</v>
      </c>
      <c r="L29" s="238">
        <v>0</v>
      </c>
      <c r="M29" s="238">
        <v>0</v>
      </c>
      <c r="N29" s="238">
        <v>0</v>
      </c>
      <c r="O29" s="238">
        <v>11093.357055070201</v>
      </c>
    </row>
    <row r="30" spans="1:16" s="237" customFormat="1" ht="12" x14ac:dyDescent="0.2">
      <c r="A30" s="235"/>
      <c r="B30" s="230"/>
      <c r="C30" s="236" t="s">
        <v>744</v>
      </c>
      <c r="F30" s="238">
        <v>128.443326568316</v>
      </c>
      <c r="G30" s="238">
        <v>8.7769864080930293E-2</v>
      </c>
      <c r="H30" s="238">
        <v>2.1942466020232598</v>
      </c>
      <c r="I30" s="238">
        <v>2.4888919871907502E-3</v>
      </c>
      <c r="J30" s="238">
        <v>0.74168981218284402</v>
      </c>
      <c r="K30" s="238">
        <v>0</v>
      </c>
      <c r="L30" s="238">
        <v>0</v>
      </c>
      <c r="M30" s="238">
        <v>0</v>
      </c>
      <c r="N30" s="238">
        <v>0</v>
      </c>
      <c r="O30" s="238">
        <v>131.37926298252199</v>
      </c>
      <c r="P30" s="242"/>
    </row>
    <row r="31" spans="1:16" s="237" customFormat="1" ht="12" x14ac:dyDescent="0.2">
      <c r="A31" s="235"/>
      <c r="B31" s="230"/>
      <c r="C31" s="236" t="s">
        <v>745</v>
      </c>
      <c r="F31" s="238">
        <v>603.59064237223799</v>
      </c>
      <c r="G31" s="238">
        <v>1.4195846650337501E-2</v>
      </c>
      <c r="H31" s="238">
        <v>0.35489616625843901</v>
      </c>
      <c r="I31" s="238">
        <v>4.7088991143978201E-2</v>
      </c>
      <c r="J31" s="238">
        <v>14.0325193609055</v>
      </c>
      <c r="K31" s="238">
        <v>0</v>
      </c>
      <c r="L31" s="238">
        <v>0</v>
      </c>
      <c r="M31" s="238">
        <v>0</v>
      </c>
      <c r="N31" s="238">
        <v>0</v>
      </c>
      <c r="O31" s="238">
        <v>617.97805789940196</v>
      </c>
    </row>
    <row r="32" spans="1:16" s="237" customFormat="1" ht="12" x14ac:dyDescent="0.2">
      <c r="A32" s="235"/>
      <c r="B32" s="230"/>
      <c r="C32" s="236" t="s">
        <v>746</v>
      </c>
      <c r="D32" s="243"/>
      <c r="E32" s="243"/>
      <c r="F32" s="244">
        <v>318.80718705826501</v>
      </c>
      <c r="G32" s="244">
        <v>8.1619304374550197E-3</v>
      </c>
      <c r="H32" s="244">
        <v>0.20404826093637499</v>
      </c>
      <c r="I32" s="244">
        <v>2.4949874666235002E-2</v>
      </c>
      <c r="J32" s="244">
        <v>7.4350626505380397</v>
      </c>
      <c r="K32" s="244">
        <v>0</v>
      </c>
      <c r="L32" s="244">
        <v>0</v>
      </c>
      <c r="M32" s="244">
        <v>0</v>
      </c>
      <c r="N32" s="244">
        <v>0</v>
      </c>
      <c r="O32" s="244">
        <v>326.44629796973902</v>
      </c>
    </row>
    <row r="33" spans="1:15" s="237" customFormat="1" ht="12" x14ac:dyDescent="0.2">
      <c r="A33" s="235"/>
      <c r="B33" s="230"/>
      <c r="C33" s="236" t="s">
        <v>747</v>
      </c>
      <c r="D33" s="243"/>
      <c r="E33" s="243"/>
      <c r="F33" s="244">
        <v>26643.922047783799</v>
      </c>
      <c r="G33" s="244">
        <v>1.2301104299271299</v>
      </c>
      <c r="H33" s="244">
        <v>30.752760748178201</v>
      </c>
      <c r="I33" s="244">
        <v>1.13547887249502</v>
      </c>
      <c r="J33" s="244">
        <v>338.37270400351599</v>
      </c>
      <c r="K33" s="244">
        <v>0</v>
      </c>
      <c r="L33" s="244">
        <v>0</v>
      </c>
      <c r="M33" s="244">
        <v>0</v>
      </c>
      <c r="N33" s="244">
        <v>0</v>
      </c>
      <c r="O33" s="244">
        <v>27013.047512535501</v>
      </c>
    </row>
    <row r="34" spans="1:15" s="237" customFormat="1" ht="12" x14ac:dyDescent="0.2">
      <c r="A34" s="235"/>
      <c r="B34" s="230"/>
      <c r="C34" s="245" t="s">
        <v>748</v>
      </c>
      <c r="D34" s="243"/>
      <c r="E34" s="243"/>
      <c r="F34" s="244">
        <v>590.73677476957096</v>
      </c>
      <c r="G34" s="244">
        <v>0.26842314350104701</v>
      </c>
      <c r="H34" s="244">
        <v>6.7105785875261796</v>
      </c>
      <c r="I34" s="244">
        <v>1.0973614709121201E-2</v>
      </c>
      <c r="J34" s="244">
        <v>3.2701371833181301</v>
      </c>
      <c r="K34" s="244">
        <v>0</v>
      </c>
      <c r="L34" s="244">
        <v>0</v>
      </c>
      <c r="M34" s="244">
        <v>0</v>
      </c>
      <c r="N34" s="244">
        <v>0</v>
      </c>
      <c r="O34" s="244">
        <v>600.71749054041504</v>
      </c>
    </row>
    <row r="35" spans="1:15" s="249" customFormat="1" ht="12.75" x14ac:dyDescent="0.2">
      <c r="A35" s="228"/>
      <c r="B35" s="229" t="s">
        <v>749</v>
      </c>
      <c r="C35" s="246"/>
      <c r="D35" s="247"/>
      <c r="E35" s="247"/>
      <c r="F35" s="248">
        <v>5875.2290000000003</v>
      </c>
      <c r="G35" s="248">
        <v>0.32979910000000001</v>
      </c>
      <c r="H35" s="248">
        <v>8.2449774999999992</v>
      </c>
      <c r="I35" s="248">
        <v>2.2736480999999999</v>
      </c>
      <c r="J35" s="248">
        <v>677.54713379999998</v>
      </c>
      <c r="K35" s="248">
        <v>0</v>
      </c>
      <c r="L35" s="248">
        <v>0</v>
      </c>
      <c r="M35" s="248">
        <v>0</v>
      </c>
      <c r="N35" s="248">
        <v>0</v>
      </c>
      <c r="O35" s="248">
        <v>6561.0211112999996</v>
      </c>
    </row>
    <row r="36" spans="1:15" s="249" customFormat="1" ht="12.75" x14ac:dyDescent="0.2">
      <c r="A36" s="228"/>
      <c r="B36" s="232" t="s">
        <v>750</v>
      </c>
      <c r="C36" s="246"/>
      <c r="D36" s="247"/>
      <c r="E36" s="247"/>
      <c r="F36" s="248">
        <v>4890.5771041288899</v>
      </c>
      <c r="G36" s="248">
        <v>0.45228754040000002</v>
      </c>
      <c r="H36" s="248">
        <v>11.30718851</v>
      </c>
      <c r="I36" s="248">
        <v>0.12920633343999999</v>
      </c>
      <c r="J36" s="248">
        <v>38.503487365120002</v>
      </c>
      <c r="K36" s="248">
        <v>0</v>
      </c>
      <c r="L36" s="248">
        <v>0</v>
      </c>
      <c r="M36" s="248">
        <v>0</v>
      </c>
      <c r="N36" s="248">
        <v>0</v>
      </c>
      <c r="O36" s="248">
        <v>4940.38778000401</v>
      </c>
    </row>
    <row r="37" spans="1:15" s="234" customFormat="1" ht="12.75" x14ac:dyDescent="0.2">
      <c r="A37" s="228"/>
      <c r="B37" s="229" t="s">
        <v>751</v>
      </c>
      <c r="C37" s="250"/>
      <c r="D37" s="251"/>
      <c r="E37" s="251"/>
      <c r="F37" s="252">
        <v>41928.4141487819</v>
      </c>
      <c r="G37" s="252">
        <v>18.746411776707301</v>
      </c>
      <c r="H37" s="252">
        <v>468.660294417682</v>
      </c>
      <c r="I37" s="252">
        <v>10.334668999172701</v>
      </c>
      <c r="J37" s="252">
        <v>3079.7313617534701</v>
      </c>
      <c r="K37" s="252">
        <v>0</v>
      </c>
      <c r="L37" s="252">
        <v>0</v>
      </c>
      <c r="M37" s="252">
        <v>0</v>
      </c>
      <c r="N37" s="252">
        <v>0</v>
      </c>
      <c r="O37" s="252">
        <v>45476.805804953103</v>
      </c>
    </row>
    <row r="38" spans="1:15" s="237" customFormat="1" ht="12" x14ac:dyDescent="0.2">
      <c r="A38" s="235"/>
      <c r="B38" s="230"/>
      <c r="C38" s="236" t="s">
        <v>752</v>
      </c>
      <c r="F38" s="238">
        <v>11601.1937277905</v>
      </c>
      <c r="G38" s="238">
        <v>0.67871388792888898</v>
      </c>
      <c r="H38" s="238">
        <v>16.967847198222199</v>
      </c>
      <c r="I38" s="238">
        <v>4.48049548721555</v>
      </c>
      <c r="J38" s="238">
        <v>1335.1876551902301</v>
      </c>
      <c r="K38" s="238">
        <v>0</v>
      </c>
      <c r="L38" s="238">
        <v>0</v>
      </c>
      <c r="M38" s="238">
        <v>0</v>
      </c>
      <c r="N38" s="238">
        <v>0</v>
      </c>
      <c r="O38" s="238">
        <v>12953.349230178999</v>
      </c>
    </row>
    <row r="39" spans="1:15" s="237" customFormat="1" ht="12" x14ac:dyDescent="0.2">
      <c r="A39" s="235"/>
      <c r="B39" s="230"/>
      <c r="C39" s="236" t="s">
        <v>753</v>
      </c>
      <c r="F39" s="238">
        <v>1732.08291355918</v>
      </c>
      <c r="G39" s="238">
        <v>0.89839566619303801</v>
      </c>
      <c r="H39" s="238">
        <v>22.459891654825999</v>
      </c>
      <c r="I39" s="238">
        <v>0.53091932070872605</v>
      </c>
      <c r="J39" s="238">
        <v>158.21395757120001</v>
      </c>
      <c r="K39" s="238">
        <v>0</v>
      </c>
      <c r="L39" s="238">
        <v>0</v>
      </c>
      <c r="M39" s="238">
        <v>0</v>
      </c>
      <c r="N39" s="238">
        <v>0</v>
      </c>
      <c r="O39" s="238">
        <v>1912.75676278521</v>
      </c>
    </row>
    <row r="40" spans="1:15" s="237" customFormat="1" ht="12" x14ac:dyDescent="0.2">
      <c r="A40" s="235"/>
      <c r="B40" s="230"/>
      <c r="C40" s="236" t="s">
        <v>754</v>
      </c>
      <c r="F40" s="238">
        <v>10993.9240516141</v>
      </c>
      <c r="G40" s="238">
        <v>0.76544529920862803</v>
      </c>
      <c r="H40" s="238">
        <v>19.1361324802157</v>
      </c>
      <c r="I40" s="238">
        <v>4.12269071564101</v>
      </c>
      <c r="J40" s="238">
        <v>1228.56183326102</v>
      </c>
      <c r="K40" s="238">
        <v>0</v>
      </c>
      <c r="L40" s="238">
        <v>0</v>
      </c>
      <c r="M40" s="238">
        <v>0</v>
      </c>
      <c r="N40" s="238">
        <v>0</v>
      </c>
      <c r="O40" s="238">
        <v>12241.622017355299</v>
      </c>
    </row>
    <row r="41" spans="1:15" s="237" customFormat="1" ht="12" x14ac:dyDescent="0.2">
      <c r="A41" s="235"/>
      <c r="B41" s="230"/>
      <c r="C41" s="236" t="s">
        <v>755</v>
      </c>
      <c r="F41" s="238">
        <v>433.02161815565699</v>
      </c>
      <c r="G41" s="238">
        <v>0.29493740580834299</v>
      </c>
      <c r="H41" s="238">
        <v>7.37343514520858</v>
      </c>
      <c r="I41" s="238">
        <v>7.8680668263871906E-2</v>
      </c>
      <c r="J41" s="238">
        <v>23.446839142633799</v>
      </c>
      <c r="K41" s="238">
        <v>0</v>
      </c>
      <c r="L41" s="238">
        <v>0</v>
      </c>
      <c r="M41" s="238">
        <v>0</v>
      </c>
      <c r="N41" s="238">
        <v>0</v>
      </c>
      <c r="O41" s="238">
        <v>463.84189244349898</v>
      </c>
    </row>
    <row r="42" spans="1:15" s="237" customFormat="1" ht="12" x14ac:dyDescent="0.2">
      <c r="A42" s="235"/>
      <c r="B42" s="230"/>
      <c r="C42" s="236" t="s">
        <v>756</v>
      </c>
      <c r="F42" s="238">
        <v>6217.20420966251</v>
      </c>
      <c r="G42" s="238">
        <v>5.1552566258184003</v>
      </c>
      <c r="H42" s="238">
        <v>128.88141564546001</v>
      </c>
      <c r="I42" s="238">
        <v>0.82522214734356003</v>
      </c>
      <c r="J42" s="238">
        <v>245.916199908381</v>
      </c>
      <c r="K42" s="238">
        <v>0</v>
      </c>
      <c r="L42" s="238">
        <v>0</v>
      </c>
      <c r="M42" s="238">
        <v>0</v>
      </c>
      <c r="N42" s="238">
        <v>0</v>
      </c>
      <c r="O42" s="238">
        <v>6592.00182521635</v>
      </c>
    </row>
    <row r="43" spans="1:15" s="237" customFormat="1" ht="12" x14ac:dyDescent="0.2">
      <c r="A43" s="235"/>
      <c r="B43" s="230"/>
      <c r="C43" s="253" t="s">
        <v>757</v>
      </c>
      <c r="F43" s="238">
        <v>10950.987628000001</v>
      </c>
      <c r="G43" s="238">
        <v>10.95366289175</v>
      </c>
      <c r="H43" s="238">
        <v>273.84157229375</v>
      </c>
      <c r="I43" s="238">
        <v>0.29666066000000002</v>
      </c>
      <c r="J43" s="238">
        <v>88.404876680000001</v>
      </c>
      <c r="K43" s="238">
        <v>0</v>
      </c>
      <c r="L43" s="238">
        <v>0</v>
      </c>
      <c r="M43" s="238">
        <v>0</v>
      </c>
      <c r="N43" s="238">
        <v>0</v>
      </c>
      <c r="O43" s="238">
        <v>11313.2340769738</v>
      </c>
    </row>
    <row r="44" spans="1:15" s="240" customFormat="1" ht="12.75" x14ac:dyDescent="0.2">
      <c r="A44" s="224" t="s">
        <v>758</v>
      </c>
      <c r="B44" s="225" t="s">
        <v>759</v>
      </c>
      <c r="C44" s="225"/>
      <c r="F44" s="226">
        <v>16232.248753932099</v>
      </c>
      <c r="G44" s="226">
        <v>2143.2520999865501</v>
      </c>
      <c r="H44" s="226">
        <v>53581.302499663798</v>
      </c>
      <c r="I44" s="226">
        <v>0.12571153542381699</v>
      </c>
      <c r="J44" s="226">
        <v>37.462037556297403</v>
      </c>
      <c r="K44" s="226">
        <v>0</v>
      </c>
      <c r="L44" s="226">
        <v>0</v>
      </c>
      <c r="M44" s="226">
        <v>0</v>
      </c>
      <c r="N44" s="226">
        <v>0</v>
      </c>
      <c r="O44" s="226">
        <v>69851.013291152194</v>
      </c>
    </row>
    <row r="45" spans="1:15" s="234" customFormat="1" ht="12.75" x14ac:dyDescent="0.2">
      <c r="A45" s="228"/>
      <c r="B45" s="229" t="s">
        <v>760</v>
      </c>
      <c r="C45" s="229"/>
      <c r="F45" s="231">
        <v>0</v>
      </c>
      <c r="G45" s="231">
        <v>68.765509407888402</v>
      </c>
      <c r="H45" s="231">
        <v>1719.1377351972101</v>
      </c>
      <c r="I45" s="231">
        <v>0</v>
      </c>
      <c r="J45" s="231">
        <v>0</v>
      </c>
      <c r="K45" s="231">
        <v>0</v>
      </c>
      <c r="L45" s="231">
        <v>0</v>
      </c>
      <c r="M45" s="231">
        <v>0</v>
      </c>
      <c r="N45" s="231">
        <v>0</v>
      </c>
      <c r="O45" s="231">
        <v>1719.1377351972101</v>
      </c>
    </row>
    <row r="46" spans="1:15" s="234" customFormat="1" ht="12.75" x14ac:dyDescent="0.2">
      <c r="A46" s="228"/>
      <c r="B46" s="229" t="s">
        <v>761</v>
      </c>
      <c r="C46" s="229"/>
      <c r="F46" s="231">
        <v>16232.248753932099</v>
      </c>
      <c r="G46" s="231">
        <v>2074.4865905786601</v>
      </c>
      <c r="H46" s="231">
        <v>51862.164764466601</v>
      </c>
      <c r="I46" s="231">
        <v>0.12571153542381699</v>
      </c>
      <c r="J46" s="231">
        <v>37.462037556297403</v>
      </c>
      <c r="K46" s="231">
        <v>0</v>
      </c>
      <c r="L46" s="231">
        <v>0</v>
      </c>
      <c r="M46" s="231">
        <v>0</v>
      </c>
      <c r="N46" s="231">
        <v>0</v>
      </c>
      <c r="O46" s="231">
        <v>68131.875555954903</v>
      </c>
    </row>
    <row r="47" spans="1:15" s="237" customFormat="1" ht="12" x14ac:dyDescent="0.2">
      <c r="A47" s="254"/>
      <c r="B47" s="255"/>
      <c r="C47" s="230" t="s">
        <v>762</v>
      </c>
      <c r="F47" s="238">
        <v>128.35587548708401</v>
      </c>
      <c r="G47" s="238">
        <v>252.148380669316</v>
      </c>
      <c r="H47" s="238">
        <v>6303.7095167328998</v>
      </c>
      <c r="I47" s="238">
        <v>0.115</v>
      </c>
      <c r="J47" s="238">
        <v>34.270000000000003</v>
      </c>
      <c r="K47" s="238">
        <v>0</v>
      </c>
      <c r="L47" s="238">
        <v>0</v>
      </c>
      <c r="M47" s="238">
        <v>0</v>
      </c>
      <c r="N47" s="238">
        <v>0</v>
      </c>
      <c r="O47" s="238">
        <v>6466.3353922199803</v>
      </c>
    </row>
    <row r="48" spans="1:15" s="237" customFormat="1" ht="12" x14ac:dyDescent="0.2">
      <c r="A48" s="254"/>
      <c r="B48" s="255"/>
      <c r="C48" s="230" t="s">
        <v>763</v>
      </c>
      <c r="F48" s="238">
        <v>53.911674870434403</v>
      </c>
      <c r="G48" s="238">
        <v>698.78572759410304</v>
      </c>
      <c r="H48" s="238">
        <v>17469.643189852599</v>
      </c>
      <c r="I48" s="238">
        <v>0</v>
      </c>
      <c r="J48" s="238">
        <v>0</v>
      </c>
      <c r="K48" s="238">
        <v>0</v>
      </c>
      <c r="L48" s="238">
        <v>0</v>
      </c>
      <c r="M48" s="238">
        <v>0</v>
      </c>
      <c r="N48" s="238">
        <v>0</v>
      </c>
      <c r="O48" s="238">
        <v>17523.554864722999</v>
      </c>
    </row>
    <row r="49" spans="1:16" s="237" customFormat="1" ht="12" x14ac:dyDescent="0.2">
      <c r="A49" s="256"/>
      <c r="B49" s="257"/>
      <c r="C49" s="258" t="s">
        <v>380</v>
      </c>
      <c r="D49" s="243"/>
      <c r="E49" s="243"/>
      <c r="F49" s="244">
        <v>10488.02628276</v>
      </c>
      <c r="G49" s="244">
        <v>1116.60191749757</v>
      </c>
      <c r="H49" s="244">
        <v>27915.0479374393</v>
      </c>
      <c r="I49" s="244">
        <v>0</v>
      </c>
      <c r="J49" s="244">
        <v>0</v>
      </c>
      <c r="K49" s="244">
        <v>0</v>
      </c>
      <c r="L49" s="244">
        <v>0</v>
      </c>
      <c r="M49" s="244">
        <v>0</v>
      </c>
      <c r="N49" s="244">
        <v>0</v>
      </c>
      <c r="O49" s="244">
        <v>38403.074220199298</v>
      </c>
    </row>
    <row r="50" spans="1:16" s="237" customFormat="1" ht="12" x14ac:dyDescent="0.2">
      <c r="A50" s="256"/>
      <c r="B50" s="257"/>
      <c r="C50" s="258" t="s">
        <v>381</v>
      </c>
      <c r="D50" s="243"/>
      <c r="E50" s="243"/>
      <c r="F50" s="244">
        <v>5561.9549208145099</v>
      </c>
      <c r="G50" s="244">
        <v>6.9505648176736301</v>
      </c>
      <c r="H50" s="244">
        <v>173.76412044184099</v>
      </c>
      <c r="I50" s="244">
        <v>1.0711535423816801E-2</v>
      </c>
      <c r="J50" s="244">
        <v>3.1920375562973899</v>
      </c>
      <c r="K50" s="244">
        <v>0</v>
      </c>
      <c r="L50" s="244">
        <v>0</v>
      </c>
      <c r="M50" s="244">
        <v>0</v>
      </c>
      <c r="N50" s="244">
        <v>0</v>
      </c>
      <c r="O50" s="244">
        <v>5738.91107881265</v>
      </c>
    </row>
    <row r="51" spans="1:16" s="237" customFormat="1" ht="14.25" x14ac:dyDescent="0.25">
      <c r="A51" s="259" t="s">
        <v>764</v>
      </c>
      <c r="B51" s="260" t="s">
        <v>765</v>
      </c>
      <c r="C51" s="260"/>
      <c r="D51" s="261"/>
      <c r="E51" s="261"/>
      <c r="F51" s="262">
        <v>8.5400000000000004E-2</v>
      </c>
      <c r="G51" s="262">
        <v>0</v>
      </c>
      <c r="H51" s="262">
        <v>0</v>
      </c>
      <c r="I51" s="262">
        <v>0</v>
      </c>
      <c r="J51" s="262">
        <v>0</v>
      </c>
      <c r="K51" s="262">
        <v>0</v>
      </c>
      <c r="L51" s="262">
        <v>0</v>
      </c>
      <c r="M51" s="262">
        <v>0</v>
      </c>
      <c r="N51" s="262">
        <v>0</v>
      </c>
      <c r="O51" s="262">
        <v>8.5400000000000004E-2</v>
      </c>
    </row>
    <row r="52" spans="1:16" s="267" customFormat="1" ht="12.75" x14ac:dyDescent="0.2">
      <c r="A52" s="263" t="s">
        <v>766</v>
      </c>
      <c r="B52" s="263"/>
      <c r="C52" s="264"/>
      <c r="D52" s="265"/>
      <c r="E52" s="265"/>
      <c r="F52" s="266">
        <v>39012.237342759901</v>
      </c>
      <c r="G52" s="266">
        <v>4.4483715114684701</v>
      </c>
      <c r="H52" s="266">
        <v>111.209287786712</v>
      </c>
      <c r="I52" s="266">
        <v>8.3683489716730008</v>
      </c>
      <c r="J52" s="266">
        <v>2493.7679935585502</v>
      </c>
      <c r="K52" s="266">
        <v>2754.8420398359299</v>
      </c>
      <c r="L52" s="266">
        <v>4985.5674559146701</v>
      </c>
      <c r="M52" s="266">
        <v>2902.9634956264499</v>
      </c>
      <c r="N52" s="266">
        <v>0.23774952266666699</v>
      </c>
      <c r="O52" s="266">
        <v>52260.825365004799</v>
      </c>
    </row>
    <row r="53" spans="1:16" s="240" customFormat="1" ht="12.75" x14ac:dyDescent="0.2">
      <c r="A53" s="224" t="s">
        <v>724</v>
      </c>
      <c r="B53" s="225" t="s">
        <v>767</v>
      </c>
      <c r="C53" s="225"/>
      <c r="D53" s="268"/>
      <c r="E53" s="268"/>
      <c r="F53" s="269">
        <v>9950.1471940674692</v>
      </c>
      <c r="G53" s="269">
        <v>0</v>
      </c>
      <c r="H53" s="269">
        <v>0</v>
      </c>
      <c r="I53" s="269">
        <v>0</v>
      </c>
      <c r="J53" s="269">
        <v>0</v>
      </c>
      <c r="K53" s="269">
        <v>0</v>
      </c>
      <c r="L53" s="269">
        <v>0</v>
      </c>
      <c r="M53" s="269">
        <v>0</v>
      </c>
      <c r="N53" s="269">
        <v>0</v>
      </c>
      <c r="O53" s="269">
        <v>9950.1471940674692</v>
      </c>
    </row>
    <row r="54" spans="1:16" s="273" customFormat="1" ht="12" x14ac:dyDescent="0.2">
      <c r="A54" s="235"/>
      <c r="B54" s="270"/>
      <c r="C54" s="236" t="s">
        <v>560</v>
      </c>
      <c r="D54" s="271"/>
      <c r="E54" s="271"/>
      <c r="F54" s="272">
        <v>7171.44035118383</v>
      </c>
      <c r="G54" s="272">
        <v>0</v>
      </c>
      <c r="H54" s="272">
        <v>0</v>
      </c>
      <c r="I54" s="272">
        <v>0</v>
      </c>
      <c r="J54" s="272">
        <v>0</v>
      </c>
      <c r="K54" s="272">
        <v>0</v>
      </c>
      <c r="L54" s="272">
        <v>0</v>
      </c>
      <c r="M54" s="272">
        <v>0</v>
      </c>
      <c r="N54" s="272">
        <v>0</v>
      </c>
      <c r="O54" s="272">
        <v>7171.44035118383</v>
      </c>
      <c r="P54" s="271"/>
    </row>
    <row r="55" spans="1:16" s="273" customFormat="1" ht="12" x14ac:dyDescent="0.2">
      <c r="A55" s="235"/>
      <c r="B55" s="270"/>
      <c r="C55" s="236" t="s">
        <v>191</v>
      </c>
      <c r="D55" s="271"/>
      <c r="E55" s="271"/>
      <c r="F55" s="272">
        <v>1870.35421094613</v>
      </c>
      <c r="G55" s="272">
        <v>0</v>
      </c>
      <c r="H55" s="272">
        <v>0</v>
      </c>
      <c r="I55" s="272">
        <v>0</v>
      </c>
      <c r="J55" s="272">
        <v>0</v>
      </c>
      <c r="K55" s="272">
        <v>0</v>
      </c>
      <c r="L55" s="272">
        <v>0</v>
      </c>
      <c r="M55" s="272">
        <v>0</v>
      </c>
      <c r="N55" s="272">
        <v>0</v>
      </c>
      <c r="O55" s="272">
        <v>1870.35421094613</v>
      </c>
      <c r="P55" s="271"/>
    </row>
    <row r="56" spans="1:16" s="273" customFormat="1" ht="12" x14ac:dyDescent="0.2">
      <c r="A56" s="235"/>
      <c r="B56" s="270"/>
      <c r="C56" s="236" t="s">
        <v>768</v>
      </c>
      <c r="D56" s="271"/>
      <c r="E56" s="271"/>
      <c r="F56" s="272">
        <v>908.35263193751302</v>
      </c>
      <c r="G56" s="272">
        <v>0</v>
      </c>
      <c r="H56" s="272">
        <v>0</v>
      </c>
      <c r="I56" s="272">
        <v>0</v>
      </c>
      <c r="J56" s="272">
        <v>0</v>
      </c>
      <c r="K56" s="272">
        <v>0</v>
      </c>
      <c r="L56" s="272">
        <v>0</v>
      </c>
      <c r="M56" s="272">
        <v>0</v>
      </c>
      <c r="N56" s="272">
        <v>0</v>
      </c>
      <c r="O56" s="272">
        <v>908.35263193751302</v>
      </c>
      <c r="P56" s="271"/>
    </row>
    <row r="57" spans="1:16" s="275" customFormat="1" ht="12.75" x14ac:dyDescent="0.2">
      <c r="A57" s="224" t="s">
        <v>737</v>
      </c>
      <c r="B57" s="225" t="s">
        <v>769</v>
      </c>
      <c r="C57" s="225"/>
      <c r="D57" s="274"/>
      <c r="E57" s="274"/>
      <c r="F57" s="269">
        <v>5823.8539078759004</v>
      </c>
      <c r="G57" s="269">
        <v>4.3447935114684704</v>
      </c>
      <c r="H57" s="269">
        <v>108.619837786712</v>
      </c>
      <c r="I57" s="269">
        <v>6.9180246222852402</v>
      </c>
      <c r="J57" s="269">
        <v>2061.5713374410002</v>
      </c>
      <c r="K57" s="269">
        <v>0</v>
      </c>
      <c r="L57" s="269">
        <v>0</v>
      </c>
      <c r="M57" s="269">
        <v>0</v>
      </c>
      <c r="N57" s="269">
        <v>0</v>
      </c>
      <c r="O57" s="269">
        <v>7994.0450831036096</v>
      </c>
      <c r="P57" s="274"/>
    </row>
    <row r="58" spans="1:16" s="277" customFormat="1" ht="12" x14ac:dyDescent="0.2">
      <c r="A58" s="235"/>
      <c r="B58" s="270"/>
      <c r="C58" s="236" t="s">
        <v>192</v>
      </c>
      <c r="D58" s="276"/>
      <c r="E58" s="276"/>
      <c r="F58" s="272">
        <v>2957.32893863032</v>
      </c>
      <c r="G58" s="272">
        <v>0</v>
      </c>
      <c r="H58" s="272">
        <v>0</v>
      </c>
      <c r="I58" s="272">
        <v>0</v>
      </c>
      <c r="J58" s="272">
        <v>0</v>
      </c>
      <c r="K58" s="272">
        <v>0</v>
      </c>
      <c r="L58" s="272">
        <v>0</v>
      </c>
      <c r="M58" s="272">
        <v>0</v>
      </c>
      <c r="N58" s="272">
        <v>0</v>
      </c>
      <c r="O58" s="272">
        <v>2957.32893863032</v>
      </c>
      <c r="P58" s="276"/>
    </row>
    <row r="59" spans="1:16" s="277" customFormat="1" ht="12" x14ac:dyDescent="0.2">
      <c r="A59" s="235"/>
      <c r="B59" s="270"/>
      <c r="C59" s="236" t="s">
        <v>190</v>
      </c>
      <c r="D59" s="276"/>
      <c r="E59" s="276"/>
      <c r="F59" s="272">
        <v>0</v>
      </c>
      <c r="G59" s="272">
        <v>0</v>
      </c>
      <c r="H59" s="272">
        <v>0</v>
      </c>
      <c r="I59" s="272">
        <v>3.9679271695264902</v>
      </c>
      <c r="J59" s="272">
        <v>1182.4422965188901</v>
      </c>
      <c r="K59" s="272">
        <v>0</v>
      </c>
      <c r="L59" s="272">
        <v>0</v>
      </c>
      <c r="M59" s="272">
        <v>0</v>
      </c>
      <c r="N59" s="272">
        <v>0</v>
      </c>
      <c r="O59" s="272">
        <v>1182.4422965188901</v>
      </c>
      <c r="P59" s="276"/>
    </row>
    <row r="60" spans="1:16" s="277" customFormat="1" ht="12" x14ac:dyDescent="0.2">
      <c r="A60" s="235"/>
      <c r="B60" s="270"/>
      <c r="C60" s="236" t="s">
        <v>770</v>
      </c>
      <c r="D60" s="276"/>
      <c r="E60" s="276"/>
      <c r="F60" s="272">
        <v>0</v>
      </c>
      <c r="G60" s="272">
        <v>0</v>
      </c>
      <c r="H60" s="272">
        <v>0</v>
      </c>
      <c r="I60" s="272">
        <v>2.9036599999999999</v>
      </c>
      <c r="J60" s="272">
        <v>865.29067999999995</v>
      </c>
      <c r="K60" s="272">
        <v>0</v>
      </c>
      <c r="L60" s="272">
        <v>0</v>
      </c>
      <c r="M60" s="272">
        <v>0</v>
      </c>
      <c r="N60" s="272">
        <v>0</v>
      </c>
      <c r="O60" s="272">
        <v>865.29067999999995</v>
      </c>
      <c r="P60" s="276"/>
    </row>
    <row r="61" spans="1:16" s="277" customFormat="1" ht="12" x14ac:dyDescent="0.2">
      <c r="A61" s="235"/>
      <c r="B61" s="270"/>
      <c r="C61" s="236" t="s">
        <v>771</v>
      </c>
      <c r="D61" s="276"/>
      <c r="E61" s="276"/>
      <c r="F61" s="272">
        <v>2866.52496924558</v>
      </c>
      <c r="G61" s="272">
        <v>4.3447935114684704</v>
      </c>
      <c r="H61" s="272">
        <v>108.619837786712</v>
      </c>
      <c r="I61" s="272">
        <v>4.6437452758751302E-2</v>
      </c>
      <c r="J61" s="272">
        <v>13.838360922107899</v>
      </c>
      <c r="K61" s="272">
        <v>0</v>
      </c>
      <c r="L61" s="272">
        <v>0</v>
      </c>
      <c r="M61" s="272">
        <v>0</v>
      </c>
      <c r="N61" s="272">
        <v>0</v>
      </c>
      <c r="O61" s="272">
        <v>2988.9831679544</v>
      </c>
      <c r="P61" s="276"/>
    </row>
    <row r="62" spans="1:16" s="240" customFormat="1" ht="12.75" x14ac:dyDescent="0.2">
      <c r="A62" s="224" t="s">
        <v>758</v>
      </c>
      <c r="B62" s="225" t="s">
        <v>772</v>
      </c>
      <c r="C62" s="225"/>
      <c r="D62" s="268"/>
      <c r="E62" s="268"/>
      <c r="F62" s="269">
        <v>15712.5369256015</v>
      </c>
      <c r="G62" s="269">
        <v>0.103578</v>
      </c>
      <c r="H62" s="269">
        <v>2.5894499999999998</v>
      </c>
      <c r="I62" s="269">
        <v>0</v>
      </c>
      <c r="J62" s="269">
        <v>0</v>
      </c>
      <c r="K62" s="269">
        <v>0</v>
      </c>
      <c r="L62" s="269">
        <v>4948.4481102356403</v>
      </c>
      <c r="M62" s="269">
        <v>2701.3155738569899</v>
      </c>
      <c r="N62" s="269">
        <v>0</v>
      </c>
      <c r="O62" s="269">
        <v>23364.890059694098</v>
      </c>
      <c r="P62" s="268"/>
    </row>
    <row r="63" spans="1:16" s="273" customFormat="1" ht="12" x14ac:dyDescent="0.2">
      <c r="A63" s="235"/>
      <c r="B63" s="230"/>
      <c r="C63" s="230" t="s">
        <v>773</v>
      </c>
      <c r="D63" s="271"/>
      <c r="E63" s="271"/>
      <c r="F63" s="272">
        <v>11813.5285013348</v>
      </c>
      <c r="G63" s="272">
        <v>0.103578</v>
      </c>
      <c r="H63" s="272">
        <v>2.5894499999999998</v>
      </c>
      <c r="I63" s="272">
        <v>0</v>
      </c>
      <c r="J63" s="272">
        <v>0</v>
      </c>
      <c r="K63" s="272">
        <v>0</v>
      </c>
      <c r="L63" s="272">
        <v>0</v>
      </c>
      <c r="M63" s="272">
        <v>0</v>
      </c>
      <c r="N63" s="272">
        <v>0</v>
      </c>
      <c r="O63" s="272">
        <v>11816.1179513348</v>
      </c>
      <c r="P63" s="271"/>
    </row>
    <row r="64" spans="1:16" s="273" customFormat="1" ht="12" x14ac:dyDescent="0.2">
      <c r="A64" s="235"/>
      <c r="B64" s="230"/>
      <c r="C64" s="230" t="s">
        <v>252</v>
      </c>
      <c r="D64" s="271"/>
      <c r="E64" s="271"/>
      <c r="F64" s="272">
        <v>3899.0084242666499</v>
      </c>
      <c r="G64" s="272">
        <v>0</v>
      </c>
      <c r="H64" s="272">
        <v>0</v>
      </c>
      <c r="I64" s="272">
        <v>0</v>
      </c>
      <c r="J64" s="272">
        <v>0</v>
      </c>
      <c r="K64" s="272">
        <v>0</v>
      </c>
      <c r="L64" s="272">
        <v>4948.4481102356403</v>
      </c>
      <c r="M64" s="272">
        <v>45.125202878661099</v>
      </c>
      <c r="N64" s="272">
        <v>0</v>
      </c>
      <c r="O64" s="272">
        <v>8892.5817373809496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2656.1903709783301</v>
      </c>
      <c r="N65" s="272">
        <v>0</v>
      </c>
      <c r="O65" s="272">
        <v>2656.1903709783301</v>
      </c>
      <c r="P65" s="271"/>
    </row>
    <row r="66" spans="1:16" s="234" customFormat="1" x14ac:dyDescent="0.25">
      <c r="A66" s="278" t="s">
        <v>764</v>
      </c>
      <c r="B66" s="279" t="s">
        <v>775</v>
      </c>
      <c r="C66" s="279"/>
      <c r="D66" s="251"/>
      <c r="E66" s="251"/>
      <c r="F66" s="252">
        <v>0</v>
      </c>
      <c r="G66" s="252">
        <v>0</v>
      </c>
      <c r="H66" s="252">
        <v>0</v>
      </c>
      <c r="I66" s="252">
        <v>0</v>
      </c>
      <c r="J66" s="252">
        <v>0</v>
      </c>
      <c r="K66" s="252">
        <v>2754.8420398359299</v>
      </c>
      <c r="L66" s="252">
        <v>35.539128793986499</v>
      </c>
      <c r="M66" s="252">
        <v>2.89346611612903</v>
      </c>
      <c r="N66" s="252">
        <v>0.23774952266666699</v>
      </c>
      <c r="O66" s="252">
        <v>2793.5123842687099</v>
      </c>
      <c r="P66" s="251"/>
    </row>
    <row r="67" spans="1:16" s="234" customFormat="1" ht="12.75" x14ac:dyDescent="0.2">
      <c r="A67" s="278" t="s">
        <v>776</v>
      </c>
      <c r="B67" s="279" t="s">
        <v>777</v>
      </c>
      <c r="C67" s="279"/>
      <c r="D67" s="251"/>
      <c r="E67" s="251"/>
      <c r="F67" s="252">
        <v>7525.6993152150299</v>
      </c>
      <c r="G67" s="252">
        <v>0</v>
      </c>
      <c r="H67" s="252">
        <v>0</v>
      </c>
      <c r="I67" s="252">
        <v>0</v>
      </c>
      <c r="J67" s="252">
        <v>0</v>
      </c>
      <c r="K67" s="252">
        <v>0</v>
      </c>
      <c r="L67" s="252">
        <v>0</v>
      </c>
      <c r="M67" s="252">
        <v>0</v>
      </c>
      <c r="N67" s="252">
        <v>0</v>
      </c>
      <c r="O67" s="252">
        <v>7525.6993152150299</v>
      </c>
      <c r="P67" s="251"/>
    </row>
    <row r="68" spans="1:16" s="234" customFormat="1" ht="12.75" x14ac:dyDescent="0.2">
      <c r="A68" s="259" t="s">
        <v>778</v>
      </c>
      <c r="B68" s="260" t="s">
        <v>779</v>
      </c>
      <c r="C68" s="260"/>
      <c r="D68" s="280"/>
      <c r="E68" s="280"/>
      <c r="F68" s="281">
        <v>0</v>
      </c>
      <c r="G68" s="281">
        <v>0</v>
      </c>
      <c r="H68" s="281">
        <v>0</v>
      </c>
      <c r="I68" s="281">
        <v>1.45032434938776</v>
      </c>
      <c r="J68" s="281">
        <v>432.19665611755102</v>
      </c>
      <c r="K68" s="281">
        <v>0</v>
      </c>
      <c r="L68" s="281">
        <v>1.58021688504785</v>
      </c>
      <c r="M68" s="281">
        <v>198.75445565333101</v>
      </c>
      <c r="N68" s="281">
        <v>0</v>
      </c>
      <c r="O68" s="281">
        <v>632.53132865593</v>
      </c>
      <c r="P68" s="251"/>
    </row>
    <row r="69" spans="1:16" s="267" customFormat="1" ht="12.75" x14ac:dyDescent="0.2">
      <c r="A69" s="282" t="s">
        <v>780</v>
      </c>
      <c r="B69" s="283"/>
      <c r="C69" s="283"/>
      <c r="D69" s="284"/>
      <c r="E69" s="284"/>
      <c r="F69" s="285">
        <v>1635.6698277333301</v>
      </c>
      <c r="G69" s="285">
        <v>1298.8173151798601</v>
      </c>
      <c r="H69" s="285">
        <v>32470.4328794965</v>
      </c>
      <c r="I69" s="285">
        <v>80.005421430265599</v>
      </c>
      <c r="J69" s="285">
        <v>23841.615586219199</v>
      </c>
      <c r="K69" s="285">
        <v>0</v>
      </c>
      <c r="L69" s="285">
        <v>0</v>
      </c>
      <c r="M69" s="285">
        <v>0</v>
      </c>
      <c r="N69" s="285">
        <v>0</v>
      </c>
      <c r="O69" s="285">
        <v>57947.718293448997</v>
      </c>
      <c r="P69" s="265"/>
    </row>
    <row r="70" spans="1:16" s="234" customFormat="1" ht="12.75" x14ac:dyDescent="0.2">
      <c r="A70" s="278" t="s">
        <v>724</v>
      </c>
      <c r="B70" s="279" t="s">
        <v>27</v>
      </c>
      <c r="C70" s="279"/>
      <c r="D70" s="251"/>
      <c r="E70" s="251"/>
      <c r="F70" s="252">
        <v>0</v>
      </c>
      <c r="G70" s="252">
        <v>1136.4028494279701</v>
      </c>
      <c r="H70" s="252">
        <v>28410.071235699299</v>
      </c>
      <c r="I70" s="252">
        <v>0</v>
      </c>
      <c r="J70" s="252">
        <v>0</v>
      </c>
      <c r="K70" s="252">
        <v>0</v>
      </c>
      <c r="L70" s="252">
        <v>0</v>
      </c>
      <c r="M70" s="252">
        <v>0</v>
      </c>
      <c r="N70" s="252">
        <v>0</v>
      </c>
      <c r="O70" s="252">
        <v>28410.071235699299</v>
      </c>
      <c r="P70" s="251"/>
    </row>
    <row r="71" spans="1:16" s="234" customFormat="1" ht="12.75" x14ac:dyDescent="0.2">
      <c r="A71" s="278" t="s">
        <v>737</v>
      </c>
      <c r="B71" s="279" t="s">
        <v>28</v>
      </c>
      <c r="C71" s="279"/>
      <c r="D71" s="251"/>
      <c r="E71" s="251"/>
      <c r="F71" s="252">
        <v>0</v>
      </c>
      <c r="G71" s="252">
        <v>158.34593868950401</v>
      </c>
      <c r="H71" s="252">
        <v>3958.6484672376</v>
      </c>
      <c r="I71" s="252">
        <v>17.148758276296402</v>
      </c>
      <c r="J71" s="252">
        <v>5110.3299663363296</v>
      </c>
      <c r="K71" s="252">
        <v>0</v>
      </c>
      <c r="L71" s="252">
        <v>0</v>
      </c>
      <c r="M71" s="252">
        <v>0</v>
      </c>
      <c r="N71" s="252">
        <v>0</v>
      </c>
      <c r="O71" s="252">
        <v>9068.9784335739296</v>
      </c>
      <c r="P71" s="251"/>
    </row>
    <row r="72" spans="1:16" s="234" customFormat="1" ht="12.75" x14ac:dyDescent="0.2">
      <c r="A72" s="224" t="s">
        <v>758</v>
      </c>
      <c r="B72" s="225" t="s">
        <v>781</v>
      </c>
      <c r="C72" s="225"/>
      <c r="F72" s="231">
        <v>0</v>
      </c>
      <c r="G72" s="231">
        <v>0</v>
      </c>
      <c r="H72" s="231">
        <v>0</v>
      </c>
      <c r="I72" s="231">
        <v>62.7511828227222</v>
      </c>
      <c r="J72" s="231">
        <v>18699.852481171201</v>
      </c>
      <c r="K72" s="231">
        <v>0</v>
      </c>
      <c r="L72" s="231">
        <v>0</v>
      </c>
      <c r="M72" s="231">
        <v>0</v>
      </c>
      <c r="N72" s="231">
        <v>0</v>
      </c>
      <c r="O72" s="231">
        <v>18699.852481171201</v>
      </c>
    </row>
    <row r="73" spans="1:16" s="237" customFormat="1" ht="12" x14ac:dyDescent="0.2">
      <c r="A73" s="286"/>
      <c r="B73" s="258"/>
      <c r="C73" s="258" t="s">
        <v>782</v>
      </c>
      <c r="D73" s="243"/>
      <c r="E73" s="243"/>
      <c r="F73" s="244">
        <v>0</v>
      </c>
      <c r="G73" s="244">
        <v>0</v>
      </c>
      <c r="H73" s="244">
        <v>0</v>
      </c>
      <c r="I73" s="244">
        <v>51.663044360827101</v>
      </c>
      <c r="J73" s="244">
        <v>15395.5872195265</v>
      </c>
      <c r="K73" s="244">
        <v>0</v>
      </c>
      <c r="L73" s="244">
        <v>0</v>
      </c>
      <c r="M73" s="244">
        <v>0</v>
      </c>
      <c r="N73" s="244">
        <v>0</v>
      </c>
      <c r="O73" s="244">
        <v>15395.5872195265</v>
      </c>
    </row>
    <row r="74" spans="1:16" s="237" customFormat="1" ht="12" x14ac:dyDescent="0.2">
      <c r="A74" s="286"/>
      <c r="B74" s="258"/>
      <c r="C74" s="258" t="s">
        <v>783</v>
      </c>
      <c r="D74" s="243"/>
      <c r="E74" s="243"/>
      <c r="F74" s="244">
        <v>0</v>
      </c>
      <c r="G74" s="244">
        <v>0</v>
      </c>
      <c r="H74" s="244">
        <v>0</v>
      </c>
      <c r="I74" s="244">
        <v>11.088138461895101</v>
      </c>
      <c r="J74" s="244">
        <v>3304.2652616447399</v>
      </c>
      <c r="K74" s="244">
        <v>0</v>
      </c>
      <c r="L74" s="244">
        <v>0</v>
      </c>
      <c r="M74" s="244">
        <v>0</v>
      </c>
      <c r="N74" s="244">
        <v>0</v>
      </c>
      <c r="O74" s="244">
        <v>3304.2652616447399</v>
      </c>
    </row>
    <row r="75" spans="1:16" s="234" customFormat="1" ht="12.75" x14ac:dyDescent="0.2">
      <c r="A75" s="278" t="s">
        <v>764</v>
      </c>
      <c r="B75" s="279" t="s">
        <v>193</v>
      </c>
      <c r="C75" s="287"/>
      <c r="D75" s="251"/>
      <c r="E75" s="251"/>
      <c r="F75" s="252">
        <v>0</v>
      </c>
      <c r="G75" s="252">
        <v>4.0685270623839402</v>
      </c>
      <c r="H75" s="252">
        <v>101.713176559598</v>
      </c>
      <c r="I75" s="252">
        <v>0.10548033124699099</v>
      </c>
      <c r="J75" s="252">
        <v>31.433138711603299</v>
      </c>
      <c r="K75" s="252">
        <v>0</v>
      </c>
      <c r="L75" s="252">
        <v>0</v>
      </c>
      <c r="M75" s="252">
        <v>0</v>
      </c>
      <c r="N75" s="252">
        <v>0</v>
      </c>
      <c r="O75" s="252">
        <v>133.14631527120201</v>
      </c>
    </row>
    <row r="76" spans="1:16" s="234" customFormat="1" ht="12.75" x14ac:dyDescent="0.2">
      <c r="A76" s="259" t="s">
        <v>776</v>
      </c>
      <c r="B76" s="260" t="s">
        <v>784</v>
      </c>
      <c r="C76" s="288"/>
      <c r="D76" s="280"/>
      <c r="E76" s="280"/>
      <c r="F76" s="281">
        <v>1635.6698277333301</v>
      </c>
      <c r="G76" s="281">
        <v>0</v>
      </c>
      <c r="H76" s="281">
        <v>0</v>
      </c>
      <c r="I76" s="281">
        <v>0</v>
      </c>
      <c r="J76" s="281">
        <v>0</v>
      </c>
      <c r="K76" s="281">
        <v>0</v>
      </c>
      <c r="L76" s="281">
        <v>0</v>
      </c>
      <c r="M76" s="281">
        <v>0</v>
      </c>
      <c r="N76" s="281">
        <v>0</v>
      </c>
      <c r="O76" s="281">
        <v>1635.6698277333301</v>
      </c>
    </row>
    <row r="77" spans="1:16" s="234" customFormat="1" ht="12.75" x14ac:dyDescent="0.2">
      <c r="A77" s="220" t="s">
        <v>785</v>
      </c>
      <c r="B77" s="289"/>
      <c r="C77" s="289"/>
      <c r="F77" s="223">
        <v>539.37853013999995</v>
      </c>
      <c r="G77" s="223">
        <v>961.58343035999997</v>
      </c>
      <c r="H77" s="223">
        <v>24039.585759000001</v>
      </c>
      <c r="I77" s="223">
        <v>4.0413131900000003</v>
      </c>
      <c r="J77" s="223">
        <v>1204.31133062</v>
      </c>
      <c r="K77" s="223">
        <v>0</v>
      </c>
      <c r="L77" s="223">
        <v>0</v>
      </c>
      <c r="M77" s="223">
        <v>0</v>
      </c>
      <c r="N77" s="223">
        <v>0</v>
      </c>
      <c r="O77" s="223">
        <v>25783.275619759999</v>
      </c>
    </row>
    <row r="78" spans="1:16" s="234" customFormat="1" ht="12.75" x14ac:dyDescent="0.2">
      <c r="A78" s="224" t="s">
        <v>724</v>
      </c>
      <c r="B78" s="225" t="s">
        <v>786</v>
      </c>
      <c r="C78" s="225"/>
      <c r="F78" s="231">
        <v>0</v>
      </c>
      <c r="G78" s="231">
        <v>925.28091200999995</v>
      </c>
      <c r="H78" s="231">
        <v>23132.022800250001</v>
      </c>
      <c r="I78" s="231">
        <v>0</v>
      </c>
      <c r="J78" s="231">
        <v>0</v>
      </c>
      <c r="K78" s="231">
        <v>0</v>
      </c>
      <c r="L78" s="231">
        <v>0</v>
      </c>
      <c r="M78" s="231">
        <v>0</v>
      </c>
      <c r="N78" s="231">
        <v>0</v>
      </c>
      <c r="O78" s="231">
        <v>23132.022800250001</v>
      </c>
    </row>
    <row r="79" spans="1:16" s="234" customFormat="1" ht="12.75" x14ac:dyDescent="0.2">
      <c r="A79" s="224" t="s">
        <v>737</v>
      </c>
      <c r="B79" s="225" t="s">
        <v>787</v>
      </c>
      <c r="C79" s="225"/>
      <c r="F79" s="231">
        <v>0</v>
      </c>
      <c r="G79" s="231">
        <v>22.231863239999999</v>
      </c>
      <c r="H79" s="231">
        <v>555.79658099999995</v>
      </c>
      <c r="I79" s="231">
        <v>1.3339117899999999</v>
      </c>
      <c r="J79" s="231">
        <v>397.50571342000001</v>
      </c>
      <c r="K79" s="231">
        <v>0</v>
      </c>
      <c r="L79" s="231">
        <v>0</v>
      </c>
      <c r="M79" s="231">
        <v>0</v>
      </c>
      <c r="N79" s="231">
        <v>0</v>
      </c>
      <c r="O79" s="231">
        <v>953.30229441999995</v>
      </c>
    </row>
    <row r="80" spans="1:16" s="234" customFormat="1" ht="12.75" x14ac:dyDescent="0.2">
      <c r="A80" s="278" t="s">
        <v>788</v>
      </c>
      <c r="B80" s="279" t="s">
        <v>789</v>
      </c>
      <c r="C80" s="279"/>
      <c r="D80" s="251"/>
      <c r="E80" s="251"/>
      <c r="F80" s="252">
        <v>0</v>
      </c>
      <c r="G80" s="252">
        <v>13.869251330000001</v>
      </c>
      <c r="H80" s="252">
        <v>346.73128324999999</v>
      </c>
      <c r="I80" s="252">
        <v>2.0261073700000001</v>
      </c>
      <c r="J80" s="252">
        <v>603.77999625999996</v>
      </c>
      <c r="K80" s="252">
        <v>0</v>
      </c>
      <c r="L80" s="252">
        <v>0</v>
      </c>
      <c r="M80" s="252">
        <v>0</v>
      </c>
      <c r="N80" s="252">
        <v>0</v>
      </c>
      <c r="O80" s="252">
        <v>950.51127951000001</v>
      </c>
    </row>
    <row r="81" spans="1:30" s="234" customFormat="1" ht="12.75" x14ac:dyDescent="0.2">
      <c r="A81" s="259" t="s">
        <v>764</v>
      </c>
      <c r="B81" s="260" t="s">
        <v>790</v>
      </c>
      <c r="C81" s="260"/>
      <c r="D81" s="280"/>
      <c r="E81" s="280"/>
      <c r="F81" s="281">
        <v>539.37853013999995</v>
      </c>
      <c r="G81" s="281">
        <v>0.20140378</v>
      </c>
      <c r="H81" s="281">
        <v>5.0350944999999996</v>
      </c>
      <c r="I81" s="281">
        <v>0.68129402999999999</v>
      </c>
      <c r="J81" s="281">
        <v>203.02562094000001</v>
      </c>
      <c r="K81" s="281">
        <v>0</v>
      </c>
      <c r="L81" s="281">
        <v>0</v>
      </c>
      <c r="M81" s="281">
        <v>0</v>
      </c>
      <c r="N81" s="281">
        <v>0</v>
      </c>
      <c r="O81" s="281">
        <v>747.43924558000003</v>
      </c>
    </row>
    <row r="82" spans="1:30" s="267" customFormat="1" ht="12.75" x14ac:dyDescent="0.2">
      <c r="A82" s="263" t="s">
        <v>791</v>
      </c>
      <c r="B82" s="264"/>
      <c r="C82" s="264"/>
      <c r="F82" s="223">
        <v>-64455.687210999997</v>
      </c>
      <c r="G82" s="223">
        <v>58.346015000000001</v>
      </c>
      <c r="H82" s="223">
        <v>1458.6503749999999</v>
      </c>
      <c r="I82" s="223">
        <v>1.9623189999999999</v>
      </c>
      <c r="J82" s="223">
        <v>584.77106200000003</v>
      </c>
      <c r="K82" s="223">
        <v>0</v>
      </c>
      <c r="L82" s="223">
        <v>0</v>
      </c>
      <c r="M82" s="223">
        <v>0</v>
      </c>
      <c r="N82" s="223">
        <v>0</v>
      </c>
      <c r="O82" s="223">
        <v>-62412.265774</v>
      </c>
    </row>
    <row r="83" spans="1:30" s="234" customFormat="1" ht="12.75" x14ac:dyDescent="0.2">
      <c r="A83" s="224" t="s">
        <v>724</v>
      </c>
      <c r="B83" s="225" t="s">
        <v>792</v>
      </c>
      <c r="C83" s="225"/>
      <c r="F83" s="231">
        <v>-222351.440149</v>
      </c>
      <c r="G83" s="231">
        <v>16.242014999999999</v>
      </c>
      <c r="H83" s="231">
        <v>406.05037499999997</v>
      </c>
      <c r="I83" s="231">
        <v>0.67800300000000002</v>
      </c>
      <c r="J83" s="231">
        <v>202.044894</v>
      </c>
      <c r="K83" s="231">
        <v>0</v>
      </c>
      <c r="L83" s="231">
        <v>0</v>
      </c>
      <c r="M83" s="231">
        <v>0</v>
      </c>
      <c r="N83" s="231">
        <v>0</v>
      </c>
      <c r="O83" s="231">
        <v>-221743.34487999999</v>
      </c>
    </row>
    <row r="84" spans="1:30" s="234" customFormat="1" ht="12.75" x14ac:dyDescent="0.2">
      <c r="A84" s="224" t="s">
        <v>737</v>
      </c>
      <c r="B84" s="225" t="s">
        <v>793</v>
      </c>
      <c r="C84" s="225"/>
      <c r="F84" s="231">
        <v>-4453.5217220000004</v>
      </c>
      <c r="G84" s="231">
        <v>5.3580930000000002</v>
      </c>
      <c r="H84" s="231">
        <v>133.952325</v>
      </c>
      <c r="I84" s="231">
        <v>0.26708700000000002</v>
      </c>
      <c r="J84" s="231">
        <v>79.591926000000001</v>
      </c>
      <c r="K84" s="231">
        <v>0</v>
      </c>
      <c r="L84" s="231">
        <v>0</v>
      </c>
      <c r="M84" s="231">
        <v>0</v>
      </c>
      <c r="N84" s="231">
        <v>0</v>
      </c>
      <c r="O84" s="231">
        <v>-4239.9774710000002</v>
      </c>
    </row>
    <row r="85" spans="1:30" s="234" customFormat="1" ht="12.75" x14ac:dyDescent="0.2">
      <c r="A85" s="278" t="s">
        <v>758</v>
      </c>
      <c r="B85" s="279" t="s">
        <v>794</v>
      </c>
      <c r="C85" s="279"/>
      <c r="F85" s="231">
        <v>0</v>
      </c>
      <c r="G85" s="231">
        <v>31.45674</v>
      </c>
      <c r="H85" s="231">
        <v>786.41849999999999</v>
      </c>
      <c r="I85" s="231">
        <v>0.81552000000000002</v>
      </c>
      <c r="J85" s="231">
        <v>243.02495999999999</v>
      </c>
      <c r="K85" s="231">
        <v>0</v>
      </c>
      <c r="L85" s="231">
        <v>0</v>
      </c>
      <c r="M85" s="231">
        <v>0</v>
      </c>
      <c r="N85" s="231">
        <v>0</v>
      </c>
      <c r="O85" s="231">
        <v>1029.44346</v>
      </c>
    </row>
    <row r="86" spans="1:30" s="234" customFormat="1" ht="12.75" x14ac:dyDescent="0.2">
      <c r="A86" s="278" t="s">
        <v>764</v>
      </c>
      <c r="B86" s="279" t="s">
        <v>795</v>
      </c>
      <c r="C86" s="279"/>
      <c r="F86" s="231">
        <v>2762.5850850000002</v>
      </c>
      <c r="G86" s="231">
        <v>0.36341299999999999</v>
      </c>
      <c r="H86" s="231">
        <v>9.0853249999999992</v>
      </c>
      <c r="I86" s="231">
        <v>2.094E-2</v>
      </c>
      <c r="J86" s="231">
        <v>6.2401200000000001</v>
      </c>
      <c r="K86" s="231">
        <v>0</v>
      </c>
      <c r="L86" s="231">
        <v>0</v>
      </c>
      <c r="M86" s="231">
        <v>0</v>
      </c>
      <c r="N86" s="231">
        <v>0</v>
      </c>
      <c r="O86" s="231">
        <v>2777.9105300000001</v>
      </c>
    </row>
    <row r="87" spans="1:30" s="234" customFormat="1" ht="12.75" x14ac:dyDescent="0.2">
      <c r="A87" s="278" t="s">
        <v>776</v>
      </c>
      <c r="B87" s="279" t="s">
        <v>796</v>
      </c>
      <c r="C87" s="279"/>
      <c r="D87" s="251"/>
      <c r="E87" s="251"/>
      <c r="F87" s="252">
        <v>3340.1477770000001</v>
      </c>
      <c r="G87" s="252">
        <v>4.9257540000000004</v>
      </c>
      <c r="H87" s="252">
        <v>123.14385</v>
      </c>
      <c r="I87" s="252">
        <v>0.18076900000000001</v>
      </c>
      <c r="J87" s="252">
        <v>53.869162000000003</v>
      </c>
      <c r="K87" s="252">
        <v>0</v>
      </c>
      <c r="L87" s="252">
        <v>0</v>
      </c>
      <c r="M87" s="252">
        <v>0</v>
      </c>
      <c r="N87" s="252">
        <v>0</v>
      </c>
      <c r="O87" s="252">
        <v>3517.160789</v>
      </c>
    </row>
    <row r="88" spans="1:30" s="234" customFormat="1" ht="12.75" x14ac:dyDescent="0.2">
      <c r="A88" s="259" t="s">
        <v>778</v>
      </c>
      <c r="B88" s="260" t="s">
        <v>797</v>
      </c>
      <c r="C88" s="260"/>
      <c r="D88" s="280"/>
      <c r="E88" s="280"/>
      <c r="F88" s="281">
        <v>156246.54179799999</v>
      </c>
      <c r="G88" s="281">
        <v>0</v>
      </c>
      <c r="H88" s="281">
        <v>0</v>
      </c>
      <c r="I88" s="281">
        <v>0</v>
      </c>
      <c r="J88" s="281">
        <v>0</v>
      </c>
      <c r="K88" s="281">
        <v>0</v>
      </c>
      <c r="L88" s="281">
        <v>0</v>
      </c>
      <c r="M88" s="281">
        <v>0</v>
      </c>
      <c r="N88" s="281">
        <v>0</v>
      </c>
      <c r="O88" s="281">
        <v>156246.54179799999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825</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548640.65703381004</v>
      </c>
      <c r="G7" s="218">
        <v>4716.4799950769502</v>
      </c>
      <c r="H7" s="218">
        <v>117911.999876924</v>
      </c>
      <c r="I7" s="218">
        <v>134.21941643486301</v>
      </c>
      <c r="J7" s="218">
        <v>39997.3860975891</v>
      </c>
      <c r="K7" s="218">
        <v>2160.3645210514101</v>
      </c>
      <c r="L7" s="218">
        <v>5371.7858918306802</v>
      </c>
      <c r="M7" s="218">
        <v>2410.1029335870198</v>
      </c>
      <c r="N7" s="218">
        <v>0.24641998533333401</v>
      </c>
      <c r="O7" s="218">
        <v>716492.54277477704</v>
      </c>
    </row>
    <row r="8" spans="1:16" ht="15.75" thickTop="1" x14ac:dyDescent="0.2">
      <c r="A8" s="220" t="s">
        <v>723</v>
      </c>
      <c r="B8" s="221"/>
      <c r="C8" s="221"/>
      <c r="F8" s="223">
        <v>507132.14072069101</v>
      </c>
      <c r="G8" s="223">
        <v>2478.6018418271101</v>
      </c>
      <c r="H8" s="223">
        <v>61965.046045677598</v>
      </c>
      <c r="I8" s="223">
        <v>39.366860496508203</v>
      </c>
      <c r="J8" s="223">
        <v>11731.3244279594</v>
      </c>
      <c r="K8" s="223">
        <v>0</v>
      </c>
      <c r="L8" s="223">
        <v>0</v>
      </c>
      <c r="M8" s="223">
        <v>0</v>
      </c>
      <c r="N8" s="223">
        <v>0</v>
      </c>
      <c r="O8" s="223">
        <v>580828.51119432796</v>
      </c>
    </row>
    <row r="9" spans="1:16" x14ac:dyDescent="0.2">
      <c r="A9" s="224" t="s">
        <v>724</v>
      </c>
      <c r="B9" s="225" t="s">
        <v>725</v>
      </c>
      <c r="C9" s="225"/>
      <c r="F9" s="226">
        <v>320255.32088918198</v>
      </c>
      <c r="G9" s="226">
        <v>283.541965154114</v>
      </c>
      <c r="H9" s="226">
        <v>7088.5491288528501</v>
      </c>
      <c r="I9" s="226">
        <v>8.9449481746879602</v>
      </c>
      <c r="J9" s="226">
        <v>2665.5945560570099</v>
      </c>
      <c r="K9" s="226">
        <v>0</v>
      </c>
      <c r="L9" s="226">
        <v>0</v>
      </c>
      <c r="M9" s="226">
        <v>0</v>
      </c>
      <c r="N9" s="226">
        <v>0</v>
      </c>
      <c r="O9" s="226">
        <v>330009.46457409201</v>
      </c>
      <c r="P9" s="227"/>
    </row>
    <row r="10" spans="1:16" x14ac:dyDescent="0.2">
      <c r="A10" s="228"/>
      <c r="B10" s="229" t="s">
        <v>726</v>
      </c>
      <c r="C10" s="230"/>
      <c r="F10" s="231">
        <v>118416.079541953</v>
      </c>
      <c r="G10" s="231">
        <v>4.0232002584940902</v>
      </c>
      <c r="H10" s="231">
        <v>100.580006462352</v>
      </c>
      <c r="I10" s="231">
        <v>2.2475978561841101</v>
      </c>
      <c r="J10" s="231">
        <v>669.78416114286495</v>
      </c>
      <c r="K10" s="231">
        <v>0</v>
      </c>
      <c r="L10" s="231">
        <v>0</v>
      </c>
      <c r="M10" s="231">
        <v>0</v>
      </c>
      <c r="N10" s="231">
        <v>0</v>
      </c>
      <c r="O10" s="231">
        <v>119186.443709559</v>
      </c>
    </row>
    <row r="11" spans="1:16" x14ac:dyDescent="0.2">
      <c r="A11" s="228"/>
      <c r="B11" s="232" t="s">
        <v>727</v>
      </c>
      <c r="C11" s="230"/>
      <c r="F11" s="231">
        <v>17210.789105343199</v>
      </c>
      <c r="G11" s="231">
        <v>0.41637402153624198</v>
      </c>
      <c r="H11" s="231">
        <v>10.409350538406001</v>
      </c>
      <c r="I11" s="231">
        <v>0.18267244226419299</v>
      </c>
      <c r="J11" s="231">
        <v>54.436387794729498</v>
      </c>
      <c r="K11" s="231">
        <v>0</v>
      </c>
      <c r="L11" s="231">
        <v>0</v>
      </c>
      <c r="M11" s="231">
        <v>0</v>
      </c>
      <c r="N11" s="231">
        <v>0</v>
      </c>
      <c r="O11" s="231">
        <v>17275.6348436763</v>
      </c>
    </row>
    <row r="12" spans="1:16" s="234" customFormat="1" ht="12.75" x14ac:dyDescent="0.2">
      <c r="A12" s="228"/>
      <c r="B12" s="232" t="s">
        <v>728</v>
      </c>
      <c r="C12" s="233"/>
      <c r="F12" s="231">
        <v>56376.607933188701</v>
      </c>
      <c r="G12" s="231">
        <v>110.379965599128</v>
      </c>
      <c r="H12" s="231">
        <v>2759.4991399782102</v>
      </c>
      <c r="I12" s="231">
        <v>1.3354384327193201</v>
      </c>
      <c r="J12" s="231">
        <v>397.96065295035601</v>
      </c>
      <c r="K12" s="231">
        <v>0</v>
      </c>
      <c r="L12" s="231">
        <v>0</v>
      </c>
      <c r="M12" s="231">
        <v>0</v>
      </c>
      <c r="N12" s="231">
        <v>0</v>
      </c>
      <c r="O12" s="231">
        <v>59534.067726117202</v>
      </c>
    </row>
    <row r="13" spans="1:16" s="234" customFormat="1" ht="12.75" x14ac:dyDescent="0.2">
      <c r="A13" s="228"/>
      <c r="B13" s="229" t="s">
        <v>729</v>
      </c>
      <c r="C13" s="229"/>
      <c r="F13" s="231">
        <v>55192.444097940897</v>
      </c>
      <c r="G13" s="231">
        <v>2.6088309594794299</v>
      </c>
      <c r="H13" s="231">
        <v>65.220773986985805</v>
      </c>
      <c r="I13" s="231">
        <v>2.0145029804532602</v>
      </c>
      <c r="J13" s="231">
        <v>600.32188817507097</v>
      </c>
      <c r="K13" s="231">
        <v>0</v>
      </c>
      <c r="L13" s="231">
        <v>0</v>
      </c>
      <c r="M13" s="231">
        <v>0</v>
      </c>
      <c r="N13" s="231">
        <v>0</v>
      </c>
      <c r="O13" s="231">
        <v>55857.986760102998</v>
      </c>
    </row>
    <row r="14" spans="1:16" s="237" customFormat="1" ht="12" x14ac:dyDescent="0.2">
      <c r="A14" s="235"/>
      <c r="B14" s="230"/>
      <c r="C14" s="236" t="s">
        <v>2</v>
      </c>
      <c r="F14" s="238">
        <v>6281.0359395692403</v>
      </c>
      <c r="G14" s="238">
        <v>0.16923701514357101</v>
      </c>
      <c r="H14" s="238">
        <v>4.2309253785892702</v>
      </c>
      <c r="I14" s="238">
        <v>0.145802404155077</v>
      </c>
      <c r="J14" s="238">
        <v>43.449116438212897</v>
      </c>
      <c r="K14" s="238">
        <v>0</v>
      </c>
      <c r="L14" s="238">
        <v>0</v>
      </c>
      <c r="M14" s="238">
        <v>0</v>
      </c>
      <c r="N14" s="238">
        <v>0</v>
      </c>
      <c r="O14" s="238">
        <v>6328.7159813860399</v>
      </c>
    </row>
    <row r="15" spans="1:16" s="237" customFormat="1" ht="12" x14ac:dyDescent="0.2">
      <c r="A15" s="235"/>
      <c r="B15" s="230"/>
      <c r="C15" s="236" t="s">
        <v>730</v>
      </c>
      <c r="F15" s="238">
        <v>3671.0899841639898</v>
      </c>
      <c r="G15" s="238">
        <v>6.9717825414287393E-2</v>
      </c>
      <c r="H15" s="238">
        <v>1.7429456353571899</v>
      </c>
      <c r="I15" s="238">
        <v>5.2876681559003103E-2</v>
      </c>
      <c r="J15" s="238">
        <v>15.757251104582901</v>
      </c>
      <c r="K15" s="238">
        <v>0</v>
      </c>
      <c r="L15" s="238">
        <v>0</v>
      </c>
      <c r="M15" s="238">
        <v>0</v>
      </c>
      <c r="N15" s="238">
        <v>0</v>
      </c>
      <c r="O15" s="238">
        <v>3688.5901809039301</v>
      </c>
    </row>
    <row r="16" spans="1:16" s="237" customFormat="1" ht="12" x14ac:dyDescent="0.2">
      <c r="A16" s="235"/>
      <c r="B16" s="230"/>
      <c r="C16" s="236" t="s">
        <v>731</v>
      </c>
      <c r="F16" s="238">
        <v>11093.657445733401</v>
      </c>
      <c r="G16" s="238">
        <v>0.22769206623126401</v>
      </c>
      <c r="H16" s="238">
        <v>5.6923016557815904</v>
      </c>
      <c r="I16" s="238">
        <v>0.19243859944198499</v>
      </c>
      <c r="J16" s="238">
        <v>57.346702633711701</v>
      </c>
      <c r="K16" s="238">
        <v>0</v>
      </c>
      <c r="L16" s="238">
        <v>0</v>
      </c>
      <c r="M16" s="238">
        <v>0</v>
      </c>
      <c r="N16" s="238">
        <v>0</v>
      </c>
      <c r="O16" s="238">
        <v>11156.696450022901</v>
      </c>
    </row>
    <row r="17" spans="1:16" s="237" customFormat="1" ht="12" x14ac:dyDescent="0.2">
      <c r="A17" s="235"/>
      <c r="B17" s="230"/>
      <c r="C17" s="236" t="s">
        <v>732</v>
      </c>
      <c r="F17" s="238">
        <v>12189.7930884456</v>
      </c>
      <c r="G17" s="238">
        <v>1.5035263418754099</v>
      </c>
      <c r="H17" s="238">
        <v>37.588158546885197</v>
      </c>
      <c r="I17" s="238">
        <v>1.1764847557239699</v>
      </c>
      <c r="J17" s="238">
        <v>350.59245720574302</v>
      </c>
      <c r="K17" s="238">
        <v>0</v>
      </c>
      <c r="L17" s="238">
        <v>0</v>
      </c>
      <c r="M17" s="238">
        <v>0</v>
      </c>
      <c r="N17" s="238">
        <v>0</v>
      </c>
      <c r="O17" s="238">
        <v>12577.973704198301</v>
      </c>
    </row>
    <row r="18" spans="1:16" s="237" customFormat="1" ht="12" x14ac:dyDescent="0.2">
      <c r="A18" s="235"/>
      <c r="B18" s="230"/>
      <c r="C18" s="236" t="s">
        <v>35</v>
      </c>
      <c r="F18" s="238">
        <v>4450.7117214576001</v>
      </c>
      <c r="G18" s="238">
        <v>0.157876208852369</v>
      </c>
      <c r="H18" s="238">
        <v>3.9469052213092302</v>
      </c>
      <c r="I18" s="238">
        <v>5.2162136247008703E-2</v>
      </c>
      <c r="J18" s="238">
        <v>15.5443166016086</v>
      </c>
      <c r="K18" s="238">
        <v>0</v>
      </c>
      <c r="L18" s="238">
        <v>0</v>
      </c>
      <c r="M18" s="238">
        <v>0</v>
      </c>
      <c r="N18" s="238">
        <v>0</v>
      </c>
      <c r="O18" s="238">
        <v>4470.2029432805202</v>
      </c>
    </row>
    <row r="19" spans="1:16" s="237" customFormat="1" ht="12" x14ac:dyDescent="0.2">
      <c r="A19" s="235"/>
      <c r="B19" s="230"/>
      <c r="C19" s="236" t="s">
        <v>733</v>
      </c>
      <c r="F19" s="238">
        <v>17506.155918570999</v>
      </c>
      <c r="G19" s="238">
        <v>0.480781501962532</v>
      </c>
      <c r="H19" s="238">
        <v>12.019537549063299</v>
      </c>
      <c r="I19" s="238">
        <v>0.39473840332621801</v>
      </c>
      <c r="J19" s="238">
        <v>117.632044191213</v>
      </c>
      <c r="K19" s="238">
        <v>0</v>
      </c>
      <c r="L19" s="238">
        <v>0</v>
      </c>
      <c r="M19" s="238">
        <v>0</v>
      </c>
      <c r="N19" s="238">
        <v>0</v>
      </c>
      <c r="O19" s="238">
        <v>17635.807500311301</v>
      </c>
    </row>
    <row r="20" spans="1:16" s="234" customFormat="1" ht="12.75" x14ac:dyDescent="0.2">
      <c r="A20" s="228"/>
      <c r="B20" s="229" t="s">
        <v>734</v>
      </c>
      <c r="C20" s="239"/>
      <c r="F20" s="231">
        <v>1162.2452800000001</v>
      </c>
      <c r="G20" s="231">
        <v>2.0105999999999999E-2</v>
      </c>
      <c r="H20" s="231">
        <v>0.50265000000000004</v>
      </c>
      <c r="I20" s="231">
        <v>3.2307599999999999E-2</v>
      </c>
      <c r="J20" s="231">
        <v>9.6276647999999998</v>
      </c>
      <c r="K20" s="231">
        <v>0</v>
      </c>
      <c r="L20" s="231">
        <v>0</v>
      </c>
      <c r="M20" s="231">
        <v>0</v>
      </c>
      <c r="N20" s="231">
        <v>0</v>
      </c>
      <c r="O20" s="231">
        <v>1172.3755948</v>
      </c>
    </row>
    <row r="21" spans="1:16" s="234" customFormat="1" ht="12.75" x14ac:dyDescent="0.2">
      <c r="A21" s="228"/>
      <c r="B21" s="229" t="s">
        <v>735</v>
      </c>
      <c r="C21" s="229"/>
      <c r="F21" s="231">
        <v>28853.580989211299</v>
      </c>
      <c r="G21" s="231">
        <v>0.52855605604535205</v>
      </c>
      <c r="H21" s="231">
        <v>13.2139014011338</v>
      </c>
      <c r="I21" s="231">
        <v>0.61872777318135397</v>
      </c>
      <c r="J21" s="231">
        <v>184.38087640804301</v>
      </c>
      <c r="K21" s="231">
        <v>0</v>
      </c>
      <c r="L21" s="231">
        <v>0</v>
      </c>
      <c r="M21" s="231">
        <v>0</v>
      </c>
      <c r="N21" s="231">
        <v>0</v>
      </c>
      <c r="O21" s="231">
        <v>29051.175767020501</v>
      </c>
    </row>
    <row r="22" spans="1:16" s="234" customFormat="1" ht="12.75" x14ac:dyDescent="0.2">
      <c r="A22" s="228"/>
      <c r="B22" s="229" t="s">
        <v>181</v>
      </c>
      <c r="C22" s="229"/>
      <c r="F22" s="231">
        <v>40384.79247</v>
      </c>
      <c r="G22" s="231">
        <v>165.52147987277701</v>
      </c>
      <c r="H22" s="231">
        <v>4138.03699681942</v>
      </c>
      <c r="I22" s="231">
        <v>2.4525929218519402</v>
      </c>
      <c r="J22" s="231">
        <v>730.872690711877</v>
      </c>
      <c r="K22" s="231">
        <v>0</v>
      </c>
      <c r="L22" s="231">
        <v>0</v>
      </c>
      <c r="M22" s="231">
        <v>0</v>
      </c>
      <c r="N22" s="231">
        <v>0</v>
      </c>
      <c r="O22" s="231">
        <v>45253.702157531297</v>
      </c>
    </row>
    <row r="23" spans="1:16" s="234" customFormat="1" ht="12.75" x14ac:dyDescent="0.2">
      <c r="A23" s="228"/>
      <c r="B23" s="229" t="s">
        <v>736</v>
      </c>
      <c r="C23" s="229"/>
      <c r="F23" s="231">
        <v>2658.7814715449099</v>
      </c>
      <c r="G23" s="231">
        <v>4.3452386653804201E-2</v>
      </c>
      <c r="H23" s="231">
        <v>1.0863096663451</v>
      </c>
      <c r="I23" s="231">
        <v>6.11081680337901E-2</v>
      </c>
      <c r="J23" s="231">
        <v>18.210234074069501</v>
      </c>
      <c r="K23" s="231">
        <v>0</v>
      </c>
      <c r="L23" s="231">
        <v>0</v>
      </c>
      <c r="M23" s="231">
        <v>0</v>
      </c>
      <c r="N23" s="231">
        <v>0</v>
      </c>
      <c r="O23" s="231">
        <v>2678.0780152853299</v>
      </c>
    </row>
    <row r="24" spans="1:16" s="240" customFormat="1" ht="14.25" x14ac:dyDescent="0.2">
      <c r="A24" s="224" t="s">
        <v>737</v>
      </c>
      <c r="B24" s="225" t="s">
        <v>738</v>
      </c>
      <c r="C24" s="225"/>
      <c r="F24" s="226">
        <v>170637.24956391199</v>
      </c>
      <c r="G24" s="226">
        <v>33.3677879661331</v>
      </c>
      <c r="H24" s="226">
        <v>834.19469915332604</v>
      </c>
      <c r="I24" s="226">
        <v>30.2968787380062</v>
      </c>
      <c r="J24" s="226">
        <v>9028.4698639258495</v>
      </c>
      <c r="K24" s="226">
        <v>0</v>
      </c>
      <c r="L24" s="226">
        <v>0</v>
      </c>
      <c r="M24" s="226">
        <v>0</v>
      </c>
      <c r="N24" s="226">
        <v>0</v>
      </c>
      <c r="O24" s="226">
        <v>180499.914126991</v>
      </c>
      <c r="P24" s="241"/>
    </row>
    <row r="25" spans="1:16" s="234" customFormat="1" ht="12.75" x14ac:dyDescent="0.2">
      <c r="A25" s="228"/>
      <c r="B25" s="232" t="s">
        <v>739</v>
      </c>
      <c r="C25" s="229"/>
      <c r="F25" s="231">
        <v>7733.5154713662296</v>
      </c>
      <c r="G25" s="231">
        <v>0.355374025855625</v>
      </c>
      <c r="H25" s="231">
        <v>8.8843506463906206</v>
      </c>
      <c r="I25" s="231">
        <v>0.231399271850939</v>
      </c>
      <c r="J25" s="231">
        <v>68.956983011579993</v>
      </c>
      <c r="K25" s="231">
        <v>0</v>
      </c>
      <c r="L25" s="231">
        <v>0</v>
      </c>
      <c r="M25" s="231">
        <v>0</v>
      </c>
      <c r="N25" s="231">
        <v>0</v>
      </c>
      <c r="O25" s="231">
        <v>7811.3568050242002</v>
      </c>
    </row>
    <row r="26" spans="1:16" s="234" customFormat="1" ht="12.75" x14ac:dyDescent="0.2">
      <c r="A26" s="228"/>
      <c r="B26" s="229" t="s">
        <v>740</v>
      </c>
      <c r="C26" s="229"/>
      <c r="F26" s="231">
        <v>109430.860740369</v>
      </c>
      <c r="G26" s="231">
        <v>11.6621260218516</v>
      </c>
      <c r="H26" s="231">
        <v>291.55315054629</v>
      </c>
      <c r="I26" s="231">
        <v>17.677708656993499</v>
      </c>
      <c r="J26" s="231">
        <v>5267.9571797840499</v>
      </c>
      <c r="K26" s="231">
        <v>0</v>
      </c>
      <c r="L26" s="231">
        <v>0</v>
      </c>
      <c r="M26" s="231">
        <v>0</v>
      </c>
      <c r="N26" s="231">
        <v>0</v>
      </c>
      <c r="O26" s="231">
        <v>114990.3710707</v>
      </c>
    </row>
    <row r="27" spans="1:16" s="237" customFormat="1" ht="12" x14ac:dyDescent="0.2">
      <c r="A27" s="235"/>
      <c r="B27" s="230"/>
      <c r="C27" s="236" t="s">
        <v>741</v>
      </c>
      <c r="F27" s="238">
        <v>41150.529898566398</v>
      </c>
      <c r="G27" s="238">
        <v>5.4232606157410004</v>
      </c>
      <c r="H27" s="238">
        <v>135.581515393525</v>
      </c>
      <c r="I27" s="238">
        <v>8.7866291934784897</v>
      </c>
      <c r="J27" s="238">
        <v>2618.4154996565899</v>
      </c>
      <c r="K27" s="238">
        <v>0</v>
      </c>
      <c r="L27" s="238">
        <v>0</v>
      </c>
      <c r="M27" s="238">
        <v>0</v>
      </c>
      <c r="N27" s="238">
        <v>0</v>
      </c>
      <c r="O27" s="238">
        <v>43904.526913616501</v>
      </c>
    </row>
    <row r="28" spans="1:16" s="237" customFormat="1" ht="12" x14ac:dyDescent="0.2">
      <c r="A28" s="235"/>
      <c r="B28" s="230"/>
      <c r="C28" s="236" t="s">
        <v>742</v>
      </c>
      <c r="F28" s="238">
        <v>30825.100368707201</v>
      </c>
      <c r="G28" s="238">
        <v>3.5845758521622</v>
      </c>
      <c r="H28" s="238">
        <v>89.614396304055106</v>
      </c>
      <c r="I28" s="238">
        <v>7.2897828578491604</v>
      </c>
      <c r="J28" s="238">
        <v>2172.3552916390499</v>
      </c>
      <c r="K28" s="238">
        <v>0</v>
      </c>
      <c r="L28" s="238">
        <v>0</v>
      </c>
      <c r="M28" s="238">
        <v>0</v>
      </c>
      <c r="N28" s="238">
        <v>0</v>
      </c>
      <c r="O28" s="238">
        <v>33087.070056650402</v>
      </c>
    </row>
    <row r="29" spans="1:16" s="237" customFormat="1" ht="12" x14ac:dyDescent="0.2">
      <c r="A29" s="235"/>
      <c r="B29" s="230"/>
      <c r="C29" s="236" t="s">
        <v>743</v>
      </c>
      <c r="F29" s="238">
        <v>10749.620148546601</v>
      </c>
      <c r="G29" s="238">
        <v>1.03813169102698</v>
      </c>
      <c r="H29" s="238">
        <v>25.953292275674499</v>
      </c>
      <c r="I29" s="238">
        <v>0.50168553268486304</v>
      </c>
      <c r="J29" s="238">
        <v>149.502288740089</v>
      </c>
      <c r="K29" s="238">
        <v>0</v>
      </c>
      <c r="L29" s="238">
        <v>0</v>
      </c>
      <c r="M29" s="238">
        <v>0</v>
      </c>
      <c r="N29" s="238">
        <v>0</v>
      </c>
      <c r="O29" s="238">
        <v>10925.075729562301</v>
      </c>
    </row>
    <row r="30" spans="1:16" s="237" customFormat="1" ht="12" x14ac:dyDescent="0.2">
      <c r="A30" s="235"/>
      <c r="B30" s="230"/>
      <c r="C30" s="236" t="s">
        <v>744</v>
      </c>
      <c r="F30" s="238">
        <v>115.308968275653</v>
      </c>
      <c r="G30" s="238">
        <v>8.5118591859758203E-2</v>
      </c>
      <c r="H30" s="238">
        <v>2.1279647964939499</v>
      </c>
      <c r="I30" s="238">
        <v>2.26227982408797E-3</v>
      </c>
      <c r="J30" s="238">
        <v>0.67415938757821603</v>
      </c>
      <c r="K30" s="238">
        <v>0</v>
      </c>
      <c r="L30" s="238">
        <v>0</v>
      </c>
      <c r="M30" s="238">
        <v>0</v>
      </c>
      <c r="N30" s="238">
        <v>0</v>
      </c>
      <c r="O30" s="238">
        <v>118.111092459725</v>
      </c>
      <c r="P30" s="242"/>
    </row>
    <row r="31" spans="1:16" s="237" customFormat="1" ht="12" x14ac:dyDescent="0.2">
      <c r="A31" s="235"/>
      <c r="B31" s="230"/>
      <c r="C31" s="236" t="s">
        <v>745</v>
      </c>
      <c r="F31" s="238">
        <v>540.45223575472596</v>
      </c>
      <c r="G31" s="238">
        <v>1.30340704903031E-2</v>
      </c>
      <c r="H31" s="238">
        <v>0.325851762257578</v>
      </c>
      <c r="I31" s="238">
        <v>4.1947860528280402E-2</v>
      </c>
      <c r="J31" s="238">
        <v>12.500462437427601</v>
      </c>
      <c r="K31" s="238">
        <v>0</v>
      </c>
      <c r="L31" s="238">
        <v>0</v>
      </c>
      <c r="M31" s="238">
        <v>0</v>
      </c>
      <c r="N31" s="238">
        <v>0</v>
      </c>
      <c r="O31" s="238">
        <v>553.27854995441101</v>
      </c>
    </row>
    <row r="32" spans="1:16" s="237" customFormat="1" ht="12" x14ac:dyDescent="0.2">
      <c r="A32" s="235"/>
      <c r="B32" s="230"/>
      <c r="C32" s="236" t="s">
        <v>746</v>
      </c>
      <c r="D32" s="243"/>
      <c r="E32" s="243"/>
      <c r="F32" s="244">
        <v>293.02047497267699</v>
      </c>
      <c r="G32" s="244">
        <v>7.4988666295368002E-3</v>
      </c>
      <c r="H32" s="244">
        <v>0.18747166573842</v>
      </c>
      <c r="I32" s="244">
        <v>2.2908169114259299E-2</v>
      </c>
      <c r="J32" s="244">
        <v>6.8266343960492701</v>
      </c>
      <c r="K32" s="244">
        <v>0</v>
      </c>
      <c r="L32" s="244">
        <v>0</v>
      </c>
      <c r="M32" s="244">
        <v>0</v>
      </c>
      <c r="N32" s="244">
        <v>0</v>
      </c>
      <c r="O32" s="244">
        <v>300.03458103446502</v>
      </c>
    </row>
    <row r="33" spans="1:15" s="237" customFormat="1" ht="12" x14ac:dyDescent="0.2">
      <c r="A33" s="235"/>
      <c r="B33" s="230"/>
      <c r="C33" s="236" t="s">
        <v>747</v>
      </c>
      <c r="D33" s="243"/>
      <c r="E33" s="243"/>
      <c r="F33" s="244">
        <v>24997.507220818599</v>
      </c>
      <c r="G33" s="244">
        <v>1.1715159248318801</v>
      </c>
      <c r="H33" s="244">
        <v>29.2878981207969</v>
      </c>
      <c r="I33" s="244">
        <v>1.01840628222189</v>
      </c>
      <c r="J33" s="244">
        <v>303.48507210212199</v>
      </c>
      <c r="K33" s="244">
        <v>0</v>
      </c>
      <c r="L33" s="244">
        <v>0</v>
      </c>
      <c r="M33" s="244">
        <v>0</v>
      </c>
      <c r="N33" s="244">
        <v>0</v>
      </c>
      <c r="O33" s="244">
        <v>25330.280191041598</v>
      </c>
    </row>
    <row r="34" spans="1:15" s="237" customFormat="1" ht="12" x14ac:dyDescent="0.2">
      <c r="A34" s="235"/>
      <c r="B34" s="230"/>
      <c r="C34" s="245" t="s">
        <v>748</v>
      </c>
      <c r="D34" s="243"/>
      <c r="E34" s="243"/>
      <c r="F34" s="244">
        <v>759.32142472732096</v>
      </c>
      <c r="G34" s="244">
        <v>0.33899040910995998</v>
      </c>
      <c r="H34" s="244">
        <v>8.4747602277489893</v>
      </c>
      <c r="I34" s="244">
        <v>1.4086481292436301E-2</v>
      </c>
      <c r="J34" s="244">
        <v>4.1977714251460103</v>
      </c>
      <c r="K34" s="244">
        <v>0</v>
      </c>
      <c r="L34" s="244">
        <v>0</v>
      </c>
      <c r="M34" s="244">
        <v>0</v>
      </c>
      <c r="N34" s="244">
        <v>0</v>
      </c>
      <c r="O34" s="244">
        <v>771.99395638021599</v>
      </c>
    </row>
    <row r="35" spans="1:15" s="249" customFormat="1" ht="12.75" x14ac:dyDescent="0.2">
      <c r="A35" s="228"/>
      <c r="B35" s="229" t="s">
        <v>749</v>
      </c>
      <c r="C35" s="246"/>
      <c r="D35" s="247"/>
      <c r="E35" s="247"/>
      <c r="F35" s="248">
        <v>5692.8469999999998</v>
      </c>
      <c r="G35" s="248">
        <v>0.31956129999999999</v>
      </c>
      <c r="H35" s="248">
        <v>7.9890325000000004</v>
      </c>
      <c r="I35" s="248">
        <v>2.2030683</v>
      </c>
      <c r="J35" s="248">
        <v>656.5143534</v>
      </c>
      <c r="K35" s="248">
        <v>0</v>
      </c>
      <c r="L35" s="248">
        <v>0</v>
      </c>
      <c r="M35" s="248">
        <v>0</v>
      </c>
      <c r="N35" s="248">
        <v>0</v>
      </c>
      <c r="O35" s="248">
        <v>6357.3503859000002</v>
      </c>
    </row>
    <row r="36" spans="1:15" s="249" customFormat="1" ht="12.75" x14ac:dyDescent="0.2">
      <c r="A36" s="228"/>
      <c r="B36" s="232" t="s">
        <v>750</v>
      </c>
      <c r="C36" s="246"/>
      <c r="D36" s="247"/>
      <c r="E36" s="247"/>
      <c r="F36" s="248">
        <v>4721.5333144434298</v>
      </c>
      <c r="G36" s="248">
        <v>0.43689507960000001</v>
      </c>
      <c r="H36" s="248">
        <v>10.92237699</v>
      </c>
      <c r="I36" s="248">
        <v>0.12480725856</v>
      </c>
      <c r="J36" s="248">
        <v>37.192563050879997</v>
      </c>
      <c r="K36" s="248">
        <v>0</v>
      </c>
      <c r="L36" s="248">
        <v>0</v>
      </c>
      <c r="M36" s="248">
        <v>0</v>
      </c>
      <c r="N36" s="248">
        <v>0</v>
      </c>
      <c r="O36" s="248">
        <v>4769.6482544843102</v>
      </c>
    </row>
    <row r="37" spans="1:15" s="234" customFormat="1" ht="12.75" x14ac:dyDescent="0.2">
      <c r="A37" s="228"/>
      <c r="B37" s="229" t="s">
        <v>751</v>
      </c>
      <c r="C37" s="250"/>
      <c r="D37" s="251"/>
      <c r="E37" s="251"/>
      <c r="F37" s="252">
        <v>43058.493037733402</v>
      </c>
      <c r="G37" s="252">
        <v>20.5938315388258</v>
      </c>
      <c r="H37" s="252">
        <v>514.84578847064495</v>
      </c>
      <c r="I37" s="252">
        <v>10.0598952506018</v>
      </c>
      <c r="J37" s="252">
        <v>2997.84878467934</v>
      </c>
      <c r="K37" s="252">
        <v>0</v>
      </c>
      <c r="L37" s="252">
        <v>0</v>
      </c>
      <c r="M37" s="252">
        <v>0</v>
      </c>
      <c r="N37" s="252">
        <v>0</v>
      </c>
      <c r="O37" s="252">
        <v>46571.187610883397</v>
      </c>
    </row>
    <row r="38" spans="1:15" s="237" customFormat="1" ht="12" x14ac:dyDescent="0.2">
      <c r="A38" s="235"/>
      <c r="B38" s="230"/>
      <c r="C38" s="236" t="s">
        <v>752</v>
      </c>
      <c r="F38" s="238">
        <v>11599.5367204331</v>
      </c>
      <c r="G38" s="238">
        <v>0.67484664685094098</v>
      </c>
      <c r="H38" s="238">
        <v>16.871166171273501</v>
      </c>
      <c r="I38" s="238">
        <v>4.4811009193532199</v>
      </c>
      <c r="J38" s="238">
        <v>1335.36807396726</v>
      </c>
      <c r="K38" s="238">
        <v>0</v>
      </c>
      <c r="L38" s="238">
        <v>0</v>
      </c>
      <c r="M38" s="238">
        <v>0</v>
      </c>
      <c r="N38" s="238">
        <v>0</v>
      </c>
      <c r="O38" s="238">
        <v>12951.7759605717</v>
      </c>
    </row>
    <row r="39" spans="1:15" s="237" customFormat="1" ht="12" x14ac:dyDescent="0.2">
      <c r="A39" s="235"/>
      <c r="B39" s="230"/>
      <c r="C39" s="236" t="s">
        <v>753</v>
      </c>
      <c r="F39" s="238">
        <v>1703.6458312151501</v>
      </c>
      <c r="G39" s="238">
        <v>0.84561720907481497</v>
      </c>
      <c r="H39" s="238">
        <v>21.1404302268704</v>
      </c>
      <c r="I39" s="238">
        <v>0.52369810839769404</v>
      </c>
      <c r="J39" s="238">
        <v>156.06203630251301</v>
      </c>
      <c r="K39" s="238">
        <v>0</v>
      </c>
      <c r="L39" s="238">
        <v>0</v>
      </c>
      <c r="M39" s="238">
        <v>0</v>
      </c>
      <c r="N39" s="238">
        <v>0</v>
      </c>
      <c r="O39" s="238">
        <v>1880.8482977445401</v>
      </c>
    </row>
    <row r="40" spans="1:15" s="237" customFormat="1" ht="12" x14ac:dyDescent="0.2">
      <c r="A40" s="235"/>
      <c r="B40" s="230"/>
      <c r="C40" s="236" t="s">
        <v>754</v>
      </c>
      <c r="F40" s="238">
        <v>10410.6512312666</v>
      </c>
      <c r="G40" s="238">
        <v>0.80802428371438995</v>
      </c>
      <c r="H40" s="238">
        <v>20.200607092859698</v>
      </c>
      <c r="I40" s="238">
        <v>3.8196870641706302</v>
      </c>
      <c r="J40" s="238">
        <v>1138.2667451228499</v>
      </c>
      <c r="K40" s="238">
        <v>0</v>
      </c>
      <c r="L40" s="238">
        <v>0</v>
      </c>
      <c r="M40" s="238">
        <v>0</v>
      </c>
      <c r="N40" s="238">
        <v>0</v>
      </c>
      <c r="O40" s="238">
        <v>11569.118583482301</v>
      </c>
    </row>
    <row r="41" spans="1:15" s="237" customFormat="1" ht="12" x14ac:dyDescent="0.2">
      <c r="A41" s="235"/>
      <c r="B41" s="230"/>
      <c r="C41" s="236" t="s">
        <v>755</v>
      </c>
      <c r="F41" s="238">
        <v>411.63376108783302</v>
      </c>
      <c r="G41" s="238">
        <v>0.25790568676148601</v>
      </c>
      <c r="H41" s="238">
        <v>6.4476421690371497</v>
      </c>
      <c r="I41" s="238">
        <v>8.21969533685456E-2</v>
      </c>
      <c r="J41" s="238">
        <v>24.494692103826601</v>
      </c>
      <c r="K41" s="238">
        <v>0</v>
      </c>
      <c r="L41" s="238">
        <v>0</v>
      </c>
      <c r="M41" s="238">
        <v>0</v>
      </c>
      <c r="N41" s="238">
        <v>0</v>
      </c>
      <c r="O41" s="238">
        <v>442.57609536069702</v>
      </c>
    </row>
    <row r="42" spans="1:15" s="237" customFormat="1" ht="12" x14ac:dyDescent="0.2">
      <c r="A42" s="235"/>
      <c r="B42" s="230"/>
      <c r="C42" s="236" t="s">
        <v>756</v>
      </c>
      <c r="F42" s="238">
        <v>6716.54872173076</v>
      </c>
      <c r="G42" s="238">
        <v>5.78064721667418</v>
      </c>
      <c r="H42" s="238">
        <v>144.51618041685501</v>
      </c>
      <c r="I42" s="238">
        <v>0.82209686531171799</v>
      </c>
      <c r="J42" s="238">
        <v>244.98486586289201</v>
      </c>
      <c r="K42" s="238">
        <v>0</v>
      </c>
      <c r="L42" s="238">
        <v>0</v>
      </c>
      <c r="M42" s="238">
        <v>0</v>
      </c>
      <c r="N42" s="238">
        <v>0</v>
      </c>
      <c r="O42" s="238">
        <v>7106.0497680105</v>
      </c>
    </row>
    <row r="43" spans="1:15" s="237" customFormat="1" ht="12" x14ac:dyDescent="0.2">
      <c r="A43" s="235"/>
      <c r="B43" s="230"/>
      <c r="C43" s="253" t="s">
        <v>757</v>
      </c>
      <c r="F43" s="238">
        <v>12216.476772</v>
      </c>
      <c r="G43" s="238">
        <v>12.22679049575</v>
      </c>
      <c r="H43" s="238">
        <v>305.66976239374998</v>
      </c>
      <c r="I43" s="238">
        <v>0.33111533999999998</v>
      </c>
      <c r="J43" s="238">
        <v>98.672371319999996</v>
      </c>
      <c r="K43" s="238">
        <v>0</v>
      </c>
      <c r="L43" s="238">
        <v>0</v>
      </c>
      <c r="M43" s="238">
        <v>0</v>
      </c>
      <c r="N43" s="238">
        <v>0</v>
      </c>
      <c r="O43" s="238">
        <v>12620.818905713801</v>
      </c>
    </row>
    <row r="44" spans="1:15" s="240" customFormat="1" ht="12.75" x14ac:dyDescent="0.2">
      <c r="A44" s="224" t="s">
        <v>758</v>
      </c>
      <c r="B44" s="225" t="s">
        <v>759</v>
      </c>
      <c r="C44" s="225"/>
      <c r="F44" s="226">
        <v>16239.5702675965</v>
      </c>
      <c r="G44" s="226">
        <v>2161.69208870686</v>
      </c>
      <c r="H44" s="226">
        <v>54042.3022176714</v>
      </c>
      <c r="I44" s="226">
        <v>0.12503358381399701</v>
      </c>
      <c r="J44" s="226">
        <v>37.260007976571202</v>
      </c>
      <c r="K44" s="226">
        <v>0</v>
      </c>
      <c r="L44" s="226">
        <v>0</v>
      </c>
      <c r="M44" s="226">
        <v>0</v>
      </c>
      <c r="N44" s="226">
        <v>0</v>
      </c>
      <c r="O44" s="226">
        <v>70319.1324932446</v>
      </c>
    </row>
    <row r="45" spans="1:15" s="234" customFormat="1" ht="12.75" x14ac:dyDescent="0.2">
      <c r="A45" s="228"/>
      <c r="B45" s="229" t="s">
        <v>760</v>
      </c>
      <c r="C45" s="229"/>
      <c r="F45" s="231">
        <v>0</v>
      </c>
      <c r="G45" s="231">
        <v>66.629943488284397</v>
      </c>
      <c r="H45" s="231">
        <v>1665.7485872071099</v>
      </c>
      <c r="I45" s="231">
        <v>0</v>
      </c>
      <c r="J45" s="231">
        <v>0</v>
      </c>
      <c r="K45" s="231">
        <v>0</v>
      </c>
      <c r="L45" s="231">
        <v>0</v>
      </c>
      <c r="M45" s="231">
        <v>0</v>
      </c>
      <c r="N45" s="231">
        <v>0</v>
      </c>
      <c r="O45" s="231">
        <v>1665.7485872071099</v>
      </c>
    </row>
    <row r="46" spans="1:15" s="234" customFormat="1" ht="12.75" x14ac:dyDescent="0.2">
      <c r="A46" s="228"/>
      <c r="B46" s="229" t="s">
        <v>761</v>
      </c>
      <c r="C46" s="229"/>
      <c r="F46" s="231">
        <v>16239.5702675965</v>
      </c>
      <c r="G46" s="231">
        <v>2095.0621452185701</v>
      </c>
      <c r="H46" s="231">
        <v>52376.553630464303</v>
      </c>
      <c r="I46" s="231">
        <v>0.12503358381399701</v>
      </c>
      <c r="J46" s="231">
        <v>37.260007976571202</v>
      </c>
      <c r="K46" s="231">
        <v>0</v>
      </c>
      <c r="L46" s="231">
        <v>0</v>
      </c>
      <c r="M46" s="231">
        <v>0</v>
      </c>
      <c r="N46" s="231">
        <v>0</v>
      </c>
      <c r="O46" s="231">
        <v>68653.383906037401</v>
      </c>
    </row>
    <row r="47" spans="1:15" s="237" customFormat="1" ht="12" x14ac:dyDescent="0.2">
      <c r="A47" s="254"/>
      <c r="B47" s="255"/>
      <c r="C47" s="230" t="s">
        <v>762</v>
      </c>
      <c r="F47" s="238">
        <v>130.28246670641201</v>
      </c>
      <c r="G47" s="238">
        <v>249.178405772372</v>
      </c>
      <c r="H47" s="238">
        <v>6229.4601443092997</v>
      </c>
      <c r="I47" s="238">
        <v>0.114</v>
      </c>
      <c r="J47" s="238">
        <v>33.972000000000001</v>
      </c>
      <c r="K47" s="238">
        <v>0</v>
      </c>
      <c r="L47" s="238">
        <v>0</v>
      </c>
      <c r="M47" s="238">
        <v>0</v>
      </c>
      <c r="N47" s="238">
        <v>0</v>
      </c>
      <c r="O47" s="238">
        <v>6393.71461101571</v>
      </c>
    </row>
    <row r="48" spans="1:15" s="237" customFormat="1" ht="12" x14ac:dyDescent="0.2">
      <c r="A48" s="254"/>
      <c r="B48" s="255"/>
      <c r="C48" s="230" t="s">
        <v>763</v>
      </c>
      <c r="F48" s="238">
        <v>53.3454684278325</v>
      </c>
      <c r="G48" s="238">
        <v>776.71217612748501</v>
      </c>
      <c r="H48" s="238">
        <v>19417.8044031871</v>
      </c>
      <c r="I48" s="238">
        <v>0</v>
      </c>
      <c r="J48" s="238">
        <v>0</v>
      </c>
      <c r="K48" s="238">
        <v>0</v>
      </c>
      <c r="L48" s="238">
        <v>0</v>
      </c>
      <c r="M48" s="238">
        <v>0</v>
      </c>
      <c r="N48" s="238">
        <v>0</v>
      </c>
      <c r="O48" s="238">
        <v>19471.149871615002</v>
      </c>
    </row>
    <row r="49" spans="1:16" s="237" customFormat="1" ht="12" x14ac:dyDescent="0.2">
      <c r="A49" s="256"/>
      <c r="B49" s="257"/>
      <c r="C49" s="258" t="s">
        <v>380</v>
      </c>
      <c r="D49" s="243"/>
      <c r="E49" s="243"/>
      <c r="F49" s="244">
        <v>10620.467987706499</v>
      </c>
      <c r="G49" s="244">
        <v>1060.9941418491101</v>
      </c>
      <c r="H49" s="244">
        <v>26524.8535462277</v>
      </c>
      <c r="I49" s="244">
        <v>0</v>
      </c>
      <c r="J49" s="244">
        <v>0</v>
      </c>
      <c r="K49" s="244">
        <v>0</v>
      </c>
      <c r="L49" s="244">
        <v>0</v>
      </c>
      <c r="M49" s="244">
        <v>0</v>
      </c>
      <c r="N49" s="244">
        <v>0</v>
      </c>
      <c r="O49" s="244">
        <v>37145.321533934199</v>
      </c>
    </row>
    <row r="50" spans="1:16" s="237" customFormat="1" ht="12" x14ac:dyDescent="0.2">
      <c r="A50" s="256"/>
      <c r="B50" s="257"/>
      <c r="C50" s="258" t="s">
        <v>381</v>
      </c>
      <c r="D50" s="243"/>
      <c r="E50" s="243"/>
      <c r="F50" s="244">
        <v>5435.4743447557703</v>
      </c>
      <c r="G50" s="244">
        <v>8.1774214696088201</v>
      </c>
      <c r="H50" s="244">
        <v>204.43553674021999</v>
      </c>
      <c r="I50" s="244">
        <v>1.10335838139974E-2</v>
      </c>
      <c r="J50" s="244">
        <v>3.2880079765712198</v>
      </c>
      <c r="K50" s="244">
        <v>0</v>
      </c>
      <c r="L50" s="244">
        <v>0</v>
      </c>
      <c r="M50" s="244">
        <v>0</v>
      </c>
      <c r="N50" s="244">
        <v>0</v>
      </c>
      <c r="O50" s="244">
        <v>5643.1978894725598</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39474.182759388597</v>
      </c>
      <c r="G52" s="266">
        <v>4.3052151235720801</v>
      </c>
      <c r="H52" s="266">
        <v>107.630378089302</v>
      </c>
      <c r="I52" s="266">
        <v>10.781295060845601</v>
      </c>
      <c r="J52" s="266">
        <v>3212.8259281319902</v>
      </c>
      <c r="K52" s="266">
        <v>2160.3645210514101</v>
      </c>
      <c r="L52" s="266">
        <v>5371.7858918306802</v>
      </c>
      <c r="M52" s="266">
        <v>2410.1029335870198</v>
      </c>
      <c r="N52" s="266">
        <v>0.24641998533333401</v>
      </c>
      <c r="O52" s="266">
        <v>52737.138832064396</v>
      </c>
    </row>
    <row r="53" spans="1:16" s="240" customFormat="1" ht="12.75" x14ac:dyDescent="0.2">
      <c r="A53" s="224" t="s">
        <v>724</v>
      </c>
      <c r="B53" s="225" t="s">
        <v>767</v>
      </c>
      <c r="C53" s="225"/>
      <c r="D53" s="268"/>
      <c r="E53" s="268"/>
      <c r="F53" s="269">
        <v>9765.5287070030809</v>
      </c>
      <c r="G53" s="269">
        <v>0</v>
      </c>
      <c r="H53" s="269">
        <v>0</v>
      </c>
      <c r="I53" s="269">
        <v>0</v>
      </c>
      <c r="J53" s="269">
        <v>0</v>
      </c>
      <c r="K53" s="269">
        <v>0</v>
      </c>
      <c r="L53" s="269">
        <v>0</v>
      </c>
      <c r="M53" s="269">
        <v>0</v>
      </c>
      <c r="N53" s="269">
        <v>0</v>
      </c>
      <c r="O53" s="269">
        <v>9765.5287070030809</v>
      </c>
    </row>
    <row r="54" spans="1:16" s="273" customFormat="1" ht="12" x14ac:dyDescent="0.2">
      <c r="A54" s="235"/>
      <c r="B54" s="270"/>
      <c r="C54" s="236" t="s">
        <v>560</v>
      </c>
      <c r="D54" s="271"/>
      <c r="E54" s="271"/>
      <c r="F54" s="272">
        <v>7047.6080959395304</v>
      </c>
      <c r="G54" s="272">
        <v>0</v>
      </c>
      <c r="H54" s="272">
        <v>0</v>
      </c>
      <c r="I54" s="272">
        <v>0</v>
      </c>
      <c r="J54" s="272">
        <v>0</v>
      </c>
      <c r="K54" s="272">
        <v>0</v>
      </c>
      <c r="L54" s="272">
        <v>0</v>
      </c>
      <c r="M54" s="272">
        <v>0</v>
      </c>
      <c r="N54" s="272">
        <v>0</v>
      </c>
      <c r="O54" s="272">
        <v>7047.6080959395304</v>
      </c>
      <c r="P54" s="271"/>
    </row>
    <row r="55" spans="1:16" s="273" customFormat="1" ht="12" x14ac:dyDescent="0.2">
      <c r="A55" s="235"/>
      <c r="B55" s="270"/>
      <c r="C55" s="236" t="s">
        <v>191</v>
      </c>
      <c r="D55" s="271"/>
      <c r="E55" s="271"/>
      <c r="F55" s="272">
        <v>1923.8703365332001</v>
      </c>
      <c r="G55" s="272">
        <v>0</v>
      </c>
      <c r="H55" s="272">
        <v>0</v>
      </c>
      <c r="I55" s="272">
        <v>0</v>
      </c>
      <c r="J55" s="272">
        <v>0</v>
      </c>
      <c r="K55" s="272">
        <v>0</v>
      </c>
      <c r="L55" s="272">
        <v>0</v>
      </c>
      <c r="M55" s="272">
        <v>0</v>
      </c>
      <c r="N55" s="272">
        <v>0</v>
      </c>
      <c r="O55" s="272">
        <v>1923.8703365332001</v>
      </c>
      <c r="P55" s="271"/>
    </row>
    <row r="56" spans="1:16" s="273" customFormat="1" ht="12" x14ac:dyDescent="0.2">
      <c r="A56" s="235"/>
      <c r="B56" s="270"/>
      <c r="C56" s="236" t="s">
        <v>768</v>
      </c>
      <c r="D56" s="271"/>
      <c r="E56" s="271"/>
      <c r="F56" s="272">
        <v>794.05027453034904</v>
      </c>
      <c r="G56" s="272">
        <v>0</v>
      </c>
      <c r="H56" s="272">
        <v>0</v>
      </c>
      <c r="I56" s="272">
        <v>0</v>
      </c>
      <c r="J56" s="272">
        <v>0</v>
      </c>
      <c r="K56" s="272">
        <v>0</v>
      </c>
      <c r="L56" s="272">
        <v>0</v>
      </c>
      <c r="M56" s="272">
        <v>0</v>
      </c>
      <c r="N56" s="272">
        <v>0</v>
      </c>
      <c r="O56" s="272">
        <v>794.05027453034904</v>
      </c>
      <c r="P56" s="271"/>
    </row>
    <row r="57" spans="1:16" s="275" customFormat="1" ht="12.75" x14ac:dyDescent="0.2">
      <c r="A57" s="224" t="s">
        <v>737</v>
      </c>
      <c r="B57" s="225" t="s">
        <v>769</v>
      </c>
      <c r="C57" s="225"/>
      <c r="D57" s="274"/>
      <c r="E57" s="274"/>
      <c r="F57" s="269">
        <v>6272.5134096227403</v>
      </c>
      <c r="G57" s="269">
        <v>4.2019641235720799</v>
      </c>
      <c r="H57" s="269">
        <v>105.04910308930199</v>
      </c>
      <c r="I57" s="269">
        <v>9.4602034864238291</v>
      </c>
      <c r="J57" s="269">
        <v>2819.1406389542999</v>
      </c>
      <c r="K57" s="269">
        <v>0</v>
      </c>
      <c r="L57" s="269">
        <v>0</v>
      </c>
      <c r="M57" s="269">
        <v>0</v>
      </c>
      <c r="N57" s="269">
        <v>0</v>
      </c>
      <c r="O57" s="269">
        <v>9196.7031516663392</v>
      </c>
      <c r="P57" s="274"/>
    </row>
    <row r="58" spans="1:16" s="277" customFormat="1" ht="12" x14ac:dyDescent="0.2">
      <c r="A58" s="235"/>
      <c r="B58" s="270"/>
      <c r="C58" s="236" t="s">
        <v>192</v>
      </c>
      <c r="D58" s="276"/>
      <c r="E58" s="276"/>
      <c r="F58" s="272">
        <v>3000.6873490206999</v>
      </c>
      <c r="G58" s="272">
        <v>0</v>
      </c>
      <c r="H58" s="272">
        <v>0</v>
      </c>
      <c r="I58" s="272">
        <v>0</v>
      </c>
      <c r="J58" s="272">
        <v>0</v>
      </c>
      <c r="K58" s="272">
        <v>0</v>
      </c>
      <c r="L58" s="272">
        <v>0</v>
      </c>
      <c r="M58" s="272">
        <v>0</v>
      </c>
      <c r="N58" s="272">
        <v>0</v>
      </c>
      <c r="O58" s="272">
        <v>3000.6873490206999</v>
      </c>
      <c r="P58" s="276"/>
    </row>
    <row r="59" spans="1:16" s="277" customFormat="1" ht="12" x14ac:dyDescent="0.2">
      <c r="A59" s="235"/>
      <c r="B59" s="270"/>
      <c r="C59" s="236" t="s">
        <v>190</v>
      </c>
      <c r="D59" s="276"/>
      <c r="E59" s="276"/>
      <c r="F59" s="272">
        <v>0</v>
      </c>
      <c r="G59" s="272">
        <v>0</v>
      </c>
      <c r="H59" s="272">
        <v>0</v>
      </c>
      <c r="I59" s="272">
        <v>3.7649012056325599</v>
      </c>
      <c r="J59" s="272">
        <v>1121.9405592784999</v>
      </c>
      <c r="K59" s="272">
        <v>0</v>
      </c>
      <c r="L59" s="272">
        <v>0</v>
      </c>
      <c r="M59" s="272">
        <v>0</v>
      </c>
      <c r="N59" s="272">
        <v>0</v>
      </c>
      <c r="O59" s="272">
        <v>1121.9405592784999</v>
      </c>
      <c r="P59" s="276"/>
    </row>
    <row r="60" spans="1:16" s="277" customFormat="1" ht="12" x14ac:dyDescent="0.2">
      <c r="A60" s="235"/>
      <c r="B60" s="270"/>
      <c r="C60" s="236" t="s">
        <v>770</v>
      </c>
      <c r="D60" s="276"/>
      <c r="E60" s="276"/>
      <c r="F60" s="272">
        <v>0</v>
      </c>
      <c r="G60" s="272">
        <v>0</v>
      </c>
      <c r="H60" s="272">
        <v>0</v>
      </c>
      <c r="I60" s="272">
        <v>5.6421900000000003</v>
      </c>
      <c r="J60" s="272">
        <v>1681.3726200000001</v>
      </c>
      <c r="K60" s="272">
        <v>0</v>
      </c>
      <c r="L60" s="272">
        <v>0</v>
      </c>
      <c r="M60" s="272">
        <v>0</v>
      </c>
      <c r="N60" s="272">
        <v>0</v>
      </c>
      <c r="O60" s="272">
        <v>1681.3726200000001</v>
      </c>
      <c r="P60" s="276"/>
    </row>
    <row r="61" spans="1:16" s="277" customFormat="1" ht="12" x14ac:dyDescent="0.2">
      <c r="A61" s="235"/>
      <c r="B61" s="270"/>
      <c r="C61" s="236" t="s">
        <v>771</v>
      </c>
      <c r="D61" s="276"/>
      <c r="E61" s="276"/>
      <c r="F61" s="272">
        <v>3271.8260606020399</v>
      </c>
      <c r="G61" s="272">
        <v>4.2019641235720799</v>
      </c>
      <c r="H61" s="272">
        <v>105.04910308930199</v>
      </c>
      <c r="I61" s="272">
        <v>5.3112280791269902E-2</v>
      </c>
      <c r="J61" s="272">
        <v>15.8274596757984</v>
      </c>
      <c r="K61" s="272">
        <v>0</v>
      </c>
      <c r="L61" s="272">
        <v>0</v>
      </c>
      <c r="M61" s="272">
        <v>0</v>
      </c>
      <c r="N61" s="272">
        <v>0</v>
      </c>
      <c r="O61" s="272">
        <v>3392.7026233671399</v>
      </c>
      <c r="P61" s="276"/>
    </row>
    <row r="62" spans="1:16" s="240" customFormat="1" ht="12.75" x14ac:dyDescent="0.2">
      <c r="A62" s="224" t="s">
        <v>758</v>
      </c>
      <c r="B62" s="225" t="s">
        <v>772</v>
      </c>
      <c r="C62" s="225"/>
      <c r="D62" s="268"/>
      <c r="E62" s="268"/>
      <c r="F62" s="269">
        <v>15592.8132133462</v>
      </c>
      <c r="G62" s="269">
        <v>0.103251</v>
      </c>
      <c r="H62" s="269">
        <v>2.5812750000000002</v>
      </c>
      <c r="I62" s="269">
        <v>0</v>
      </c>
      <c r="J62" s="269">
        <v>0</v>
      </c>
      <c r="K62" s="269">
        <v>0</v>
      </c>
      <c r="L62" s="269">
        <v>5343.6831925834404</v>
      </c>
      <c r="M62" s="269">
        <v>2215.8178847014701</v>
      </c>
      <c r="N62" s="269">
        <v>0</v>
      </c>
      <c r="O62" s="269">
        <v>23154.895565631101</v>
      </c>
      <c r="P62" s="268"/>
    </row>
    <row r="63" spans="1:16" s="273" customFormat="1" ht="12" x14ac:dyDescent="0.2">
      <c r="A63" s="235"/>
      <c r="B63" s="230"/>
      <c r="C63" s="230" t="s">
        <v>773</v>
      </c>
      <c r="D63" s="271"/>
      <c r="E63" s="271"/>
      <c r="F63" s="272">
        <v>11643.475064443301</v>
      </c>
      <c r="G63" s="272">
        <v>0.103251</v>
      </c>
      <c r="H63" s="272">
        <v>2.5812750000000002</v>
      </c>
      <c r="I63" s="272">
        <v>0</v>
      </c>
      <c r="J63" s="272">
        <v>0</v>
      </c>
      <c r="K63" s="272">
        <v>0</v>
      </c>
      <c r="L63" s="272">
        <v>0</v>
      </c>
      <c r="M63" s="272">
        <v>0</v>
      </c>
      <c r="N63" s="272">
        <v>0</v>
      </c>
      <c r="O63" s="272">
        <v>11646.056339443299</v>
      </c>
      <c r="P63" s="271"/>
    </row>
    <row r="64" spans="1:16" s="273" customFormat="1" ht="12" x14ac:dyDescent="0.2">
      <c r="A64" s="235"/>
      <c r="B64" s="230"/>
      <c r="C64" s="230" t="s">
        <v>252</v>
      </c>
      <c r="D64" s="271"/>
      <c r="E64" s="271"/>
      <c r="F64" s="272">
        <v>3949.3381489028202</v>
      </c>
      <c r="G64" s="272">
        <v>0</v>
      </c>
      <c r="H64" s="272">
        <v>0</v>
      </c>
      <c r="I64" s="272">
        <v>0</v>
      </c>
      <c r="J64" s="272">
        <v>0</v>
      </c>
      <c r="K64" s="272">
        <v>0</v>
      </c>
      <c r="L64" s="272">
        <v>5343.6831925834404</v>
      </c>
      <c r="M64" s="272">
        <v>51.058926728033498</v>
      </c>
      <c r="N64" s="272">
        <v>0</v>
      </c>
      <c r="O64" s="272">
        <v>9344.0802682143003</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2164.7589579734299</v>
      </c>
      <c r="N65" s="272">
        <v>0</v>
      </c>
      <c r="O65" s="272">
        <v>2164.7589579734299</v>
      </c>
      <c r="P65" s="271"/>
    </row>
    <row r="66" spans="1:16" s="234" customFormat="1" x14ac:dyDescent="0.25">
      <c r="A66" s="278" t="s">
        <v>764</v>
      </c>
      <c r="B66" s="279" t="s">
        <v>775</v>
      </c>
      <c r="C66" s="279"/>
      <c r="D66" s="251"/>
      <c r="E66" s="251"/>
      <c r="F66" s="252">
        <v>0</v>
      </c>
      <c r="G66" s="252">
        <v>0</v>
      </c>
      <c r="H66" s="252">
        <v>0</v>
      </c>
      <c r="I66" s="252">
        <v>0</v>
      </c>
      <c r="J66" s="252">
        <v>0</v>
      </c>
      <c r="K66" s="252">
        <v>2160.3645210514101</v>
      </c>
      <c r="L66" s="252">
        <v>26.602517221683701</v>
      </c>
      <c r="M66" s="252">
        <v>2.6842603471698099</v>
      </c>
      <c r="N66" s="252">
        <v>0.24641998533333401</v>
      </c>
      <c r="O66" s="252">
        <v>2189.8977186055899</v>
      </c>
      <c r="P66" s="251"/>
    </row>
    <row r="67" spans="1:16" s="234" customFormat="1" ht="12.75" x14ac:dyDescent="0.2">
      <c r="A67" s="278" t="s">
        <v>776</v>
      </c>
      <c r="B67" s="279" t="s">
        <v>777</v>
      </c>
      <c r="C67" s="279"/>
      <c r="D67" s="251"/>
      <c r="E67" s="251"/>
      <c r="F67" s="252">
        <v>7843.3274294166504</v>
      </c>
      <c r="G67" s="252">
        <v>0</v>
      </c>
      <c r="H67" s="252">
        <v>0</v>
      </c>
      <c r="I67" s="252">
        <v>0</v>
      </c>
      <c r="J67" s="252">
        <v>0</v>
      </c>
      <c r="K67" s="252">
        <v>0</v>
      </c>
      <c r="L67" s="252">
        <v>0</v>
      </c>
      <c r="M67" s="252">
        <v>0</v>
      </c>
      <c r="N67" s="252">
        <v>0</v>
      </c>
      <c r="O67" s="252">
        <v>7843.3274294166504</v>
      </c>
      <c r="P67" s="251"/>
    </row>
    <row r="68" spans="1:16" s="234" customFormat="1" ht="12.75" x14ac:dyDescent="0.2">
      <c r="A68" s="259" t="s">
        <v>778</v>
      </c>
      <c r="B68" s="260" t="s">
        <v>779</v>
      </c>
      <c r="C68" s="260"/>
      <c r="D68" s="280"/>
      <c r="E68" s="280"/>
      <c r="F68" s="281">
        <v>0</v>
      </c>
      <c r="G68" s="281">
        <v>0</v>
      </c>
      <c r="H68" s="281">
        <v>0</v>
      </c>
      <c r="I68" s="281">
        <v>1.3210915744217699</v>
      </c>
      <c r="J68" s="281">
        <v>393.68528917768703</v>
      </c>
      <c r="K68" s="281">
        <v>0</v>
      </c>
      <c r="L68" s="281">
        <v>1.5001820255590299</v>
      </c>
      <c r="M68" s="281">
        <v>191.60078853838399</v>
      </c>
      <c r="N68" s="281">
        <v>0</v>
      </c>
      <c r="O68" s="281">
        <v>586.78625974163003</v>
      </c>
      <c r="P68" s="251"/>
    </row>
    <row r="69" spans="1:16" s="267" customFormat="1" ht="12.75" x14ac:dyDescent="0.2">
      <c r="A69" s="282" t="s">
        <v>780</v>
      </c>
      <c r="B69" s="283"/>
      <c r="C69" s="283"/>
      <c r="D69" s="284"/>
      <c r="E69" s="284"/>
      <c r="F69" s="285">
        <v>1544.734972</v>
      </c>
      <c r="G69" s="285">
        <v>1273.70163229627</v>
      </c>
      <c r="H69" s="285">
        <v>31842.540807406702</v>
      </c>
      <c r="I69" s="285">
        <v>80.164959717509106</v>
      </c>
      <c r="J69" s="285">
        <v>23889.157995817699</v>
      </c>
      <c r="K69" s="285">
        <v>0</v>
      </c>
      <c r="L69" s="285">
        <v>0</v>
      </c>
      <c r="M69" s="285">
        <v>0</v>
      </c>
      <c r="N69" s="285">
        <v>0</v>
      </c>
      <c r="O69" s="285">
        <v>57276.433775224403</v>
      </c>
      <c r="P69" s="265"/>
    </row>
    <row r="70" spans="1:16" s="234" customFormat="1" ht="12.75" x14ac:dyDescent="0.2">
      <c r="A70" s="278" t="s">
        <v>724</v>
      </c>
      <c r="B70" s="279" t="s">
        <v>27</v>
      </c>
      <c r="C70" s="279"/>
      <c r="D70" s="251"/>
      <c r="E70" s="251"/>
      <c r="F70" s="252">
        <v>0</v>
      </c>
      <c r="G70" s="252">
        <v>1114.3024178114699</v>
      </c>
      <c r="H70" s="252">
        <v>27857.560445286701</v>
      </c>
      <c r="I70" s="252">
        <v>0</v>
      </c>
      <c r="J70" s="252">
        <v>0</v>
      </c>
      <c r="K70" s="252">
        <v>0</v>
      </c>
      <c r="L70" s="252">
        <v>0</v>
      </c>
      <c r="M70" s="252">
        <v>0</v>
      </c>
      <c r="N70" s="252">
        <v>0</v>
      </c>
      <c r="O70" s="252">
        <v>27857.560445286701</v>
      </c>
      <c r="P70" s="251"/>
    </row>
    <row r="71" spans="1:16" s="234" customFormat="1" ht="12.75" x14ac:dyDescent="0.2">
      <c r="A71" s="278" t="s">
        <v>737</v>
      </c>
      <c r="B71" s="279" t="s">
        <v>28</v>
      </c>
      <c r="C71" s="279"/>
      <c r="D71" s="251"/>
      <c r="E71" s="251"/>
      <c r="F71" s="252">
        <v>0</v>
      </c>
      <c r="G71" s="252">
        <v>154.87481740703799</v>
      </c>
      <c r="H71" s="252">
        <v>3871.8704351759402</v>
      </c>
      <c r="I71" s="252">
        <v>16.705158787300899</v>
      </c>
      <c r="J71" s="252">
        <v>4978.1373186156698</v>
      </c>
      <c r="K71" s="252">
        <v>0</v>
      </c>
      <c r="L71" s="252">
        <v>0</v>
      </c>
      <c r="M71" s="252">
        <v>0</v>
      </c>
      <c r="N71" s="252">
        <v>0</v>
      </c>
      <c r="O71" s="252">
        <v>8850.0077537916095</v>
      </c>
      <c r="P71" s="251"/>
    </row>
    <row r="72" spans="1:16" s="234" customFormat="1" ht="12.75" x14ac:dyDescent="0.2">
      <c r="A72" s="224" t="s">
        <v>758</v>
      </c>
      <c r="B72" s="225" t="s">
        <v>781</v>
      </c>
      <c r="C72" s="225"/>
      <c r="F72" s="231">
        <v>0</v>
      </c>
      <c r="G72" s="231">
        <v>0</v>
      </c>
      <c r="H72" s="231">
        <v>0</v>
      </c>
      <c r="I72" s="231">
        <v>63.342501746710703</v>
      </c>
      <c r="J72" s="231">
        <v>18876.065520519802</v>
      </c>
      <c r="K72" s="231">
        <v>0</v>
      </c>
      <c r="L72" s="231">
        <v>0</v>
      </c>
      <c r="M72" s="231">
        <v>0</v>
      </c>
      <c r="N72" s="231">
        <v>0</v>
      </c>
      <c r="O72" s="231">
        <v>18876.065520519802</v>
      </c>
    </row>
    <row r="73" spans="1:16" s="237" customFormat="1" ht="12" x14ac:dyDescent="0.2">
      <c r="A73" s="286"/>
      <c r="B73" s="258"/>
      <c r="C73" s="258" t="s">
        <v>782</v>
      </c>
      <c r="D73" s="243"/>
      <c r="E73" s="243"/>
      <c r="F73" s="244">
        <v>0</v>
      </c>
      <c r="G73" s="244">
        <v>0</v>
      </c>
      <c r="H73" s="244">
        <v>0</v>
      </c>
      <c r="I73" s="244">
        <v>52.366052285737702</v>
      </c>
      <c r="J73" s="244">
        <v>15605.0835811498</v>
      </c>
      <c r="K73" s="244">
        <v>0</v>
      </c>
      <c r="L73" s="244">
        <v>0</v>
      </c>
      <c r="M73" s="244">
        <v>0</v>
      </c>
      <c r="N73" s="244">
        <v>0</v>
      </c>
      <c r="O73" s="244">
        <v>15605.0835811498</v>
      </c>
    </row>
    <row r="74" spans="1:16" s="237" customFormat="1" ht="12" x14ac:dyDescent="0.2">
      <c r="A74" s="286"/>
      <c r="B74" s="258"/>
      <c r="C74" s="258" t="s">
        <v>783</v>
      </c>
      <c r="D74" s="243"/>
      <c r="E74" s="243"/>
      <c r="F74" s="244">
        <v>0</v>
      </c>
      <c r="G74" s="244">
        <v>0</v>
      </c>
      <c r="H74" s="244">
        <v>0</v>
      </c>
      <c r="I74" s="244">
        <v>10.976449460973001</v>
      </c>
      <c r="J74" s="244">
        <v>3270.9819393699499</v>
      </c>
      <c r="K74" s="244">
        <v>0</v>
      </c>
      <c r="L74" s="244">
        <v>0</v>
      </c>
      <c r="M74" s="244">
        <v>0</v>
      </c>
      <c r="N74" s="244">
        <v>0</v>
      </c>
      <c r="O74" s="244">
        <v>3270.9819393699499</v>
      </c>
    </row>
    <row r="75" spans="1:16" s="234" customFormat="1" ht="12.75" x14ac:dyDescent="0.2">
      <c r="A75" s="278" t="s">
        <v>764</v>
      </c>
      <c r="B75" s="279" t="s">
        <v>193</v>
      </c>
      <c r="C75" s="287"/>
      <c r="D75" s="251"/>
      <c r="E75" s="251"/>
      <c r="F75" s="252">
        <v>0</v>
      </c>
      <c r="G75" s="252">
        <v>4.5243970777615603</v>
      </c>
      <c r="H75" s="252">
        <v>113.109926944039</v>
      </c>
      <c r="I75" s="252">
        <v>0.117299183497522</v>
      </c>
      <c r="J75" s="252">
        <v>34.955156682261503</v>
      </c>
      <c r="K75" s="252">
        <v>0</v>
      </c>
      <c r="L75" s="252">
        <v>0</v>
      </c>
      <c r="M75" s="252">
        <v>0</v>
      </c>
      <c r="N75" s="252">
        <v>0</v>
      </c>
      <c r="O75" s="252">
        <v>148.065083626301</v>
      </c>
    </row>
    <row r="76" spans="1:16" s="234" customFormat="1" ht="12.75" x14ac:dyDescent="0.2">
      <c r="A76" s="259" t="s">
        <v>776</v>
      </c>
      <c r="B76" s="260" t="s">
        <v>784</v>
      </c>
      <c r="C76" s="288"/>
      <c r="D76" s="280"/>
      <c r="E76" s="280"/>
      <c r="F76" s="281">
        <v>1544.734972</v>
      </c>
      <c r="G76" s="281">
        <v>0</v>
      </c>
      <c r="H76" s="281">
        <v>0</v>
      </c>
      <c r="I76" s="281">
        <v>0</v>
      </c>
      <c r="J76" s="281">
        <v>0</v>
      </c>
      <c r="K76" s="281">
        <v>0</v>
      </c>
      <c r="L76" s="281">
        <v>0</v>
      </c>
      <c r="M76" s="281">
        <v>0</v>
      </c>
      <c r="N76" s="281">
        <v>0</v>
      </c>
      <c r="O76" s="281">
        <v>1544.734972</v>
      </c>
    </row>
    <row r="77" spans="1:16" s="234" customFormat="1" ht="12.75" x14ac:dyDescent="0.2">
      <c r="A77" s="220" t="s">
        <v>785</v>
      </c>
      <c r="B77" s="289"/>
      <c r="C77" s="289"/>
      <c r="F77" s="223">
        <v>489.59858172999998</v>
      </c>
      <c r="G77" s="223">
        <v>959.87130582999998</v>
      </c>
      <c r="H77" s="223">
        <v>23996.782645750001</v>
      </c>
      <c r="I77" s="223">
        <v>3.9063011599999999</v>
      </c>
      <c r="J77" s="223">
        <v>1164.0777456799999</v>
      </c>
      <c r="K77" s="223">
        <v>0</v>
      </c>
      <c r="L77" s="223">
        <v>0</v>
      </c>
      <c r="M77" s="223">
        <v>0</v>
      </c>
      <c r="N77" s="223">
        <v>0</v>
      </c>
      <c r="O77" s="223">
        <v>25650.458973159999</v>
      </c>
    </row>
    <row r="78" spans="1:16" s="234" customFormat="1" ht="12.75" x14ac:dyDescent="0.2">
      <c r="A78" s="224" t="s">
        <v>724</v>
      </c>
      <c r="B78" s="225" t="s">
        <v>786</v>
      </c>
      <c r="C78" s="225"/>
      <c r="F78" s="231">
        <v>0</v>
      </c>
      <c r="G78" s="231">
        <v>923.05421134999995</v>
      </c>
      <c r="H78" s="231">
        <v>23076.355283749999</v>
      </c>
      <c r="I78" s="231">
        <v>0</v>
      </c>
      <c r="J78" s="231">
        <v>0</v>
      </c>
      <c r="K78" s="231">
        <v>0</v>
      </c>
      <c r="L78" s="231">
        <v>0</v>
      </c>
      <c r="M78" s="231">
        <v>0</v>
      </c>
      <c r="N78" s="231">
        <v>0</v>
      </c>
      <c r="O78" s="231">
        <v>23076.355283749999</v>
      </c>
    </row>
    <row r="79" spans="1:16" s="234" customFormat="1" ht="12.75" x14ac:dyDescent="0.2">
      <c r="A79" s="224" t="s">
        <v>737</v>
      </c>
      <c r="B79" s="225" t="s">
        <v>787</v>
      </c>
      <c r="C79" s="225"/>
      <c r="F79" s="231">
        <v>0</v>
      </c>
      <c r="G79" s="231">
        <v>22.112089399999999</v>
      </c>
      <c r="H79" s="231">
        <v>552.802235</v>
      </c>
      <c r="I79" s="231">
        <v>1.32672536</v>
      </c>
      <c r="J79" s="231">
        <v>395.36415727999997</v>
      </c>
      <c r="K79" s="231">
        <v>0</v>
      </c>
      <c r="L79" s="231">
        <v>0</v>
      </c>
      <c r="M79" s="231">
        <v>0</v>
      </c>
      <c r="N79" s="231">
        <v>0</v>
      </c>
      <c r="O79" s="231">
        <v>948.16639227999997</v>
      </c>
    </row>
    <row r="80" spans="1:16" s="234" customFormat="1" ht="12.75" x14ac:dyDescent="0.2">
      <c r="A80" s="278" t="s">
        <v>788</v>
      </c>
      <c r="B80" s="279" t="s">
        <v>789</v>
      </c>
      <c r="C80" s="279"/>
      <c r="D80" s="251"/>
      <c r="E80" s="251"/>
      <c r="F80" s="252">
        <v>0</v>
      </c>
      <c r="G80" s="252">
        <v>14.507331560000001</v>
      </c>
      <c r="H80" s="252">
        <v>362.683289</v>
      </c>
      <c r="I80" s="252">
        <v>1.9877686400000001</v>
      </c>
      <c r="J80" s="252">
        <v>592.35505472</v>
      </c>
      <c r="K80" s="252">
        <v>0</v>
      </c>
      <c r="L80" s="252">
        <v>0</v>
      </c>
      <c r="M80" s="252">
        <v>0</v>
      </c>
      <c r="N80" s="252">
        <v>0</v>
      </c>
      <c r="O80" s="252">
        <v>955.03834371999994</v>
      </c>
    </row>
    <row r="81" spans="1:30" s="234" customFormat="1" ht="12.75" x14ac:dyDescent="0.2">
      <c r="A81" s="259" t="s">
        <v>764</v>
      </c>
      <c r="B81" s="260" t="s">
        <v>790</v>
      </c>
      <c r="C81" s="260"/>
      <c r="D81" s="280"/>
      <c r="E81" s="280"/>
      <c r="F81" s="281">
        <v>489.59858172999998</v>
      </c>
      <c r="G81" s="281">
        <v>0.19767351999999999</v>
      </c>
      <c r="H81" s="281">
        <v>4.9418379999999997</v>
      </c>
      <c r="I81" s="281">
        <v>0.59180716</v>
      </c>
      <c r="J81" s="281">
        <v>176.35853367999999</v>
      </c>
      <c r="K81" s="281">
        <v>0</v>
      </c>
      <c r="L81" s="281">
        <v>0</v>
      </c>
      <c r="M81" s="281">
        <v>0</v>
      </c>
      <c r="N81" s="281">
        <v>0</v>
      </c>
      <c r="O81" s="281">
        <v>670.89895340999999</v>
      </c>
    </row>
    <row r="82" spans="1:30" s="267" customFormat="1" ht="12.75" x14ac:dyDescent="0.2">
      <c r="A82" s="263" t="s">
        <v>791</v>
      </c>
      <c r="B82" s="264"/>
      <c r="C82" s="264"/>
      <c r="F82" s="223">
        <v>-79839.492222000001</v>
      </c>
      <c r="G82" s="223">
        <v>50.567295000000001</v>
      </c>
      <c r="H82" s="223">
        <v>1264.1823750000001</v>
      </c>
      <c r="I82" s="223">
        <v>1.7648410000000001</v>
      </c>
      <c r="J82" s="223">
        <v>525.92261800000006</v>
      </c>
      <c r="K82" s="223">
        <v>0</v>
      </c>
      <c r="L82" s="223">
        <v>0</v>
      </c>
      <c r="M82" s="223">
        <v>0</v>
      </c>
      <c r="N82" s="223">
        <v>0</v>
      </c>
      <c r="O82" s="223">
        <v>-78049.387229</v>
      </c>
    </row>
    <row r="83" spans="1:30" s="234" customFormat="1" ht="12.75" x14ac:dyDescent="0.2">
      <c r="A83" s="224" t="s">
        <v>724</v>
      </c>
      <c r="B83" s="225" t="s">
        <v>792</v>
      </c>
      <c r="C83" s="225"/>
      <c r="F83" s="231">
        <v>-233181.017979</v>
      </c>
      <c r="G83" s="231">
        <v>14.735507</v>
      </c>
      <c r="H83" s="231">
        <v>368.387675</v>
      </c>
      <c r="I83" s="231">
        <v>0.61302500000000004</v>
      </c>
      <c r="J83" s="231">
        <v>182.68145000000001</v>
      </c>
      <c r="K83" s="231">
        <v>0</v>
      </c>
      <c r="L83" s="231">
        <v>0</v>
      </c>
      <c r="M83" s="231">
        <v>0</v>
      </c>
      <c r="N83" s="231">
        <v>0</v>
      </c>
      <c r="O83" s="231">
        <v>-232629.94885399999</v>
      </c>
    </row>
    <row r="84" spans="1:30" s="234" customFormat="1" ht="12.75" x14ac:dyDescent="0.2">
      <c r="A84" s="224" t="s">
        <v>737</v>
      </c>
      <c r="B84" s="225" t="s">
        <v>793</v>
      </c>
      <c r="C84" s="225"/>
      <c r="F84" s="231">
        <v>-3167.2188630000001</v>
      </c>
      <c r="G84" s="231">
        <v>5.5531519999999999</v>
      </c>
      <c r="H84" s="231">
        <v>138.8288</v>
      </c>
      <c r="I84" s="231">
        <v>0.27709400000000001</v>
      </c>
      <c r="J84" s="231">
        <v>82.574011999999996</v>
      </c>
      <c r="K84" s="231">
        <v>0</v>
      </c>
      <c r="L84" s="231">
        <v>0</v>
      </c>
      <c r="M84" s="231">
        <v>0</v>
      </c>
      <c r="N84" s="231">
        <v>0</v>
      </c>
      <c r="O84" s="231">
        <v>-2945.8160509999998</v>
      </c>
    </row>
    <row r="85" spans="1:30" s="234" customFormat="1" ht="12.75" x14ac:dyDescent="0.2">
      <c r="A85" s="278" t="s">
        <v>758</v>
      </c>
      <c r="B85" s="279" t="s">
        <v>794</v>
      </c>
      <c r="C85" s="279"/>
      <c r="F85" s="231">
        <v>0</v>
      </c>
      <c r="G85" s="231">
        <v>23.429790000000001</v>
      </c>
      <c r="H85" s="231">
        <v>585.74474999999995</v>
      </c>
      <c r="I85" s="231">
        <v>0.60743000000000003</v>
      </c>
      <c r="J85" s="231">
        <v>181.01414</v>
      </c>
      <c r="K85" s="231">
        <v>0</v>
      </c>
      <c r="L85" s="231">
        <v>0</v>
      </c>
      <c r="M85" s="231">
        <v>0</v>
      </c>
      <c r="N85" s="231">
        <v>0</v>
      </c>
      <c r="O85" s="231">
        <v>766.75888999999995</v>
      </c>
    </row>
    <row r="86" spans="1:30" s="234" customFormat="1" ht="12.75" x14ac:dyDescent="0.2">
      <c r="A86" s="278" t="s">
        <v>764</v>
      </c>
      <c r="B86" s="279" t="s">
        <v>795</v>
      </c>
      <c r="C86" s="279"/>
      <c r="F86" s="231">
        <v>3227.185763</v>
      </c>
      <c r="G86" s="231">
        <v>1.9333260000000001</v>
      </c>
      <c r="H86" s="231">
        <v>48.333150000000003</v>
      </c>
      <c r="I86" s="231">
        <v>8.6928000000000005E-2</v>
      </c>
      <c r="J86" s="231">
        <v>25.904544000000001</v>
      </c>
      <c r="K86" s="231">
        <v>0</v>
      </c>
      <c r="L86" s="231">
        <v>0</v>
      </c>
      <c r="M86" s="231">
        <v>0</v>
      </c>
      <c r="N86" s="231">
        <v>0</v>
      </c>
      <c r="O86" s="231">
        <v>3301.4234569999999</v>
      </c>
    </row>
    <row r="87" spans="1:30" s="234" customFormat="1" ht="12.75" x14ac:dyDescent="0.2">
      <c r="A87" s="278" t="s">
        <v>776</v>
      </c>
      <c r="B87" s="279" t="s">
        <v>796</v>
      </c>
      <c r="C87" s="279"/>
      <c r="D87" s="251"/>
      <c r="E87" s="251"/>
      <c r="F87" s="252">
        <v>3310.5193559999998</v>
      </c>
      <c r="G87" s="252">
        <v>4.9155199999999999</v>
      </c>
      <c r="H87" s="252">
        <v>122.88800000000001</v>
      </c>
      <c r="I87" s="252">
        <v>0.180364</v>
      </c>
      <c r="J87" s="252">
        <v>53.748472</v>
      </c>
      <c r="K87" s="252">
        <v>0</v>
      </c>
      <c r="L87" s="252">
        <v>0</v>
      </c>
      <c r="M87" s="252">
        <v>0</v>
      </c>
      <c r="N87" s="252">
        <v>0</v>
      </c>
      <c r="O87" s="252">
        <v>3487.1558279999999</v>
      </c>
    </row>
    <row r="88" spans="1:30" s="234" customFormat="1" ht="12.75" x14ac:dyDescent="0.2">
      <c r="A88" s="259" t="s">
        <v>778</v>
      </c>
      <c r="B88" s="260" t="s">
        <v>797</v>
      </c>
      <c r="C88" s="260"/>
      <c r="D88" s="280"/>
      <c r="E88" s="280"/>
      <c r="F88" s="281">
        <v>149971.03950099999</v>
      </c>
      <c r="G88" s="281">
        <v>0</v>
      </c>
      <c r="H88" s="281">
        <v>0</v>
      </c>
      <c r="I88" s="281">
        <v>0</v>
      </c>
      <c r="J88" s="281">
        <v>0</v>
      </c>
      <c r="K88" s="281">
        <v>0</v>
      </c>
      <c r="L88" s="281">
        <v>0</v>
      </c>
      <c r="M88" s="281">
        <v>0</v>
      </c>
      <c r="N88" s="281">
        <v>0</v>
      </c>
      <c r="O88" s="281">
        <v>149971.03950099999</v>
      </c>
      <c r="P88" s="251"/>
      <c r="Q88" s="251"/>
      <c r="R88" s="251"/>
      <c r="S88" s="251"/>
      <c r="T88" s="251"/>
      <c r="U88" s="251"/>
      <c r="V88" s="251"/>
      <c r="W88" s="251"/>
      <c r="X88" s="251"/>
      <c r="Y88" s="251"/>
      <c r="Z88" s="251"/>
      <c r="AA88" s="251"/>
      <c r="AB88" s="251"/>
      <c r="AC88" s="251"/>
      <c r="AD88" s="251"/>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D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826</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532921.22786446696</v>
      </c>
      <c r="G7" s="218">
        <v>4723.3942070994399</v>
      </c>
      <c r="H7" s="218">
        <v>118084.855177486</v>
      </c>
      <c r="I7" s="218">
        <v>142.10927290245701</v>
      </c>
      <c r="J7" s="218">
        <v>42348.563324932104</v>
      </c>
      <c r="K7" s="218">
        <v>1620.11150727323</v>
      </c>
      <c r="L7" s="218">
        <v>6477.2303299429404</v>
      </c>
      <c r="M7" s="218">
        <v>2357.4858548001598</v>
      </c>
      <c r="N7" s="218">
        <v>0.25509044800000003</v>
      </c>
      <c r="O7" s="218">
        <v>703809.72914934997</v>
      </c>
    </row>
    <row r="8" spans="1:16" ht="15.75" thickTop="1" x14ac:dyDescent="0.2">
      <c r="A8" s="220" t="s">
        <v>723</v>
      </c>
      <c r="B8" s="221"/>
      <c r="C8" s="221"/>
      <c r="F8" s="223">
        <v>492431.78367636498</v>
      </c>
      <c r="G8" s="223">
        <v>2508.95345603958</v>
      </c>
      <c r="H8" s="223">
        <v>62723.836400989603</v>
      </c>
      <c r="I8" s="223">
        <v>38.210418660955497</v>
      </c>
      <c r="J8" s="223">
        <v>11386.7047609647</v>
      </c>
      <c r="K8" s="223">
        <v>0</v>
      </c>
      <c r="L8" s="223">
        <v>0</v>
      </c>
      <c r="M8" s="223">
        <v>0</v>
      </c>
      <c r="N8" s="223">
        <v>0</v>
      </c>
      <c r="O8" s="223">
        <v>566542.32483831898</v>
      </c>
    </row>
    <row r="9" spans="1:16" x14ac:dyDescent="0.2">
      <c r="A9" s="224" t="s">
        <v>724</v>
      </c>
      <c r="B9" s="225" t="s">
        <v>725</v>
      </c>
      <c r="C9" s="225"/>
      <c r="F9" s="226">
        <v>308116.46279387397</v>
      </c>
      <c r="G9" s="226">
        <v>268.56004977251303</v>
      </c>
      <c r="H9" s="226">
        <v>6714.0012443128198</v>
      </c>
      <c r="I9" s="226">
        <v>8.7001443964768796</v>
      </c>
      <c r="J9" s="226">
        <v>2592.64303015011</v>
      </c>
      <c r="K9" s="226">
        <v>0</v>
      </c>
      <c r="L9" s="226">
        <v>0</v>
      </c>
      <c r="M9" s="226">
        <v>0</v>
      </c>
      <c r="N9" s="226">
        <v>0</v>
      </c>
      <c r="O9" s="226">
        <v>317423.10706833698</v>
      </c>
      <c r="P9" s="227"/>
    </row>
    <row r="10" spans="1:16" x14ac:dyDescent="0.2">
      <c r="A10" s="228"/>
      <c r="B10" s="229" t="s">
        <v>726</v>
      </c>
      <c r="C10" s="230"/>
      <c r="F10" s="231">
        <v>120995.50788593599</v>
      </c>
      <c r="G10" s="231">
        <v>3.95556758938223</v>
      </c>
      <c r="H10" s="231">
        <v>98.8891897345556</v>
      </c>
      <c r="I10" s="231">
        <v>2.2818651877875902</v>
      </c>
      <c r="J10" s="231">
        <v>679.99582596070104</v>
      </c>
      <c r="K10" s="231">
        <v>0</v>
      </c>
      <c r="L10" s="231">
        <v>0</v>
      </c>
      <c r="M10" s="231">
        <v>0</v>
      </c>
      <c r="N10" s="231">
        <v>0</v>
      </c>
      <c r="O10" s="231">
        <v>121774.392901632</v>
      </c>
    </row>
    <row r="11" spans="1:16" x14ac:dyDescent="0.2">
      <c r="A11" s="228"/>
      <c r="B11" s="232" t="s">
        <v>727</v>
      </c>
      <c r="C11" s="230"/>
      <c r="F11" s="231">
        <v>18158.068456303001</v>
      </c>
      <c r="G11" s="231">
        <v>0.448157711606956</v>
      </c>
      <c r="H11" s="231">
        <v>11.203942790173899</v>
      </c>
      <c r="I11" s="231">
        <v>0.184455894484854</v>
      </c>
      <c r="J11" s="231">
        <v>54.967856556486602</v>
      </c>
      <c r="K11" s="231">
        <v>0</v>
      </c>
      <c r="L11" s="231">
        <v>0</v>
      </c>
      <c r="M11" s="231">
        <v>0</v>
      </c>
      <c r="N11" s="231">
        <v>0</v>
      </c>
      <c r="O11" s="231">
        <v>18224.2402556497</v>
      </c>
    </row>
    <row r="12" spans="1:16" s="234" customFormat="1" ht="12.75" x14ac:dyDescent="0.2">
      <c r="A12" s="228"/>
      <c r="B12" s="232" t="s">
        <v>728</v>
      </c>
      <c r="C12" s="233"/>
      <c r="F12" s="231">
        <v>45244.679425657501</v>
      </c>
      <c r="G12" s="231">
        <v>86.028085001745197</v>
      </c>
      <c r="H12" s="231">
        <v>2150.7021250436301</v>
      </c>
      <c r="I12" s="231">
        <v>1.1197359180081199</v>
      </c>
      <c r="J12" s="231">
        <v>333.68130356642098</v>
      </c>
      <c r="K12" s="231">
        <v>0</v>
      </c>
      <c r="L12" s="231">
        <v>0</v>
      </c>
      <c r="M12" s="231">
        <v>0</v>
      </c>
      <c r="N12" s="231">
        <v>0</v>
      </c>
      <c r="O12" s="231">
        <v>47729.062854267599</v>
      </c>
    </row>
    <row r="13" spans="1:16" s="234" customFormat="1" ht="12.75" x14ac:dyDescent="0.2">
      <c r="A13" s="228"/>
      <c r="B13" s="229" t="s">
        <v>729</v>
      </c>
      <c r="C13" s="229"/>
      <c r="F13" s="231">
        <v>54138.982568606603</v>
      </c>
      <c r="G13" s="231">
        <v>2.5131708622013602</v>
      </c>
      <c r="H13" s="231">
        <v>62.829271555034097</v>
      </c>
      <c r="I13" s="231">
        <v>1.93593663486089</v>
      </c>
      <c r="J13" s="231">
        <v>576.90911718854602</v>
      </c>
      <c r="K13" s="231">
        <v>0</v>
      </c>
      <c r="L13" s="231">
        <v>0</v>
      </c>
      <c r="M13" s="231">
        <v>0</v>
      </c>
      <c r="N13" s="231">
        <v>0</v>
      </c>
      <c r="O13" s="231">
        <v>54778.720957350197</v>
      </c>
    </row>
    <row r="14" spans="1:16" s="237" customFormat="1" ht="12" x14ac:dyDescent="0.2">
      <c r="A14" s="235"/>
      <c r="B14" s="230"/>
      <c r="C14" s="236" t="s">
        <v>2</v>
      </c>
      <c r="F14" s="238">
        <v>6181.94237520976</v>
      </c>
      <c r="G14" s="238">
        <v>0.16499659403165301</v>
      </c>
      <c r="H14" s="238">
        <v>4.1249148507913302</v>
      </c>
      <c r="I14" s="238">
        <v>0.14266932164985299</v>
      </c>
      <c r="J14" s="238">
        <v>42.515457851656201</v>
      </c>
      <c r="K14" s="238">
        <v>0</v>
      </c>
      <c r="L14" s="238">
        <v>0</v>
      </c>
      <c r="M14" s="238">
        <v>0</v>
      </c>
      <c r="N14" s="238">
        <v>0</v>
      </c>
      <c r="O14" s="238">
        <v>6228.5827479122099</v>
      </c>
    </row>
    <row r="15" spans="1:16" s="237" customFormat="1" ht="12" x14ac:dyDescent="0.2">
      <c r="A15" s="235"/>
      <c r="B15" s="230"/>
      <c r="C15" s="236" t="s">
        <v>730</v>
      </c>
      <c r="F15" s="238">
        <v>3861.4522334670201</v>
      </c>
      <c r="G15" s="238">
        <v>7.9099745328833598E-2</v>
      </c>
      <c r="H15" s="238">
        <v>1.9774936332208399</v>
      </c>
      <c r="I15" s="238">
        <v>5.6799038656209701E-2</v>
      </c>
      <c r="J15" s="238">
        <v>16.926113519550501</v>
      </c>
      <c r="K15" s="238">
        <v>0</v>
      </c>
      <c r="L15" s="238">
        <v>0</v>
      </c>
      <c r="M15" s="238">
        <v>0</v>
      </c>
      <c r="N15" s="238">
        <v>0</v>
      </c>
      <c r="O15" s="238">
        <v>3880.3558406197899</v>
      </c>
    </row>
    <row r="16" spans="1:16" s="237" customFormat="1" ht="12" x14ac:dyDescent="0.2">
      <c r="A16" s="235"/>
      <c r="B16" s="230"/>
      <c r="C16" s="236" t="s">
        <v>731</v>
      </c>
      <c r="F16" s="238">
        <v>10751.252705500399</v>
      </c>
      <c r="G16" s="238">
        <v>0.21952567267011999</v>
      </c>
      <c r="H16" s="238">
        <v>5.4881418167530001</v>
      </c>
      <c r="I16" s="238">
        <v>0.18629352027360499</v>
      </c>
      <c r="J16" s="238">
        <v>55.515469041534402</v>
      </c>
      <c r="K16" s="238">
        <v>0</v>
      </c>
      <c r="L16" s="238">
        <v>0</v>
      </c>
      <c r="M16" s="238">
        <v>0</v>
      </c>
      <c r="N16" s="238">
        <v>0</v>
      </c>
      <c r="O16" s="238">
        <v>10812.2563163587</v>
      </c>
    </row>
    <row r="17" spans="1:16" s="237" customFormat="1" ht="12" x14ac:dyDescent="0.2">
      <c r="A17" s="235"/>
      <c r="B17" s="230"/>
      <c r="C17" s="236" t="s">
        <v>732</v>
      </c>
      <c r="F17" s="238">
        <v>11811.022514030001</v>
      </c>
      <c r="G17" s="238">
        <v>1.4192106097293</v>
      </c>
      <c r="H17" s="238">
        <v>35.480265243232502</v>
      </c>
      <c r="I17" s="238">
        <v>1.10264681136489</v>
      </c>
      <c r="J17" s="238">
        <v>328.58874978673703</v>
      </c>
      <c r="K17" s="238">
        <v>0</v>
      </c>
      <c r="L17" s="238">
        <v>0</v>
      </c>
      <c r="M17" s="238">
        <v>0</v>
      </c>
      <c r="N17" s="238">
        <v>0</v>
      </c>
      <c r="O17" s="238">
        <v>12175.091529060001</v>
      </c>
    </row>
    <row r="18" spans="1:16" s="237" customFormat="1" ht="12" x14ac:dyDescent="0.2">
      <c r="A18" s="235"/>
      <c r="B18" s="230"/>
      <c r="C18" s="236" t="s">
        <v>35</v>
      </c>
      <c r="F18" s="238">
        <v>4174.4089616568999</v>
      </c>
      <c r="G18" s="238">
        <v>0.15494152631181199</v>
      </c>
      <c r="H18" s="238">
        <v>3.8735381577952999</v>
      </c>
      <c r="I18" s="238">
        <v>5.1169835117178999E-2</v>
      </c>
      <c r="J18" s="238">
        <v>15.2486108649193</v>
      </c>
      <c r="K18" s="238">
        <v>0</v>
      </c>
      <c r="L18" s="238">
        <v>0</v>
      </c>
      <c r="M18" s="238">
        <v>0</v>
      </c>
      <c r="N18" s="238">
        <v>0</v>
      </c>
      <c r="O18" s="238">
        <v>4193.5311106796098</v>
      </c>
    </row>
    <row r="19" spans="1:16" s="237" customFormat="1" ht="12" x14ac:dyDescent="0.2">
      <c r="A19" s="235"/>
      <c r="B19" s="230"/>
      <c r="C19" s="236" t="s">
        <v>733</v>
      </c>
      <c r="F19" s="238">
        <v>17358.9037787425</v>
      </c>
      <c r="G19" s="238">
        <v>0.47539671412964302</v>
      </c>
      <c r="H19" s="238">
        <v>11.884917853241101</v>
      </c>
      <c r="I19" s="238">
        <v>0.39635810779915398</v>
      </c>
      <c r="J19" s="238">
        <v>118.114716124148</v>
      </c>
      <c r="K19" s="238">
        <v>0</v>
      </c>
      <c r="L19" s="238">
        <v>0</v>
      </c>
      <c r="M19" s="238">
        <v>0</v>
      </c>
      <c r="N19" s="238">
        <v>0</v>
      </c>
      <c r="O19" s="238">
        <v>17488.903412719901</v>
      </c>
    </row>
    <row r="20" spans="1:16" s="234" customFormat="1" ht="12.75" x14ac:dyDescent="0.2">
      <c r="A20" s="228"/>
      <c r="B20" s="229" t="s">
        <v>734</v>
      </c>
      <c r="C20" s="239"/>
      <c r="F20" s="231">
        <v>1110.3743234999999</v>
      </c>
      <c r="G20" s="231">
        <v>1.8940143999999999E-2</v>
      </c>
      <c r="H20" s="231">
        <v>0.47350360000000002</v>
      </c>
      <c r="I20" s="231">
        <v>3.1879513999999998E-2</v>
      </c>
      <c r="J20" s="231">
        <v>9.500095172</v>
      </c>
      <c r="K20" s="231">
        <v>0</v>
      </c>
      <c r="L20" s="231">
        <v>0</v>
      </c>
      <c r="M20" s="231">
        <v>0</v>
      </c>
      <c r="N20" s="231">
        <v>0</v>
      </c>
      <c r="O20" s="231">
        <v>1120.347922272</v>
      </c>
    </row>
    <row r="21" spans="1:16" s="234" customFormat="1" ht="12.75" x14ac:dyDescent="0.2">
      <c r="A21" s="228"/>
      <c r="B21" s="229" t="s">
        <v>735</v>
      </c>
      <c r="C21" s="229"/>
      <c r="F21" s="231">
        <v>27314.675525348601</v>
      </c>
      <c r="G21" s="231">
        <v>0.500718399857779</v>
      </c>
      <c r="H21" s="231">
        <v>12.5179599964445</v>
      </c>
      <c r="I21" s="231">
        <v>0.57504752038475304</v>
      </c>
      <c r="J21" s="231">
        <v>171.36416107465601</v>
      </c>
      <c r="K21" s="231">
        <v>0</v>
      </c>
      <c r="L21" s="231">
        <v>0</v>
      </c>
      <c r="M21" s="231">
        <v>0</v>
      </c>
      <c r="N21" s="231">
        <v>0</v>
      </c>
      <c r="O21" s="231">
        <v>27498.5576464197</v>
      </c>
    </row>
    <row r="22" spans="1:16" s="234" customFormat="1" ht="12.75" x14ac:dyDescent="0.2">
      <c r="A22" s="228"/>
      <c r="B22" s="229" t="s">
        <v>181</v>
      </c>
      <c r="C22" s="229"/>
      <c r="F22" s="231">
        <v>38574.366621000001</v>
      </c>
      <c r="G22" s="231">
        <v>175.053097596432</v>
      </c>
      <c r="H22" s="231">
        <v>4376.3274399108004</v>
      </c>
      <c r="I22" s="231">
        <v>2.5129715520172899</v>
      </c>
      <c r="J22" s="231">
        <v>748.86552250115096</v>
      </c>
      <c r="K22" s="231">
        <v>0</v>
      </c>
      <c r="L22" s="231">
        <v>0</v>
      </c>
      <c r="M22" s="231">
        <v>0</v>
      </c>
      <c r="N22" s="231">
        <v>0</v>
      </c>
      <c r="O22" s="231">
        <v>43699.559583411901</v>
      </c>
    </row>
    <row r="23" spans="1:16" s="234" customFormat="1" ht="12.75" x14ac:dyDescent="0.2">
      <c r="A23" s="228"/>
      <c r="B23" s="229" t="s">
        <v>736</v>
      </c>
      <c r="C23" s="229"/>
      <c r="F23" s="231">
        <v>2579.8079875216899</v>
      </c>
      <c r="G23" s="231">
        <v>4.2312467287247198E-2</v>
      </c>
      <c r="H23" s="231">
        <v>1.05781168218118</v>
      </c>
      <c r="I23" s="231">
        <v>5.8252174933383603E-2</v>
      </c>
      <c r="J23" s="231">
        <v>17.359148130148299</v>
      </c>
      <c r="K23" s="231">
        <v>0</v>
      </c>
      <c r="L23" s="231">
        <v>0</v>
      </c>
      <c r="M23" s="231">
        <v>0</v>
      </c>
      <c r="N23" s="231">
        <v>0</v>
      </c>
      <c r="O23" s="231">
        <v>2598.2249473340198</v>
      </c>
    </row>
    <row r="24" spans="1:16" s="240" customFormat="1" ht="14.25" x14ac:dyDescent="0.2">
      <c r="A24" s="224" t="s">
        <v>737</v>
      </c>
      <c r="B24" s="225" t="s">
        <v>738</v>
      </c>
      <c r="C24" s="225"/>
      <c r="F24" s="226">
        <v>166580.54926680401</v>
      </c>
      <c r="G24" s="226">
        <v>34.707938786084803</v>
      </c>
      <c r="H24" s="226">
        <v>867.698469652119</v>
      </c>
      <c r="I24" s="226">
        <v>29.380079058890601</v>
      </c>
      <c r="J24" s="226">
        <v>8755.2635595493903</v>
      </c>
      <c r="K24" s="226">
        <v>0</v>
      </c>
      <c r="L24" s="226">
        <v>0</v>
      </c>
      <c r="M24" s="226">
        <v>0</v>
      </c>
      <c r="N24" s="226">
        <v>0</v>
      </c>
      <c r="O24" s="226">
        <v>176203.51129600499</v>
      </c>
      <c r="P24" s="241"/>
    </row>
    <row r="25" spans="1:16" s="234" customFormat="1" ht="12.75" x14ac:dyDescent="0.2">
      <c r="A25" s="228"/>
      <c r="B25" s="232" t="s">
        <v>739</v>
      </c>
      <c r="C25" s="229"/>
      <c r="F25" s="231">
        <v>7360.5515706834303</v>
      </c>
      <c r="G25" s="231">
        <v>0.36816426450835199</v>
      </c>
      <c r="H25" s="231">
        <v>9.2041066127088005</v>
      </c>
      <c r="I25" s="231">
        <v>0.222457086573392</v>
      </c>
      <c r="J25" s="231">
        <v>66.292211798870795</v>
      </c>
      <c r="K25" s="231">
        <v>0</v>
      </c>
      <c r="L25" s="231">
        <v>0</v>
      </c>
      <c r="M25" s="231">
        <v>0</v>
      </c>
      <c r="N25" s="231">
        <v>0</v>
      </c>
      <c r="O25" s="231">
        <v>7436.0478890950099</v>
      </c>
    </row>
    <row r="26" spans="1:16" s="234" customFormat="1" ht="12.75" x14ac:dyDescent="0.2">
      <c r="A26" s="228"/>
      <c r="B26" s="229" t="s">
        <v>740</v>
      </c>
      <c r="C26" s="229"/>
      <c r="F26" s="231">
        <v>104716.805267794</v>
      </c>
      <c r="G26" s="231">
        <v>11.5997805751059</v>
      </c>
      <c r="H26" s="231">
        <v>289.99451437764901</v>
      </c>
      <c r="I26" s="231">
        <v>16.869764518982301</v>
      </c>
      <c r="J26" s="231">
        <v>5027.1898266567296</v>
      </c>
      <c r="K26" s="231">
        <v>0</v>
      </c>
      <c r="L26" s="231">
        <v>0</v>
      </c>
      <c r="M26" s="231">
        <v>0</v>
      </c>
      <c r="N26" s="231">
        <v>0</v>
      </c>
      <c r="O26" s="231">
        <v>110033.98960882799</v>
      </c>
    </row>
    <row r="27" spans="1:16" s="237" customFormat="1" ht="12" x14ac:dyDescent="0.2">
      <c r="A27" s="235"/>
      <c r="B27" s="230"/>
      <c r="C27" s="236" t="s">
        <v>741</v>
      </c>
      <c r="F27" s="238">
        <v>39991.382319959601</v>
      </c>
      <c r="G27" s="238">
        <v>5.4049812189705202</v>
      </c>
      <c r="H27" s="238">
        <v>135.124530474263</v>
      </c>
      <c r="I27" s="238">
        <v>8.6007304751821199</v>
      </c>
      <c r="J27" s="238">
        <v>2563.0176816042699</v>
      </c>
      <c r="K27" s="238">
        <v>0</v>
      </c>
      <c r="L27" s="238">
        <v>0</v>
      </c>
      <c r="M27" s="238">
        <v>0</v>
      </c>
      <c r="N27" s="238">
        <v>0</v>
      </c>
      <c r="O27" s="238">
        <v>42689.5245320381</v>
      </c>
    </row>
    <row r="28" spans="1:16" s="237" customFormat="1" ht="12" x14ac:dyDescent="0.2">
      <c r="A28" s="235"/>
      <c r="B28" s="230"/>
      <c r="C28" s="236" t="s">
        <v>742</v>
      </c>
      <c r="F28" s="238">
        <v>29130.5749872134</v>
      </c>
      <c r="G28" s="238">
        <v>3.3972824711799201</v>
      </c>
      <c r="H28" s="238">
        <v>84.932061779498099</v>
      </c>
      <c r="I28" s="238">
        <v>6.88424039835812</v>
      </c>
      <c r="J28" s="238">
        <v>2051.5036387107202</v>
      </c>
      <c r="K28" s="238">
        <v>0</v>
      </c>
      <c r="L28" s="238">
        <v>0</v>
      </c>
      <c r="M28" s="238">
        <v>0</v>
      </c>
      <c r="N28" s="238">
        <v>0</v>
      </c>
      <c r="O28" s="238">
        <v>31267.010687703601</v>
      </c>
    </row>
    <row r="29" spans="1:16" s="237" customFormat="1" ht="12" x14ac:dyDescent="0.2">
      <c r="A29" s="235"/>
      <c r="B29" s="230"/>
      <c r="C29" s="236" t="s">
        <v>743</v>
      </c>
      <c r="F29" s="238">
        <v>10540.0014375338</v>
      </c>
      <c r="G29" s="238">
        <v>1.1547566887588501</v>
      </c>
      <c r="H29" s="238">
        <v>28.868917218971301</v>
      </c>
      <c r="I29" s="238">
        <v>0.429223553158184</v>
      </c>
      <c r="J29" s="238">
        <v>127.908618841139</v>
      </c>
      <c r="K29" s="238">
        <v>0</v>
      </c>
      <c r="L29" s="238">
        <v>0</v>
      </c>
      <c r="M29" s="238">
        <v>0</v>
      </c>
      <c r="N29" s="238">
        <v>0</v>
      </c>
      <c r="O29" s="238">
        <v>10696.7789735939</v>
      </c>
    </row>
    <row r="30" spans="1:16" s="237" customFormat="1" ht="12" x14ac:dyDescent="0.2">
      <c r="A30" s="235"/>
      <c r="B30" s="230"/>
      <c r="C30" s="236" t="s">
        <v>744</v>
      </c>
      <c r="F30" s="238">
        <v>115.14300477526901</v>
      </c>
      <c r="G30" s="238">
        <v>9.1127735555845399E-2</v>
      </c>
      <c r="H30" s="238">
        <v>2.2781933888961299</v>
      </c>
      <c r="I30" s="238">
        <v>2.28589086429081E-3</v>
      </c>
      <c r="J30" s="238">
        <v>0.68119547755865995</v>
      </c>
      <c r="K30" s="238">
        <v>0</v>
      </c>
      <c r="L30" s="238">
        <v>0</v>
      </c>
      <c r="M30" s="238">
        <v>0</v>
      </c>
      <c r="N30" s="238">
        <v>0</v>
      </c>
      <c r="O30" s="238">
        <v>118.102393641723</v>
      </c>
      <c r="P30" s="242"/>
    </row>
    <row r="31" spans="1:16" s="237" customFormat="1" ht="12" x14ac:dyDescent="0.2">
      <c r="A31" s="235"/>
      <c r="B31" s="230"/>
      <c r="C31" s="236" t="s">
        <v>745</v>
      </c>
      <c r="F31" s="238">
        <v>481.73139026909303</v>
      </c>
      <c r="G31" s="238">
        <v>1.1912282199909301E-2</v>
      </c>
      <c r="H31" s="238">
        <v>0.29780705499773202</v>
      </c>
      <c r="I31" s="238">
        <v>3.71960066647491E-2</v>
      </c>
      <c r="J31" s="238">
        <v>11.084409986095199</v>
      </c>
      <c r="K31" s="238">
        <v>0</v>
      </c>
      <c r="L31" s="238">
        <v>0</v>
      </c>
      <c r="M31" s="238">
        <v>0</v>
      </c>
      <c r="N31" s="238">
        <v>0</v>
      </c>
      <c r="O31" s="238">
        <v>493.11360731018601</v>
      </c>
    </row>
    <row r="32" spans="1:16" s="237" customFormat="1" ht="12" x14ac:dyDescent="0.2">
      <c r="A32" s="235"/>
      <c r="B32" s="230"/>
      <c r="C32" s="236" t="s">
        <v>746</v>
      </c>
      <c r="D32" s="243"/>
      <c r="E32" s="243"/>
      <c r="F32" s="244">
        <v>274.830141773555</v>
      </c>
      <c r="G32" s="244">
        <v>7.0203772685676199E-3</v>
      </c>
      <c r="H32" s="244">
        <v>0.17550943171419101</v>
      </c>
      <c r="I32" s="244">
        <v>2.1476664278175302E-2</v>
      </c>
      <c r="J32" s="244">
        <v>6.4000459548962203</v>
      </c>
      <c r="K32" s="244">
        <v>0</v>
      </c>
      <c r="L32" s="244">
        <v>0</v>
      </c>
      <c r="M32" s="244">
        <v>0</v>
      </c>
      <c r="N32" s="244">
        <v>0</v>
      </c>
      <c r="O32" s="244">
        <v>281.40569716016603</v>
      </c>
    </row>
    <row r="33" spans="1:15" s="237" customFormat="1" ht="12" x14ac:dyDescent="0.2">
      <c r="A33" s="235"/>
      <c r="B33" s="230"/>
      <c r="C33" s="236" t="s">
        <v>747</v>
      </c>
      <c r="D33" s="243"/>
      <c r="E33" s="243"/>
      <c r="F33" s="244">
        <v>23241.3427481459</v>
      </c>
      <c r="G33" s="244">
        <v>1.1177034050282499</v>
      </c>
      <c r="H33" s="244">
        <v>27.942585125706302</v>
      </c>
      <c r="I33" s="244">
        <v>0.87715682218657798</v>
      </c>
      <c r="J33" s="244">
        <v>261.3927330116</v>
      </c>
      <c r="K33" s="244">
        <v>0</v>
      </c>
      <c r="L33" s="244">
        <v>0</v>
      </c>
      <c r="M33" s="244">
        <v>0</v>
      </c>
      <c r="N33" s="244">
        <v>0</v>
      </c>
      <c r="O33" s="244">
        <v>23530.678066283199</v>
      </c>
    </row>
    <row r="34" spans="1:15" s="237" customFormat="1" ht="12" x14ac:dyDescent="0.2">
      <c r="A34" s="235"/>
      <c r="B34" s="230"/>
      <c r="C34" s="245" t="s">
        <v>748</v>
      </c>
      <c r="D34" s="243"/>
      <c r="E34" s="243"/>
      <c r="F34" s="244">
        <v>941.79923812306004</v>
      </c>
      <c r="G34" s="244">
        <v>0.41499639614407002</v>
      </c>
      <c r="H34" s="244">
        <v>10.3749099036018</v>
      </c>
      <c r="I34" s="244">
        <v>1.7454708290103E-2</v>
      </c>
      <c r="J34" s="244">
        <v>5.2015030704506797</v>
      </c>
      <c r="K34" s="244">
        <v>0</v>
      </c>
      <c r="L34" s="244">
        <v>0</v>
      </c>
      <c r="M34" s="244">
        <v>0</v>
      </c>
      <c r="N34" s="244">
        <v>0</v>
      </c>
      <c r="O34" s="244">
        <v>957.37565109711295</v>
      </c>
    </row>
    <row r="35" spans="1:15" s="249" customFormat="1" ht="12.75" x14ac:dyDescent="0.2">
      <c r="A35" s="228"/>
      <c r="B35" s="229" t="s">
        <v>749</v>
      </c>
      <c r="C35" s="246"/>
      <c r="D35" s="247"/>
      <c r="E35" s="247"/>
      <c r="F35" s="248">
        <v>5378.3860000000004</v>
      </c>
      <c r="G35" s="248">
        <v>0.30190939999999999</v>
      </c>
      <c r="H35" s="248">
        <v>7.5477350000000003</v>
      </c>
      <c r="I35" s="248">
        <v>2.0813754000000002</v>
      </c>
      <c r="J35" s="248">
        <v>620.24986920000003</v>
      </c>
      <c r="K35" s="248">
        <v>0</v>
      </c>
      <c r="L35" s="248">
        <v>0</v>
      </c>
      <c r="M35" s="248">
        <v>0</v>
      </c>
      <c r="N35" s="248">
        <v>0</v>
      </c>
      <c r="O35" s="248">
        <v>6006.1836042000004</v>
      </c>
    </row>
    <row r="36" spans="1:15" s="249" customFormat="1" ht="12.75" x14ac:dyDescent="0.2">
      <c r="A36" s="228"/>
      <c r="B36" s="232" t="s">
        <v>750</v>
      </c>
      <c r="C36" s="246"/>
      <c r="D36" s="247"/>
      <c r="E36" s="247"/>
      <c r="F36" s="248">
        <v>4894.1462606101804</v>
      </c>
      <c r="G36" s="248">
        <v>0.45180343709999998</v>
      </c>
      <c r="H36" s="248">
        <v>11.295085927500001</v>
      </c>
      <c r="I36" s="248">
        <v>0.12907393741000001</v>
      </c>
      <c r="J36" s="248">
        <v>38.464033348180003</v>
      </c>
      <c r="K36" s="248">
        <v>0</v>
      </c>
      <c r="L36" s="248">
        <v>0</v>
      </c>
      <c r="M36" s="248">
        <v>0</v>
      </c>
      <c r="N36" s="248">
        <v>0</v>
      </c>
      <c r="O36" s="248">
        <v>4943.9053798858604</v>
      </c>
    </row>
    <row r="37" spans="1:15" s="234" customFormat="1" ht="12.75" x14ac:dyDescent="0.2">
      <c r="A37" s="228"/>
      <c r="B37" s="229" t="s">
        <v>751</v>
      </c>
      <c r="C37" s="250"/>
      <c r="D37" s="251"/>
      <c r="E37" s="251"/>
      <c r="F37" s="252">
        <v>44230.6601677164</v>
      </c>
      <c r="G37" s="252">
        <v>21.986281109370498</v>
      </c>
      <c r="H37" s="252">
        <v>549.65702773426199</v>
      </c>
      <c r="I37" s="252">
        <v>10.0774081159249</v>
      </c>
      <c r="J37" s="252">
        <v>3003.06761854561</v>
      </c>
      <c r="K37" s="252">
        <v>0</v>
      </c>
      <c r="L37" s="252">
        <v>0</v>
      </c>
      <c r="M37" s="252">
        <v>0</v>
      </c>
      <c r="N37" s="252">
        <v>0</v>
      </c>
      <c r="O37" s="252">
        <v>47783.384813996199</v>
      </c>
    </row>
    <row r="38" spans="1:15" s="237" customFormat="1" ht="12" x14ac:dyDescent="0.2">
      <c r="A38" s="235"/>
      <c r="B38" s="230"/>
      <c r="C38" s="236" t="s">
        <v>752</v>
      </c>
      <c r="F38" s="238">
        <v>12375.7425741933</v>
      </c>
      <c r="G38" s="238">
        <v>0.72043887734378098</v>
      </c>
      <c r="H38" s="238">
        <v>18.010971933594501</v>
      </c>
      <c r="I38" s="238">
        <v>4.7808223617532297</v>
      </c>
      <c r="J38" s="238">
        <v>1424.68506380246</v>
      </c>
      <c r="K38" s="238">
        <v>0</v>
      </c>
      <c r="L38" s="238">
        <v>0</v>
      </c>
      <c r="M38" s="238">
        <v>0</v>
      </c>
      <c r="N38" s="238">
        <v>0</v>
      </c>
      <c r="O38" s="238">
        <v>13818.438609929301</v>
      </c>
    </row>
    <row r="39" spans="1:15" s="237" customFormat="1" ht="12" x14ac:dyDescent="0.2">
      <c r="A39" s="235"/>
      <c r="B39" s="230"/>
      <c r="C39" s="236" t="s">
        <v>753</v>
      </c>
      <c r="F39" s="238">
        <v>1682.1730621893901</v>
      </c>
      <c r="G39" s="238">
        <v>0.90129415504742205</v>
      </c>
      <c r="H39" s="238">
        <v>22.532353876185599</v>
      </c>
      <c r="I39" s="238">
        <v>0.51340640789131897</v>
      </c>
      <c r="J39" s="238">
        <v>152.99510955161301</v>
      </c>
      <c r="K39" s="238">
        <v>0</v>
      </c>
      <c r="L39" s="238">
        <v>0</v>
      </c>
      <c r="M39" s="238">
        <v>0</v>
      </c>
      <c r="N39" s="238">
        <v>0</v>
      </c>
      <c r="O39" s="238">
        <v>1857.7005256171899</v>
      </c>
    </row>
    <row r="40" spans="1:15" s="237" customFormat="1" ht="12" x14ac:dyDescent="0.2">
      <c r="A40" s="235"/>
      <c r="B40" s="230"/>
      <c r="C40" s="236" t="s">
        <v>754</v>
      </c>
      <c r="F40" s="238">
        <v>9699.1544328589098</v>
      </c>
      <c r="G40" s="238">
        <v>0.79668725103443805</v>
      </c>
      <c r="H40" s="238">
        <v>19.917181275860901</v>
      </c>
      <c r="I40" s="238">
        <v>3.5172148987594101</v>
      </c>
      <c r="J40" s="238">
        <v>1048.1300398303099</v>
      </c>
      <c r="K40" s="238">
        <v>0</v>
      </c>
      <c r="L40" s="238">
        <v>0</v>
      </c>
      <c r="M40" s="238">
        <v>0</v>
      </c>
      <c r="N40" s="238">
        <v>0</v>
      </c>
      <c r="O40" s="238">
        <v>10767.201653965099</v>
      </c>
    </row>
    <row r="41" spans="1:15" s="237" customFormat="1" ht="12" x14ac:dyDescent="0.2">
      <c r="A41" s="235"/>
      <c r="B41" s="230"/>
      <c r="C41" s="236" t="s">
        <v>755</v>
      </c>
      <c r="F41" s="238">
        <v>378.63441411394001</v>
      </c>
      <c r="G41" s="238">
        <v>0.235679301692093</v>
      </c>
      <c r="H41" s="238">
        <v>5.8919825423023298</v>
      </c>
      <c r="I41" s="238">
        <v>7.6172466092411406E-2</v>
      </c>
      <c r="J41" s="238">
        <v>22.6993948955386</v>
      </c>
      <c r="K41" s="238">
        <v>0</v>
      </c>
      <c r="L41" s="238">
        <v>0</v>
      </c>
      <c r="M41" s="238">
        <v>0</v>
      </c>
      <c r="N41" s="238">
        <v>0</v>
      </c>
      <c r="O41" s="238">
        <v>407.22579155178101</v>
      </c>
    </row>
    <row r="42" spans="1:15" s="237" customFormat="1" ht="12" x14ac:dyDescent="0.2">
      <c r="A42" s="235"/>
      <c r="B42" s="230"/>
      <c r="C42" s="236" t="s">
        <v>756</v>
      </c>
      <c r="F42" s="238">
        <v>7950.9580843608501</v>
      </c>
      <c r="G42" s="238">
        <v>7.1863460242527397</v>
      </c>
      <c r="H42" s="238">
        <v>179.65865060631899</v>
      </c>
      <c r="I42" s="238">
        <v>0.86084698142848803</v>
      </c>
      <c r="J42" s="238">
        <v>256.53240046568999</v>
      </c>
      <c r="K42" s="238">
        <v>0</v>
      </c>
      <c r="L42" s="238">
        <v>0</v>
      </c>
      <c r="M42" s="238">
        <v>0</v>
      </c>
      <c r="N42" s="238">
        <v>0</v>
      </c>
      <c r="O42" s="238">
        <v>8387.1491354328591</v>
      </c>
    </row>
    <row r="43" spans="1:15" s="237" customFormat="1" ht="12" x14ac:dyDescent="0.2">
      <c r="A43" s="235"/>
      <c r="B43" s="230"/>
      <c r="C43" s="253" t="s">
        <v>757</v>
      </c>
      <c r="F43" s="238">
        <v>12143.997600000001</v>
      </c>
      <c r="G43" s="238">
        <v>12.1458355</v>
      </c>
      <c r="H43" s="238">
        <v>303.64588750000001</v>
      </c>
      <c r="I43" s="238">
        <v>0.32894499999999999</v>
      </c>
      <c r="J43" s="238">
        <v>98.02561</v>
      </c>
      <c r="K43" s="238">
        <v>0</v>
      </c>
      <c r="L43" s="238">
        <v>0</v>
      </c>
      <c r="M43" s="238">
        <v>0</v>
      </c>
      <c r="N43" s="238">
        <v>0</v>
      </c>
      <c r="O43" s="238">
        <v>12545.6690975</v>
      </c>
    </row>
    <row r="44" spans="1:15" s="240" customFormat="1" ht="12.75" x14ac:dyDescent="0.2">
      <c r="A44" s="224" t="s">
        <v>758</v>
      </c>
      <c r="B44" s="225" t="s">
        <v>759</v>
      </c>
      <c r="C44" s="225"/>
      <c r="F44" s="226">
        <v>17734.771615687499</v>
      </c>
      <c r="G44" s="226">
        <v>2205.6854674809902</v>
      </c>
      <c r="H44" s="226">
        <v>55142.1366870247</v>
      </c>
      <c r="I44" s="226">
        <v>0.13019520558807501</v>
      </c>
      <c r="J44" s="226">
        <v>38.798171265246403</v>
      </c>
      <c r="K44" s="226">
        <v>0</v>
      </c>
      <c r="L44" s="226">
        <v>0</v>
      </c>
      <c r="M44" s="226">
        <v>0</v>
      </c>
      <c r="N44" s="226">
        <v>0</v>
      </c>
      <c r="O44" s="226">
        <v>72915.706473977407</v>
      </c>
    </row>
    <row r="45" spans="1:15" s="234" customFormat="1" ht="12.75" x14ac:dyDescent="0.2">
      <c r="A45" s="228"/>
      <c r="B45" s="229" t="s">
        <v>760</v>
      </c>
      <c r="C45" s="229"/>
      <c r="F45" s="231">
        <v>0</v>
      </c>
      <c r="G45" s="231">
        <v>78.939653422980697</v>
      </c>
      <c r="H45" s="231">
        <v>1973.49133557452</v>
      </c>
      <c r="I45" s="231">
        <v>0</v>
      </c>
      <c r="J45" s="231">
        <v>0</v>
      </c>
      <c r="K45" s="231">
        <v>0</v>
      </c>
      <c r="L45" s="231">
        <v>0</v>
      </c>
      <c r="M45" s="231">
        <v>0</v>
      </c>
      <c r="N45" s="231">
        <v>0</v>
      </c>
      <c r="O45" s="231">
        <v>1973.49133557452</v>
      </c>
    </row>
    <row r="46" spans="1:15" s="234" customFormat="1" ht="12.75" x14ac:dyDescent="0.2">
      <c r="A46" s="228"/>
      <c r="B46" s="229" t="s">
        <v>761</v>
      </c>
      <c r="C46" s="229"/>
      <c r="F46" s="231">
        <v>17734.771615687499</v>
      </c>
      <c r="G46" s="231">
        <v>2126.7458140580102</v>
      </c>
      <c r="H46" s="231">
        <v>53168.645351450199</v>
      </c>
      <c r="I46" s="231">
        <v>0.13019520558807501</v>
      </c>
      <c r="J46" s="231">
        <v>38.798171265246403</v>
      </c>
      <c r="K46" s="231">
        <v>0</v>
      </c>
      <c r="L46" s="231">
        <v>0</v>
      </c>
      <c r="M46" s="231">
        <v>0</v>
      </c>
      <c r="N46" s="231">
        <v>0</v>
      </c>
      <c r="O46" s="231">
        <v>70942.215138402898</v>
      </c>
    </row>
    <row r="47" spans="1:15" s="237" customFormat="1" ht="12" x14ac:dyDescent="0.2">
      <c r="A47" s="254"/>
      <c r="B47" s="255"/>
      <c r="C47" s="230" t="s">
        <v>762</v>
      </c>
      <c r="F47" s="238">
        <v>124.89000888441601</v>
      </c>
      <c r="G47" s="238">
        <v>251.321998581663</v>
      </c>
      <c r="H47" s="238">
        <v>6283.0499645415803</v>
      </c>
      <c r="I47" s="238">
        <v>0.115</v>
      </c>
      <c r="J47" s="238">
        <v>34.270000000000003</v>
      </c>
      <c r="K47" s="238">
        <v>0</v>
      </c>
      <c r="L47" s="238">
        <v>0</v>
      </c>
      <c r="M47" s="238">
        <v>0</v>
      </c>
      <c r="N47" s="238">
        <v>0</v>
      </c>
      <c r="O47" s="238">
        <v>6442.209973426</v>
      </c>
    </row>
    <row r="48" spans="1:15" s="237" customFormat="1" ht="12" x14ac:dyDescent="0.2">
      <c r="A48" s="254"/>
      <c r="B48" s="255"/>
      <c r="C48" s="230" t="s">
        <v>763</v>
      </c>
      <c r="F48" s="238">
        <v>58.744663092116902</v>
      </c>
      <c r="G48" s="238">
        <v>795.77937757085203</v>
      </c>
      <c r="H48" s="238">
        <v>19894.484439271298</v>
      </c>
      <c r="I48" s="238">
        <v>0</v>
      </c>
      <c r="J48" s="238">
        <v>0</v>
      </c>
      <c r="K48" s="238">
        <v>0</v>
      </c>
      <c r="L48" s="238">
        <v>0</v>
      </c>
      <c r="M48" s="238">
        <v>0</v>
      </c>
      <c r="N48" s="238">
        <v>0</v>
      </c>
      <c r="O48" s="238">
        <v>19953.229102363399</v>
      </c>
    </row>
    <row r="49" spans="1:16" s="237" customFormat="1" ht="12" x14ac:dyDescent="0.2">
      <c r="A49" s="256"/>
      <c r="B49" s="257"/>
      <c r="C49" s="258" t="s">
        <v>380</v>
      </c>
      <c r="D49" s="243"/>
      <c r="E49" s="243"/>
      <c r="F49" s="244">
        <v>10421.522885197801</v>
      </c>
      <c r="G49" s="244">
        <v>1070.64127303491</v>
      </c>
      <c r="H49" s="244">
        <v>26766.0318258728</v>
      </c>
      <c r="I49" s="244">
        <v>0</v>
      </c>
      <c r="J49" s="244">
        <v>0</v>
      </c>
      <c r="K49" s="244">
        <v>0</v>
      </c>
      <c r="L49" s="244">
        <v>0</v>
      </c>
      <c r="M49" s="244">
        <v>0</v>
      </c>
      <c r="N49" s="244">
        <v>0</v>
      </c>
      <c r="O49" s="244">
        <v>37187.554711070603</v>
      </c>
    </row>
    <row r="50" spans="1:16" s="237" customFormat="1" ht="12" x14ac:dyDescent="0.2">
      <c r="A50" s="256"/>
      <c r="B50" s="257"/>
      <c r="C50" s="258" t="s">
        <v>381</v>
      </c>
      <c r="D50" s="243"/>
      <c r="E50" s="243"/>
      <c r="F50" s="244">
        <v>7129.6140585131097</v>
      </c>
      <c r="G50" s="244">
        <v>9.0031648705811307</v>
      </c>
      <c r="H50" s="244">
        <v>225.079121764528</v>
      </c>
      <c r="I50" s="244">
        <v>1.51952055880753E-2</v>
      </c>
      <c r="J50" s="244">
        <v>4.5281712652464297</v>
      </c>
      <c r="K50" s="244">
        <v>0</v>
      </c>
      <c r="L50" s="244">
        <v>0</v>
      </c>
      <c r="M50" s="244">
        <v>0</v>
      </c>
      <c r="N50" s="244">
        <v>0</v>
      </c>
      <c r="O50" s="244">
        <v>7359.2213515428903</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38287.909397565403</v>
      </c>
      <c r="G52" s="266">
        <v>3.86761095459575</v>
      </c>
      <c r="H52" s="266">
        <v>96.690273864893797</v>
      </c>
      <c r="I52" s="266">
        <v>21.026279345265699</v>
      </c>
      <c r="J52" s="266">
        <v>6265.8312448891802</v>
      </c>
      <c r="K52" s="266">
        <v>1620.11150727323</v>
      </c>
      <c r="L52" s="266">
        <v>6477.2303299429404</v>
      </c>
      <c r="M52" s="266">
        <v>2357.4858548001598</v>
      </c>
      <c r="N52" s="266">
        <v>0.25509044800000003</v>
      </c>
      <c r="O52" s="266">
        <v>55105.513698783798</v>
      </c>
    </row>
    <row r="53" spans="1:16" s="240" customFormat="1" ht="12.75" x14ac:dyDescent="0.2">
      <c r="A53" s="224" t="s">
        <v>724</v>
      </c>
      <c r="B53" s="225" t="s">
        <v>767</v>
      </c>
      <c r="C53" s="225"/>
      <c r="D53" s="268"/>
      <c r="E53" s="268"/>
      <c r="F53" s="269">
        <v>9544.21961301804</v>
      </c>
      <c r="G53" s="269">
        <v>0</v>
      </c>
      <c r="H53" s="269">
        <v>0</v>
      </c>
      <c r="I53" s="269">
        <v>0</v>
      </c>
      <c r="J53" s="269">
        <v>0</v>
      </c>
      <c r="K53" s="269">
        <v>0</v>
      </c>
      <c r="L53" s="269">
        <v>0</v>
      </c>
      <c r="M53" s="269">
        <v>0</v>
      </c>
      <c r="N53" s="269">
        <v>0</v>
      </c>
      <c r="O53" s="269">
        <v>9544.21961301804</v>
      </c>
    </row>
    <row r="54" spans="1:16" s="273" customFormat="1" ht="12" x14ac:dyDescent="0.2">
      <c r="A54" s="235"/>
      <c r="B54" s="270"/>
      <c r="C54" s="236" t="s">
        <v>560</v>
      </c>
      <c r="D54" s="271"/>
      <c r="E54" s="271"/>
      <c r="F54" s="272">
        <v>6760.3987658011501</v>
      </c>
      <c r="G54" s="272">
        <v>0</v>
      </c>
      <c r="H54" s="272">
        <v>0</v>
      </c>
      <c r="I54" s="272">
        <v>0</v>
      </c>
      <c r="J54" s="272">
        <v>0</v>
      </c>
      <c r="K54" s="272">
        <v>0</v>
      </c>
      <c r="L54" s="272">
        <v>0</v>
      </c>
      <c r="M54" s="272">
        <v>0</v>
      </c>
      <c r="N54" s="272">
        <v>0</v>
      </c>
      <c r="O54" s="272">
        <v>6760.3987658011501</v>
      </c>
      <c r="P54" s="271"/>
    </row>
    <row r="55" spans="1:16" s="273" customFormat="1" ht="12" x14ac:dyDescent="0.2">
      <c r="A55" s="235"/>
      <c r="B55" s="270"/>
      <c r="C55" s="236" t="s">
        <v>191</v>
      </c>
      <c r="D55" s="271"/>
      <c r="E55" s="271"/>
      <c r="F55" s="272">
        <v>1845.0766498983101</v>
      </c>
      <c r="G55" s="272">
        <v>0</v>
      </c>
      <c r="H55" s="272">
        <v>0</v>
      </c>
      <c r="I55" s="272">
        <v>0</v>
      </c>
      <c r="J55" s="272">
        <v>0</v>
      </c>
      <c r="K55" s="272">
        <v>0</v>
      </c>
      <c r="L55" s="272">
        <v>0</v>
      </c>
      <c r="M55" s="272">
        <v>0</v>
      </c>
      <c r="N55" s="272">
        <v>0</v>
      </c>
      <c r="O55" s="272">
        <v>1845.0766498983101</v>
      </c>
      <c r="P55" s="271"/>
    </row>
    <row r="56" spans="1:16" s="273" customFormat="1" ht="12" x14ac:dyDescent="0.2">
      <c r="A56" s="235"/>
      <c r="B56" s="270"/>
      <c r="C56" s="236" t="s">
        <v>768</v>
      </c>
      <c r="D56" s="271"/>
      <c r="E56" s="271"/>
      <c r="F56" s="272">
        <v>938.74419731857802</v>
      </c>
      <c r="G56" s="272">
        <v>0</v>
      </c>
      <c r="H56" s="272">
        <v>0</v>
      </c>
      <c r="I56" s="272">
        <v>0</v>
      </c>
      <c r="J56" s="272">
        <v>0</v>
      </c>
      <c r="K56" s="272">
        <v>0</v>
      </c>
      <c r="L56" s="272">
        <v>0</v>
      </c>
      <c r="M56" s="272">
        <v>0</v>
      </c>
      <c r="N56" s="272">
        <v>0</v>
      </c>
      <c r="O56" s="272">
        <v>938.74419731857802</v>
      </c>
      <c r="P56" s="271"/>
    </row>
    <row r="57" spans="1:16" s="275" customFormat="1" ht="12.75" x14ac:dyDescent="0.2">
      <c r="A57" s="224" t="s">
        <v>737</v>
      </c>
      <c r="B57" s="225" t="s">
        <v>769</v>
      </c>
      <c r="C57" s="225"/>
      <c r="D57" s="274"/>
      <c r="E57" s="274"/>
      <c r="F57" s="269">
        <v>6474.62699881757</v>
      </c>
      <c r="G57" s="269">
        <v>3.7668919545957502</v>
      </c>
      <c r="H57" s="269">
        <v>94.172298864893804</v>
      </c>
      <c r="I57" s="269">
        <v>19.7312805708439</v>
      </c>
      <c r="J57" s="269">
        <v>5879.9216101114898</v>
      </c>
      <c r="K57" s="269">
        <v>0</v>
      </c>
      <c r="L57" s="269">
        <v>0</v>
      </c>
      <c r="M57" s="269">
        <v>0</v>
      </c>
      <c r="N57" s="269">
        <v>0</v>
      </c>
      <c r="O57" s="269">
        <v>12448.720907794001</v>
      </c>
      <c r="P57" s="274"/>
    </row>
    <row r="58" spans="1:16" s="277" customFormat="1" ht="12" x14ac:dyDescent="0.2">
      <c r="A58" s="235"/>
      <c r="B58" s="270"/>
      <c r="C58" s="236" t="s">
        <v>192</v>
      </c>
      <c r="D58" s="276"/>
      <c r="E58" s="276"/>
      <c r="F58" s="272">
        <v>3101.7069743089501</v>
      </c>
      <c r="G58" s="272">
        <v>0</v>
      </c>
      <c r="H58" s="272">
        <v>0</v>
      </c>
      <c r="I58" s="272">
        <v>0</v>
      </c>
      <c r="J58" s="272">
        <v>0</v>
      </c>
      <c r="K58" s="272">
        <v>0</v>
      </c>
      <c r="L58" s="272">
        <v>0</v>
      </c>
      <c r="M58" s="272">
        <v>0</v>
      </c>
      <c r="N58" s="272">
        <v>0</v>
      </c>
      <c r="O58" s="272">
        <v>3101.7069743089501</v>
      </c>
      <c r="P58" s="276"/>
    </row>
    <row r="59" spans="1:16" s="277" customFormat="1" ht="12" x14ac:dyDescent="0.2">
      <c r="A59" s="235"/>
      <c r="B59" s="270"/>
      <c r="C59" s="236" t="s">
        <v>190</v>
      </c>
      <c r="D59" s="276"/>
      <c r="E59" s="276"/>
      <c r="F59" s="272">
        <v>0</v>
      </c>
      <c r="G59" s="272">
        <v>0</v>
      </c>
      <c r="H59" s="272">
        <v>0</v>
      </c>
      <c r="I59" s="272">
        <v>3.3394758859379801</v>
      </c>
      <c r="J59" s="272">
        <v>995.16381400951798</v>
      </c>
      <c r="K59" s="272">
        <v>0</v>
      </c>
      <c r="L59" s="272">
        <v>0</v>
      </c>
      <c r="M59" s="272">
        <v>0</v>
      </c>
      <c r="N59" s="272">
        <v>0</v>
      </c>
      <c r="O59" s="272">
        <v>995.16381400951798</v>
      </c>
      <c r="P59" s="276"/>
    </row>
    <row r="60" spans="1:16" s="277" customFormat="1" ht="12" x14ac:dyDescent="0.2">
      <c r="A60" s="235"/>
      <c r="B60" s="270"/>
      <c r="C60" s="236" t="s">
        <v>770</v>
      </c>
      <c r="D60" s="276"/>
      <c r="E60" s="276"/>
      <c r="F60" s="272">
        <v>0</v>
      </c>
      <c r="G60" s="272">
        <v>0</v>
      </c>
      <c r="H60" s="272">
        <v>0</v>
      </c>
      <c r="I60" s="272">
        <v>16.338999999999999</v>
      </c>
      <c r="J60" s="272">
        <v>4869.0219999999999</v>
      </c>
      <c r="K60" s="272">
        <v>0</v>
      </c>
      <c r="L60" s="272">
        <v>0</v>
      </c>
      <c r="M60" s="272">
        <v>0</v>
      </c>
      <c r="N60" s="272">
        <v>0</v>
      </c>
      <c r="O60" s="272">
        <v>4869.0219999999999</v>
      </c>
      <c r="P60" s="276"/>
    </row>
    <row r="61" spans="1:16" s="277" customFormat="1" ht="12" x14ac:dyDescent="0.2">
      <c r="A61" s="235"/>
      <c r="B61" s="270"/>
      <c r="C61" s="236" t="s">
        <v>771</v>
      </c>
      <c r="D61" s="276"/>
      <c r="E61" s="276"/>
      <c r="F61" s="272">
        <v>3372.9200245086199</v>
      </c>
      <c r="G61" s="272">
        <v>3.7668919545957502</v>
      </c>
      <c r="H61" s="272">
        <v>94.172298864893804</v>
      </c>
      <c r="I61" s="272">
        <v>5.2804684905948099E-2</v>
      </c>
      <c r="J61" s="272">
        <v>15.7357961019725</v>
      </c>
      <c r="K61" s="272">
        <v>0</v>
      </c>
      <c r="L61" s="272">
        <v>0</v>
      </c>
      <c r="M61" s="272">
        <v>0</v>
      </c>
      <c r="N61" s="272">
        <v>0</v>
      </c>
      <c r="O61" s="272">
        <v>3482.82811947549</v>
      </c>
      <c r="P61" s="276"/>
    </row>
    <row r="62" spans="1:16" s="240" customFormat="1" ht="12.75" x14ac:dyDescent="0.2">
      <c r="A62" s="224" t="s">
        <v>758</v>
      </c>
      <c r="B62" s="225" t="s">
        <v>772</v>
      </c>
      <c r="C62" s="225"/>
      <c r="D62" s="268"/>
      <c r="E62" s="268"/>
      <c r="F62" s="269">
        <v>15346.6943115663</v>
      </c>
      <c r="G62" s="269">
        <v>0.100719</v>
      </c>
      <c r="H62" s="269">
        <v>2.5179749999999999</v>
      </c>
      <c r="I62" s="269">
        <v>0</v>
      </c>
      <c r="J62" s="269">
        <v>0</v>
      </c>
      <c r="K62" s="269">
        <v>0</v>
      </c>
      <c r="L62" s="269">
        <v>6454.7759696121902</v>
      </c>
      <c r="M62" s="269">
        <v>2160.0044900892899</v>
      </c>
      <c r="N62" s="269">
        <v>0</v>
      </c>
      <c r="O62" s="269">
        <v>23963.992746267799</v>
      </c>
      <c r="P62" s="268"/>
    </row>
    <row r="63" spans="1:16" s="273" customFormat="1" ht="12" x14ac:dyDescent="0.2">
      <c r="A63" s="235"/>
      <c r="B63" s="230"/>
      <c r="C63" s="230" t="s">
        <v>773</v>
      </c>
      <c r="D63" s="271"/>
      <c r="E63" s="271"/>
      <c r="F63" s="272">
        <v>11369.8033119267</v>
      </c>
      <c r="G63" s="272">
        <v>0.100719</v>
      </c>
      <c r="H63" s="272">
        <v>2.5179749999999999</v>
      </c>
      <c r="I63" s="272">
        <v>0</v>
      </c>
      <c r="J63" s="272">
        <v>0</v>
      </c>
      <c r="K63" s="272">
        <v>0</v>
      </c>
      <c r="L63" s="272">
        <v>0</v>
      </c>
      <c r="M63" s="272">
        <v>0</v>
      </c>
      <c r="N63" s="272">
        <v>0</v>
      </c>
      <c r="O63" s="272">
        <v>11372.321286926701</v>
      </c>
      <c r="P63" s="271"/>
    </row>
    <row r="64" spans="1:16" s="273" customFormat="1" ht="12" x14ac:dyDescent="0.2">
      <c r="A64" s="235"/>
      <c r="B64" s="230"/>
      <c r="C64" s="230" t="s">
        <v>252</v>
      </c>
      <c r="D64" s="271"/>
      <c r="E64" s="271"/>
      <c r="F64" s="272">
        <v>3976.8909996396801</v>
      </c>
      <c r="G64" s="272">
        <v>0</v>
      </c>
      <c r="H64" s="272">
        <v>0</v>
      </c>
      <c r="I64" s="272">
        <v>0</v>
      </c>
      <c r="J64" s="272">
        <v>0</v>
      </c>
      <c r="K64" s="272">
        <v>0</v>
      </c>
      <c r="L64" s="272">
        <v>6454.7759696121902</v>
      </c>
      <c r="M64" s="272">
        <v>56.3553953472803</v>
      </c>
      <c r="N64" s="272">
        <v>0</v>
      </c>
      <c r="O64" s="272">
        <v>10488.022364599199</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2103.6490947420102</v>
      </c>
      <c r="N65" s="272">
        <v>0</v>
      </c>
      <c r="O65" s="272">
        <v>2103.6490947420102</v>
      </c>
      <c r="P65" s="271"/>
    </row>
    <row r="66" spans="1:16" s="234" customFormat="1" x14ac:dyDescent="0.25">
      <c r="A66" s="278" t="s">
        <v>764</v>
      </c>
      <c r="B66" s="279" t="s">
        <v>775</v>
      </c>
      <c r="C66" s="279"/>
      <c r="D66" s="251"/>
      <c r="E66" s="251"/>
      <c r="F66" s="252">
        <v>0</v>
      </c>
      <c r="G66" s="252">
        <v>0</v>
      </c>
      <c r="H66" s="252">
        <v>0</v>
      </c>
      <c r="I66" s="252">
        <v>0</v>
      </c>
      <c r="J66" s="252">
        <v>0</v>
      </c>
      <c r="K66" s="252">
        <v>1620.11150727323</v>
      </c>
      <c r="L66" s="252">
        <v>21.173650304669899</v>
      </c>
      <c r="M66" s="252">
        <v>4.1035930122449003</v>
      </c>
      <c r="N66" s="252">
        <v>0.25509044800000003</v>
      </c>
      <c r="O66" s="252">
        <v>1645.64384103814</v>
      </c>
      <c r="P66" s="251"/>
    </row>
    <row r="67" spans="1:16" s="234" customFormat="1" ht="12.75" x14ac:dyDescent="0.2">
      <c r="A67" s="278" t="s">
        <v>776</v>
      </c>
      <c r="B67" s="279" t="s">
        <v>777</v>
      </c>
      <c r="C67" s="279"/>
      <c r="D67" s="251"/>
      <c r="E67" s="251"/>
      <c r="F67" s="252">
        <v>6922.3684741634797</v>
      </c>
      <c r="G67" s="252">
        <v>0</v>
      </c>
      <c r="H67" s="252">
        <v>0</v>
      </c>
      <c r="I67" s="252">
        <v>0</v>
      </c>
      <c r="J67" s="252">
        <v>0</v>
      </c>
      <c r="K67" s="252">
        <v>0</v>
      </c>
      <c r="L67" s="252">
        <v>0</v>
      </c>
      <c r="M67" s="252">
        <v>0</v>
      </c>
      <c r="N67" s="252">
        <v>0</v>
      </c>
      <c r="O67" s="252">
        <v>6922.3684741634797</v>
      </c>
      <c r="P67" s="251"/>
    </row>
    <row r="68" spans="1:16" s="234" customFormat="1" ht="12.75" x14ac:dyDescent="0.2">
      <c r="A68" s="259" t="s">
        <v>778</v>
      </c>
      <c r="B68" s="260" t="s">
        <v>779</v>
      </c>
      <c r="C68" s="260"/>
      <c r="D68" s="280"/>
      <c r="E68" s="280"/>
      <c r="F68" s="281">
        <v>0</v>
      </c>
      <c r="G68" s="281">
        <v>0</v>
      </c>
      <c r="H68" s="281">
        <v>0</v>
      </c>
      <c r="I68" s="281">
        <v>1.2949987744217699</v>
      </c>
      <c r="J68" s="281">
        <v>385.90963477768702</v>
      </c>
      <c r="K68" s="281">
        <v>0</v>
      </c>
      <c r="L68" s="281">
        <v>1.2807100260806401</v>
      </c>
      <c r="M68" s="281">
        <v>193.37777169862201</v>
      </c>
      <c r="N68" s="281">
        <v>0</v>
      </c>
      <c r="O68" s="281">
        <v>580.56811650239001</v>
      </c>
      <c r="P68" s="251"/>
    </row>
    <row r="69" spans="1:16" s="267" customFormat="1" ht="12.75" x14ac:dyDescent="0.2">
      <c r="A69" s="282" t="s">
        <v>780</v>
      </c>
      <c r="B69" s="283"/>
      <c r="C69" s="283"/>
      <c r="D69" s="284"/>
      <c r="E69" s="284"/>
      <c r="F69" s="285">
        <v>1661.8190482666701</v>
      </c>
      <c r="G69" s="285">
        <v>1266.5511710052599</v>
      </c>
      <c r="H69" s="285">
        <v>31663.779275131499</v>
      </c>
      <c r="I69" s="285">
        <v>78.987978406235598</v>
      </c>
      <c r="J69" s="285">
        <v>23538.4175650582</v>
      </c>
      <c r="K69" s="285">
        <v>0</v>
      </c>
      <c r="L69" s="285">
        <v>0</v>
      </c>
      <c r="M69" s="285">
        <v>0</v>
      </c>
      <c r="N69" s="285">
        <v>0</v>
      </c>
      <c r="O69" s="285">
        <v>56864.015888456401</v>
      </c>
      <c r="P69" s="265"/>
    </row>
    <row r="70" spans="1:16" s="234" customFormat="1" ht="12.75" x14ac:dyDescent="0.2">
      <c r="A70" s="278" t="s">
        <v>724</v>
      </c>
      <c r="B70" s="279" t="s">
        <v>27</v>
      </c>
      <c r="C70" s="279"/>
      <c r="D70" s="251"/>
      <c r="E70" s="251"/>
      <c r="F70" s="252">
        <v>0</v>
      </c>
      <c r="G70" s="252">
        <v>1106.39982636227</v>
      </c>
      <c r="H70" s="252">
        <v>27659.9956590568</v>
      </c>
      <c r="I70" s="252">
        <v>0</v>
      </c>
      <c r="J70" s="252">
        <v>0</v>
      </c>
      <c r="K70" s="252">
        <v>0</v>
      </c>
      <c r="L70" s="252">
        <v>0</v>
      </c>
      <c r="M70" s="252">
        <v>0</v>
      </c>
      <c r="N70" s="252">
        <v>0</v>
      </c>
      <c r="O70" s="252">
        <v>27659.9956590568</v>
      </c>
      <c r="P70" s="251"/>
    </row>
    <row r="71" spans="1:16" s="234" customFormat="1" ht="12.75" x14ac:dyDescent="0.2">
      <c r="A71" s="278" t="s">
        <v>737</v>
      </c>
      <c r="B71" s="279" t="s">
        <v>28</v>
      </c>
      <c r="C71" s="279"/>
      <c r="D71" s="251"/>
      <c r="E71" s="251"/>
      <c r="F71" s="252">
        <v>0</v>
      </c>
      <c r="G71" s="252">
        <v>153.99312162538999</v>
      </c>
      <c r="H71" s="252">
        <v>3849.8280406347499</v>
      </c>
      <c r="I71" s="252">
        <v>16.428503402416499</v>
      </c>
      <c r="J71" s="252">
        <v>4895.6940139201197</v>
      </c>
      <c r="K71" s="252">
        <v>0</v>
      </c>
      <c r="L71" s="252">
        <v>0</v>
      </c>
      <c r="M71" s="252">
        <v>0</v>
      </c>
      <c r="N71" s="252">
        <v>0</v>
      </c>
      <c r="O71" s="252">
        <v>8745.5220545548691</v>
      </c>
      <c r="P71" s="251"/>
    </row>
    <row r="72" spans="1:16" s="234" customFormat="1" ht="12.75" x14ac:dyDescent="0.2">
      <c r="A72" s="224" t="s">
        <v>758</v>
      </c>
      <c r="B72" s="225" t="s">
        <v>781</v>
      </c>
      <c r="C72" s="225"/>
      <c r="F72" s="231">
        <v>0</v>
      </c>
      <c r="G72" s="231">
        <v>0</v>
      </c>
      <c r="H72" s="231">
        <v>0</v>
      </c>
      <c r="I72" s="231">
        <v>62.399817370029602</v>
      </c>
      <c r="J72" s="231">
        <v>18595.145576268798</v>
      </c>
      <c r="K72" s="231">
        <v>0</v>
      </c>
      <c r="L72" s="231">
        <v>0</v>
      </c>
      <c r="M72" s="231">
        <v>0</v>
      </c>
      <c r="N72" s="231">
        <v>0</v>
      </c>
      <c r="O72" s="231">
        <v>18595.145576268798</v>
      </c>
    </row>
    <row r="73" spans="1:16" s="237" customFormat="1" ht="12" x14ac:dyDescent="0.2">
      <c r="A73" s="286"/>
      <c r="B73" s="258"/>
      <c r="C73" s="258" t="s">
        <v>782</v>
      </c>
      <c r="D73" s="243"/>
      <c r="E73" s="243"/>
      <c r="F73" s="244">
        <v>0</v>
      </c>
      <c r="G73" s="244">
        <v>0</v>
      </c>
      <c r="H73" s="244">
        <v>0</v>
      </c>
      <c r="I73" s="244">
        <v>51.561972171023903</v>
      </c>
      <c r="J73" s="244">
        <v>15365.467706965101</v>
      </c>
      <c r="K73" s="244">
        <v>0</v>
      </c>
      <c r="L73" s="244">
        <v>0</v>
      </c>
      <c r="M73" s="244">
        <v>0</v>
      </c>
      <c r="N73" s="244">
        <v>0</v>
      </c>
      <c r="O73" s="244">
        <v>15365.467706965101</v>
      </c>
    </row>
    <row r="74" spans="1:16" s="237" customFormat="1" ht="12" x14ac:dyDescent="0.2">
      <c r="A74" s="286"/>
      <c r="B74" s="258"/>
      <c r="C74" s="258" t="s">
        <v>783</v>
      </c>
      <c r="D74" s="243"/>
      <c r="E74" s="243"/>
      <c r="F74" s="244">
        <v>0</v>
      </c>
      <c r="G74" s="244">
        <v>0</v>
      </c>
      <c r="H74" s="244">
        <v>0</v>
      </c>
      <c r="I74" s="244">
        <v>10.837845199005599</v>
      </c>
      <c r="J74" s="244">
        <v>3229.6778693036799</v>
      </c>
      <c r="K74" s="244">
        <v>0</v>
      </c>
      <c r="L74" s="244">
        <v>0</v>
      </c>
      <c r="M74" s="244">
        <v>0</v>
      </c>
      <c r="N74" s="244">
        <v>0</v>
      </c>
      <c r="O74" s="244">
        <v>3229.6778693036799</v>
      </c>
    </row>
    <row r="75" spans="1:16" s="234" customFormat="1" ht="12.75" x14ac:dyDescent="0.2">
      <c r="A75" s="278" t="s">
        <v>764</v>
      </c>
      <c r="B75" s="279" t="s">
        <v>193</v>
      </c>
      <c r="C75" s="287"/>
      <c r="D75" s="251"/>
      <c r="E75" s="251"/>
      <c r="F75" s="252">
        <v>0</v>
      </c>
      <c r="G75" s="252">
        <v>6.1582230175973898</v>
      </c>
      <c r="H75" s="252">
        <v>153.95557543993499</v>
      </c>
      <c r="I75" s="252">
        <v>0.15965763378956199</v>
      </c>
      <c r="J75" s="252">
        <v>47.577974869289399</v>
      </c>
      <c r="K75" s="252">
        <v>0</v>
      </c>
      <c r="L75" s="252">
        <v>0</v>
      </c>
      <c r="M75" s="252">
        <v>0</v>
      </c>
      <c r="N75" s="252">
        <v>0</v>
      </c>
      <c r="O75" s="252">
        <v>201.53355030922401</v>
      </c>
    </row>
    <row r="76" spans="1:16" s="234" customFormat="1" ht="12.75" x14ac:dyDescent="0.2">
      <c r="A76" s="259" t="s">
        <v>776</v>
      </c>
      <c r="B76" s="260" t="s">
        <v>784</v>
      </c>
      <c r="C76" s="288"/>
      <c r="D76" s="280"/>
      <c r="E76" s="280"/>
      <c r="F76" s="281">
        <v>1661.8190482666701</v>
      </c>
      <c r="G76" s="281">
        <v>0</v>
      </c>
      <c r="H76" s="281">
        <v>0</v>
      </c>
      <c r="I76" s="281">
        <v>0</v>
      </c>
      <c r="J76" s="281">
        <v>0</v>
      </c>
      <c r="K76" s="281">
        <v>0</v>
      </c>
      <c r="L76" s="281">
        <v>0</v>
      </c>
      <c r="M76" s="281">
        <v>0</v>
      </c>
      <c r="N76" s="281">
        <v>0</v>
      </c>
      <c r="O76" s="281">
        <v>1661.8190482666701</v>
      </c>
    </row>
    <row r="77" spans="1:16" s="234" customFormat="1" ht="12.75" x14ac:dyDescent="0.2">
      <c r="A77" s="220" t="s">
        <v>785</v>
      </c>
      <c r="B77" s="289"/>
      <c r="C77" s="289"/>
      <c r="F77" s="223">
        <v>539.71574226999996</v>
      </c>
      <c r="G77" s="223">
        <v>944.02196909999998</v>
      </c>
      <c r="H77" s="223">
        <v>23600.5492275</v>
      </c>
      <c r="I77" s="223">
        <v>3.8845964899999998</v>
      </c>
      <c r="J77" s="223">
        <v>1157.6097540200001</v>
      </c>
      <c r="K77" s="223">
        <v>0</v>
      </c>
      <c r="L77" s="223">
        <v>0</v>
      </c>
      <c r="M77" s="223">
        <v>0</v>
      </c>
      <c r="N77" s="223">
        <v>0</v>
      </c>
      <c r="O77" s="223">
        <v>25297.874723789999</v>
      </c>
    </row>
    <row r="78" spans="1:16" s="234" customFormat="1" ht="12.75" x14ac:dyDescent="0.2">
      <c r="A78" s="224" t="s">
        <v>724</v>
      </c>
      <c r="B78" s="225" t="s">
        <v>786</v>
      </c>
      <c r="C78" s="225"/>
      <c r="F78" s="231">
        <v>0</v>
      </c>
      <c r="G78" s="231">
        <v>907.35502556999995</v>
      </c>
      <c r="H78" s="231">
        <v>22683.87563925</v>
      </c>
      <c r="I78" s="231">
        <v>0</v>
      </c>
      <c r="J78" s="231">
        <v>0</v>
      </c>
      <c r="K78" s="231">
        <v>0</v>
      </c>
      <c r="L78" s="231">
        <v>0</v>
      </c>
      <c r="M78" s="231">
        <v>0</v>
      </c>
      <c r="N78" s="231">
        <v>0</v>
      </c>
      <c r="O78" s="231">
        <v>22683.87563925</v>
      </c>
    </row>
    <row r="79" spans="1:16" s="234" customFormat="1" ht="12.75" x14ac:dyDescent="0.2">
      <c r="A79" s="224" t="s">
        <v>737</v>
      </c>
      <c r="B79" s="225" t="s">
        <v>787</v>
      </c>
      <c r="C79" s="225"/>
      <c r="F79" s="231">
        <v>0</v>
      </c>
      <c r="G79" s="231">
        <v>21.25533016</v>
      </c>
      <c r="H79" s="231">
        <v>531.38325399999997</v>
      </c>
      <c r="I79" s="231">
        <v>1.2753198100000001</v>
      </c>
      <c r="J79" s="231">
        <v>380.04530338000001</v>
      </c>
      <c r="K79" s="231">
        <v>0</v>
      </c>
      <c r="L79" s="231">
        <v>0</v>
      </c>
      <c r="M79" s="231">
        <v>0</v>
      </c>
      <c r="N79" s="231">
        <v>0</v>
      </c>
      <c r="O79" s="231">
        <v>911.42855738000003</v>
      </c>
    </row>
    <row r="80" spans="1:16" s="234" customFormat="1" ht="12.75" x14ac:dyDescent="0.2">
      <c r="A80" s="278" t="s">
        <v>788</v>
      </c>
      <c r="B80" s="279" t="s">
        <v>789</v>
      </c>
      <c r="C80" s="279"/>
      <c r="D80" s="251"/>
      <c r="E80" s="251"/>
      <c r="F80" s="252">
        <v>0</v>
      </c>
      <c r="G80" s="252">
        <v>15.159159989999999</v>
      </c>
      <c r="H80" s="252">
        <v>378.97899975000001</v>
      </c>
      <c r="I80" s="252">
        <v>1.9524674500000001</v>
      </c>
      <c r="J80" s="252">
        <v>581.83530010000004</v>
      </c>
      <c r="K80" s="252">
        <v>0</v>
      </c>
      <c r="L80" s="252">
        <v>0</v>
      </c>
      <c r="M80" s="252">
        <v>0</v>
      </c>
      <c r="N80" s="252">
        <v>0</v>
      </c>
      <c r="O80" s="252">
        <v>960.81429985</v>
      </c>
    </row>
    <row r="81" spans="1:56" s="234" customFormat="1" ht="12.75" x14ac:dyDescent="0.2">
      <c r="A81" s="259" t="s">
        <v>764</v>
      </c>
      <c r="B81" s="260" t="s">
        <v>790</v>
      </c>
      <c r="C81" s="260"/>
      <c r="D81" s="280"/>
      <c r="E81" s="280"/>
      <c r="F81" s="281">
        <v>539.71574226999996</v>
      </c>
      <c r="G81" s="281">
        <v>0.25245338000000001</v>
      </c>
      <c r="H81" s="281">
        <v>6.3113345000000001</v>
      </c>
      <c r="I81" s="281">
        <v>0.65680923000000002</v>
      </c>
      <c r="J81" s="281">
        <v>195.72915054000001</v>
      </c>
      <c r="K81" s="281">
        <v>0</v>
      </c>
      <c r="L81" s="281">
        <v>0</v>
      </c>
      <c r="M81" s="281">
        <v>0</v>
      </c>
      <c r="N81" s="281">
        <v>0</v>
      </c>
      <c r="O81" s="281">
        <v>741.75622730999999</v>
      </c>
    </row>
    <row r="82" spans="1:56" s="267" customFormat="1" ht="12.75" x14ac:dyDescent="0.2">
      <c r="A82" s="263" t="s">
        <v>791</v>
      </c>
      <c r="B82" s="264"/>
      <c r="C82" s="264"/>
      <c r="F82" s="223">
        <v>-88650.755697000001</v>
      </c>
      <c r="G82" s="223">
        <v>47.146084000000002</v>
      </c>
      <c r="H82" s="223">
        <v>1178.6521</v>
      </c>
      <c r="I82" s="223">
        <v>1.662007</v>
      </c>
      <c r="J82" s="223">
        <v>495.27808599999997</v>
      </c>
      <c r="K82" s="223">
        <v>0</v>
      </c>
      <c r="L82" s="223">
        <v>0</v>
      </c>
      <c r="M82" s="223">
        <v>0</v>
      </c>
      <c r="N82" s="223">
        <v>0</v>
      </c>
      <c r="O82" s="223">
        <v>-86976.825510999901</v>
      </c>
    </row>
    <row r="83" spans="1:56" s="234" customFormat="1" ht="12.75" x14ac:dyDescent="0.2">
      <c r="A83" s="224" t="s">
        <v>724</v>
      </c>
      <c r="B83" s="225" t="s">
        <v>792</v>
      </c>
      <c r="C83" s="225"/>
      <c r="F83" s="231">
        <v>-235823.324792</v>
      </c>
      <c r="G83" s="231">
        <v>14.875729</v>
      </c>
      <c r="H83" s="231">
        <v>371.89322499999997</v>
      </c>
      <c r="I83" s="231">
        <v>0.61582000000000003</v>
      </c>
      <c r="J83" s="231">
        <v>183.51436000000001</v>
      </c>
      <c r="K83" s="231">
        <v>0</v>
      </c>
      <c r="L83" s="231">
        <v>0</v>
      </c>
      <c r="M83" s="231">
        <v>0</v>
      </c>
      <c r="N83" s="231">
        <v>0</v>
      </c>
      <c r="O83" s="231">
        <v>-235267.91720699999</v>
      </c>
    </row>
    <row r="84" spans="1:56" s="234" customFormat="1" ht="12.75" x14ac:dyDescent="0.2">
      <c r="A84" s="224" t="s">
        <v>737</v>
      </c>
      <c r="B84" s="225" t="s">
        <v>793</v>
      </c>
      <c r="C84" s="225"/>
      <c r="F84" s="231">
        <v>-1868.4292760000001</v>
      </c>
      <c r="G84" s="231">
        <v>5.6661159999999997</v>
      </c>
      <c r="H84" s="231">
        <v>141.65289999999999</v>
      </c>
      <c r="I84" s="231">
        <v>0.28185300000000002</v>
      </c>
      <c r="J84" s="231">
        <v>83.992193999999998</v>
      </c>
      <c r="K84" s="231">
        <v>0</v>
      </c>
      <c r="L84" s="231">
        <v>0</v>
      </c>
      <c r="M84" s="231">
        <v>0</v>
      </c>
      <c r="N84" s="231">
        <v>0</v>
      </c>
      <c r="O84" s="231">
        <v>-1642.7841820000001</v>
      </c>
    </row>
    <row r="85" spans="1:56" s="234" customFormat="1" ht="12.75" x14ac:dyDescent="0.2">
      <c r="A85" s="278" t="s">
        <v>758</v>
      </c>
      <c r="B85" s="279" t="s">
        <v>794</v>
      </c>
      <c r="C85" s="279"/>
      <c r="F85" s="231">
        <v>0</v>
      </c>
      <c r="G85" s="231">
        <v>20.391549999999999</v>
      </c>
      <c r="H85" s="231">
        <v>509.78874999999999</v>
      </c>
      <c r="I85" s="231">
        <v>0.52866000000000002</v>
      </c>
      <c r="J85" s="231">
        <v>157.54068000000001</v>
      </c>
      <c r="K85" s="231">
        <v>0</v>
      </c>
      <c r="L85" s="231">
        <v>0</v>
      </c>
      <c r="M85" s="231">
        <v>0</v>
      </c>
      <c r="N85" s="231">
        <v>0</v>
      </c>
      <c r="O85" s="231">
        <v>667.32943</v>
      </c>
    </row>
    <row r="86" spans="1:56" s="234" customFormat="1" ht="12.75" x14ac:dyDescent="0.2">
      <c r="A86" s="278" t="s">
        <v>764</v>
      </c>
      <c r="B86" s="279" t="s">
        <v>795</v>
      </c>
      <c r="C86" s="279"/>
      <c r="F86" s="231">
        <v>2989.7331680000002</v>
      </c>
      <c r="G86" s="231">
        <v>1.3768590000000001</v>
      </c>
      <c r="H86" s="231">
        <v>34.421475000000001</v>
      </c>
      <c r="I86" s="231">
        <v>6.2054999999999999E-2</v>
      </c>
      <c r="J86" s="231">
        <v>18.49239</v>
      </c>
      <c r="K86" s="231">
        <v>0</v>
      </c>
      <c r="L86" s="231">
        <v>0</v>
      </c>
      <c r="M86" s="231">
        <v>0</v>
      </c>
      <c r="N86" s="231">
        <v>0</v>
      </c>
      <c r="O86" s="231">
        <v>3042.6470330000002</v>
      </c>
    </row>
    <row r="87" spans="1:56" s="234" customFormat="1" ht="12.75" x14ac:dyDescent="0.2">
      <c r="A87" s="278" t="s">
        <v>776</v>
      </c>
      <c r="B87" s="279" t="s">
        <v>796</v>
      </c>
      <c r="C87" s="279"/>
      <c r="D87" s="251"/>
      <c r="E87" s="251"/>
      <c r="F87" s="252">
        <v>3263.685035</v>
      </c>
      <c r="G87" s="252">
        <v>4.8358299999999996</v>
      </c>
      <c r="H87" s="252">
        <v>120.89575000000001</v>
      </c>
      <c r="I87" s="252">
        <v>0.173619</v>
      </c>
      <c r="J87" s="252">
        <v>51.738461999999998</v>
      </c>
      <c r="K87" s="252">
        <v>0</v>
      </c>
      <c r="L87" s="252">
        <v>0</v>
      </c>
      <c r="M87" s="252">
        <v>0</v>
      </c>
      <c r="N87" s="252">
        <v>0</v>
      </c>
      <c r="O87" s="252">
        <v>3436.3192469999999</v>
      </c>
    </row>
    <row r="88" spans="1:56" s="234" customFormat="1" ht="12.75" x14ac:dyDescent="0.2">
      <c r="A88" s="259" t="s">
        <v>778</v>
      </c>
      <c r="B88" s="260" t="s">
        <v>797</v>
      </c>
      <c r="C88" s="260"/>
      <c r="D88" s="280"/>
      <c r="E88" s="280"/>
      <c r="F88" s="281">
        <v>142787.58016799999</v>
      </c>
      <c r="G88" s="281">
        <v>0</v>
      </c>
      <c r="H88" s="281">
        <v>0</v>
      </c>
      <c r="I88" s="281">
        <v>0</v>
      </c>
      <c r="J88" s="281">
        <v>0</v>
      </c>
      <c r="K88" s="281">
        <v>0</v>
      </c>
      <c r="L88" s="281">
        <v>0</v>
      </c>
      <c r="M88" s="281">
        <v>0</v>
      </c>
      <c r="N88" s="281">
        <v>0</v>
      </c>
      <c r="O88" s="281">
        <v>142787.58016799999</v>
      </c>
      <c r="P88" s="251"/>
      <c r="Q88" s="251"/>
      <c r="R88" s="251"/>
      <c r="S88" s="251"/>
      <c r="T88" s="251"/>
      <c r="U88" s="251"/>
      <c r="V88" s="251"/>
      <c r="W88" s="251"/>
      <c r="X88" s="251"/>
      <c r="Y88" s="251"/>
      <c r="Z88" s="251"/>
      <c r="AA88" s="251"/>
      <c r="AB88" s="251"/>
      <c r="AC88" s="251"/>
      <c r="AD88" s="251"/>
    </row>
    <row r="89" spans="1:56"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c r="AQ89" s="291"/>
      <c r="AR89" s="291"/>
      <c r="AS89" s="291"/>
      <c r="AT89" s="291"/>
      <c r="AU89" s="291"/>
      <c r="AV89" s="291"/>
      <c r="AW89" s="291"/>
      <c r="AX89" s="291"/>
      <c r="AY89" s="291"/>
      <c r="AZ89" s="291"/>
      <c r="BA89" s="291"/>
      <c r="BB89" s="291"/>
      <c r="BC89" s="291"/>
      <c r="BD89" s="291"/>
    </row>
    <row r="90" spans="1:56" x14ac:dyDescent="0.2">
      <c r="A90" s="234" t="s">
        <v>256</v>
      </c>
      <c r="B90" s="292"/>
      <c r="C90" s="292"/>
      <c r="D90" s="292"/>
      <c r="E90" s="292"/>
      <c r="F90" s="292"/>
      <c r="G90" s="292"/>
      <c r="H90" s="292"/>
      <c r="I90" s="292"/>
      <c r="J90" s="292"/>
      <c r="K90" s="292"/>
      <c r="L90" s="292"/>
      <c r="M90" s="292"/>
      <c r="N90" s="292"/>
      <c r="O90" s="292"/>
      <c r="P90" s="298"/>
      <c r="Q90" s="298"/>
      <c r="R90" s="298"/>
      <c r="S90" s="298"/>
      <c r="T90" s="298"/>
      <c r="U90" s="298"/>
      <c r="V90" s="298"/>
      <c r="W90" s="298"/>
      <c r="X90" s="298"/>
      <c r="Y90" s="298"/>
      <c r="Z90" s="298"/>
      <c r="AA90" s="298"/>
      <c r="AB90" s="298"/>
      <c r="AC90" s="298"/>
      <c r="AD90" s="298"/>
      <c r="AE90" s="298"/>
      <c r="AF90" s="298"/>
      <c r="AG90" s="298"/>
      <c r="AH90" s="298"/>
      <c r="AI90" s="298"/>
      <c r="AJ90" s="298"/>
      <c r="AK90" s="298"/>
      <c r="AL90" s="298"/>
      <c r="AM90" s="298"/>
      <c r="AN90" s="298"/>
      <c r="AO90" s="298"/>
      <c r="AP90" s="298"/>
      <c r="AQ90" s="298"/>
      <c r="AR90" s="298"/>
      <c r="AS90" s="298"/>
      <c r="AT90" s="298"/>
      <c r="AU90" s="298"/>
      <c r="AV90" s="298"/>
      <c r="AW90" s="298"/>
      <c r="AX90" s="298"/>
      <c r="AY90" s="298"/>
      <c r="AZ90" s="298"/>
      <c r="BA90" s="298"/>
      <c r="BB90" s="298"/>
      <c r="BC90" s="298"/>
      <c r="BD90" s="298"/>
    </row>
    <row r="91" spans="1:56" s="234" customFormat="1" ht="12.75" x14ac:dyDescent="0.2">
      <c r="A91" s="234" t="s">
        <v>798</v>
      </c>
      <c r="J91" s="293"/>
      <c r="O91" s="293"/>
    </row>
    <row r="92" spans="1:56" s="234" customFormat="1" ht="12.75" x14ac:dyDescent="0.2">
      <c r="A92" s="234" t="s">
        <v>799</v>
      </c>
      <c r="J92" s="293"/>
      <c r="O92" s="293"/>
    </row>
    <row r="93" spans="1:56" s="234" customFormat="1" ht="15.75" x14ac:dyDescent="0.3">
      <c r="A93" s="234" t="s">
        <v>810</v>
      </c>
      <c r="J93" s="293"/>
      <c r="O93" s="293"/>
    </row>
    <row r="94" spans="1:56" s="234" customFormat="1" ht="12.75" x14ac:dyDescent="0.2">
      <c r="A94" s="234" t="s">
        <v>801</v>
      </c>
      <c r="J94" s="293"/>
      <c r="O94" s="293"/>
    </row>
    <row r="95" spans="1:56" s="234" customFormat="1" ht="12.75" x14ac:dyDescent="0.2">
      <c r="A95" s="234" t="s">
        <v>802</v>
      </c>
      <c r="B95" s="234" t="s">
        <v>803</v>
      </c>
      <c r="J95" s="293"/>
      <c r="O95" s="293"/>
    </row>
    <row r="96" spans="1:56"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827</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524645.11758538196</v>
      </c>
      <c r="G7" s="218">
        <v>4661.8718964872796</v>
      </c>
      <c r="H7" s="218">
        <v>116546.797412182</v>
      </c>
      <c r="I7" s="218">
        <v>156.04583873809599</v>
      </c>
      <c r="J7" s="218">
        <v>46501.659943952698</v>
      </c>
      <c r="K7" s="218">
        <v>1121.2929187181001</v>
      </c>
      <c r="L7" s="218">
        <v>6374.9041661390702</v>
      </c>
      <c r="M7" s="218">
        <v>1827.63430976925</v>
      </c>
      <c r="N7" s="218">
        <v>0.26376091066666701</v>
      </c>
      <c r="O7" s="218">
        <v>697017.67009705398</v>
      </c>
    </row>
    <row r="8" spans="1:16" ht="15.75" thickTop="1" x14ac:dyDescent="0.2">
      <c r="A8" s="220" t="s">
        <v>723</v>
      </c>
      <c r="B8" s="221"/>
      <c r="C8" s="221"/>
      <c r="F8" s="223">
        <v>484047.69131275598</v>
      </c>
      <c r="G8" s="223">
        <v>2466.98962421121</v>
      </c>
      <c r="H8" s="223">
        <v>61674.740605280203</v>
      </c>
      <c r="I8" s="223">
        <v>38.320506542443198</v>
      </c>
      <c r="J8" s="223">
        <v>11419.5109496481</v>
      </c>
      <c r="K8" s="223">
        <v>0</v>
      </c>
      <c r="L8" s="223">
        <v>0</v>
      </c>
      <c r="M8" s="223">
        <v>0</v>
      </c>
      <c r="N8" s="223">
        <v>0</v>
      </c>
      <c r="O8" s="223">
        <v>557141.94286768395</v>
      </c>
    </row>
    <row r="9" spans="1:16" x14ac:dyDescent="0.2">
      <c r="A9" s="224" t="s">
        <v>724</v>
      </c>
      <c r="B9" s="225" t="s">
        <v>725</v>
      </c>
      <c r="C9" s="225"/>
      <c r="F9" s="226">
        <v>304590.25899829098</v>
      </c>
      <c r="G9" s="226">
        <v>246.119013544881</v>
      </c>
      <c r="H9" s="226">
        <v>6152.97533862202</v>
      </c>
      <c r="I9" s="226">
        <v>8.3557177874570705</v>
      </c>
      <c r="J9" s="226">
        <v>2490.0039006622101</v>
      </c>
      <c r="K9" s="226">
        <v>0</v>
      </c>
      <c r="L9" s="226">
        <v>0</v>
      </c>
      <c r="M9" s="226">
        <v>0</v>
      </c>
      <c r="N9" s="226">
        <v>0</v>
      </c>
      <c r="O9" s="226">
        <v>313233.23823757499</v>
      </c>
      <c r="P9" s="227"/>
    </row>
    <row r="10" spans="1:16" x14ac:dyDescent="0.2">
      <c r="A10" s="228"/>
      <c r="B10" s="229" t="s">
        <v>726</v>
      </c>
      <c r="C10" s="230"/>
      <c r="F10" s="231">
        <v>108994.17768555399</v>
      </c>
      <c r="G10" s="231">
        <v>3.2417204749378801</v>
      </c>
      <c r="H10" s="231">
        <v>81.043011873447099</v>
      </c>
      <c r="I10" s="231">
        <v>2.0388838145903398</v>
      </c>
      <c r="J10" s="231">
        <v>607.58737674792201</v>
      </c>
      <c r="K10" s="231">
        <v>0</v>
      </c>
      <c r="L10" s="231">
        <v>0</v>
      </c>
      <c r="M10" s="231">
        <v>0</v>
      </c>
      <c r="N10" s="231">
        <v>0</v>
      </c>
      <c r="O10" s="231">
        <v>109682.808074175</v>
      </c>
    </row>
    <row r="11" spans="1:16" x14ac:dyDescent="0.2">
      <c r="A11" s="228"/>
      <c r="B11" s="232" t="s">
        <v>727</v>
      </c>
      <c r="C11" s="230"/>
      <c r="F11" s="231">
        <v>18539.516799430199</v>
      </c>
      <c r="G11" s="231">
        <v>0.45750484860734503</v>
      </c>
      <c r="H11" s="231">
        <v>11.437621215183601</v>
      </c>
      <c r="I11" s="231">
        <v>0.18857728044144201</v>
      </c>
      <c r="J11" s="231">
        <v>56.196029571549701</v>
      </c>
      <c r="K11" s="231">
        <v>0</v>
      </c>
      <c r="L11" s="231">
        <v>0</v>
      </c>
      <c r="M11" s="231">
        <v>0</v>
      </c>
      <c r="N11" s="231">
        <v>0</v>
      </c>
      <c r="O11" s="231">
        <v>18607.150450216999</v>
      </c>
    </row>
    <row r="12" spans="1:16" s="234" customFormat="1" ht="12.75" x14ac:dyDescent="0.2">
      <c r="A12" s="228"/>
      <c r="B12" s="232" t="s">
        <v>728</v>
      </c>
      <c r="C12" s="233"/>
      <c r="F12" s="231">
        <v>42171.770665078599</v>
      </c>
      <c r="G12" s="231">
        <v>73.1817986911677</v>
      </c>
      <c r="H12" s="231">
        <v>1829.5449672791899</v>
      </c>
      <c r="I12" s="231">
        <v>0.99299138477591797</v>
      </c>
      <c r="J12" s="231">
        <v>295.91143266322302</v>
      </c>
      <c r="K12" s="231">
        <v>0</v>
      </c>
      <c r="L12" s="231">
        <v>0</v>
      </c>
      <c r="M12" s="231">
        <v>0</v>
      </c>
      <c r="N12" s="231">
        <v>0</v>
      </c>
      <c r="O12" s="231">
        <v>44297.227065020998</v>
      </c>
    </row>
    <row r="13" spans="1:16" s="234" customFormat="1" ht="12.75" x14ac:dyDescent="0.2">
      <c r="A13" s="228"/>
      <c r="B13" s="229" t="s">
        <v>729</v>
      </c>
      <c r="C13" s="229"/>
      <c r="F13" s="231">
        <v>57149.443108491199</v>
      </c>
      <c r="G13" s="231">
        <v>2.4451346464393202</v>
      </c>
      <c r="H13" s="231">
        <v>61.1283661609829</v>
      </c>
      <c r="I13" s="231">
        <v>1.91899115978636</v>
      </c>
      <c r="J13" s="231">
        <v>571.85936561633503</v>
      </c>
      <c r="K13" s="231">
        <v>0</v>
      </c>
      <c r="L13" s="231">
        <v>0</v>
      </c>
      <c r="M13" s="231">
        <v>0</v>
      </c>
      <c r="N13" s="231">
        <v>0</v>
      </c>
      <c r="O13" s="231">
        <v>57782.430840268498</v>
      </c>
    </row>
    <row r="14" spans="1:16" s="237" customFormat="1" ht="12" x14ac:dyDescent="0.2">
      <c r="A14" s="235"/>
      <c r="B14" s="230"/>
      <c r="C14" s="236" t="s">
        <v>2</v>
      </c>
      <c r="F14" s="238">
        <v>6114.7753181463804</v>
      </c>
      <c r="G14" s="238">
        <v>0.165775024193547</v>
      </c>
      <c r="H14" s="238">
        <v>4.14437560483867</v>
      </c>
      <c r="I14" s="238">
        <v>0.14349441109154201</v>
      </c>
      <c r="J14" s="238">
        <v>42.7613345052794</v>
      </c>
      <c r="K14" s="238">
        <v>0</v>
      </c>
      <c r="L14" s="238">
        <v>0</v>
      </c>
      <c r="M14" s="238">
        <v>0</v>
      </c>
      <c r="N14" s="238">
        <v>0</v>
      </c>
      <c r="O14" s="238">
        <v>6161.6810282565002</v>
      </c>
    </row>
    <row r="15" spans="1:16" s="237" customFormat="1" ht="12" x14ac:dyDescent="0.2">
      <c r="A15" s="235"/>
      <c r="B15" s="230"/>
      <c r="C15" s="236" t="s">
        <v>730</v>
      </c>
      <c r="F15" s="238">
        <v>3867.4756662500599</v>
      </c>
      <c r="G15" s="238">
        <v>7.8148742190000398E-2</v>
      </c>
      <c r="H15" s="238">
        <v>1.95371855475001</v>
      </c>
      <c r="I15" s="238">
        <v>5.7570261534820401E-2</v>
      </c>
      <c r="J15" s="238">
        <v>17.1559379373765</v>
      </c>
      <c r="K15" s="238">
        <v>0</v>
      </c>
      <c r="L15" s="238">
        <v>0</v>
      </c>
      <c r="M15" s="238">
        <v>0</v>
      </c>
      <c r="N15" s="238">
        <v>0</v>
      </c>
      <c r="O15" s="238">
        <v>3886.5853227421899</v>
      </c>
    </row>
    <row r="16" spans="1:16" s="237" customFormat="1" ht="12" x14ac:dyDescent="0.2">
      <c r="A16" s="235"/>
      <c r="B16" s="230"/>
      <c r="C16" s="236" t="s">
        <v>731</v>
      </c>
      <c r="F16" s="238">
        <v>10167.581586853899</v>
      </c>
      <c r="G16" s="238">
        <v>0.21149269670493501</v>
      </c>
      <c r="H16" s="238">
        <v>5.2873174176233899</v>
      </c>
      <c r="I16" s="238">
        <v>0.17834519475584601</v>
      </c>
      <c r="J16" s="238">
        <v>53.1468680372422</v>
      </c>
      <c r="K16" s="238">
        <v>0</v>
      </c>
      <c r="L16" s="238">
        <v>0</v>
      </c>
      <c r="M16" s="238">
        <v>0</v>
      </c>
      <c r="N16" s="238">
        <v>0</v>
      </c>
      <c r="O16" s="238">
        <v>10226.0157723087</v>
      </c>
    </row>
    <row r="17" spans="1:16" s="237" customFormat="1" ht="12" x14ac:dyDescent="0.2">
      <c r="A17" s="235"/>
      <c r="B17" s="230"/>
      <c r="C17" s="236" t="s">
        <v>732</v>
      </c>
      <c r="F17" s="238">
        <v>12884.4209989266</v>
      </c>
      <c r="G17" s="238">
        <v>1.4380986495441701</v>
      </c>
      <c r="H17" s="238">
        <v>35.952466238604302</v>
      </c>
      <c r="I17" s="238">
        <v>1.1195949889308301</v>
      </c>
      <c r="J17" s="238">
        <v>333.63930670138598</v>
      </c>
      <c r="K17" s="238">
        <v>0</v>
      </c>
      <c r="L17" s="238">
        <v>0</v>
      </c>
      <c r="M17" s="238">
        <v>0</v>
      </c>
      <c r="N17" s="238">
        <v>0</v>
      </c>
      <c r="O17" s="238">
        <v>13254.012771866601</v>
      </c>
    </row>
    <row r="18" spans="1:16" s="237" customFormat="1" ht="12" x14ac:dyDescent="0.2">
      <c r="A18" s="235"/>
      <c r="B18" s="230"/>
      <c r="C18" s="236" t="s">
        <v>35</v>
      </c>
      <c r="F18" s="238">
        <v>4032.2515360954999</v>
      </c>
      <c r="G18" s="238">
        <v>0.12139079999999999</v>
      </c>
      <c r="H18" s="238">
        <v>3.03477</v>
      </c>
      <c r="I18" s="238">
        <v>4.5283476522883399E-2</v>
      </c>
      <c r="J18" s="238">
        <v>13.4944760038192</v>
      </c>
      <c r="K18" s="238">
        <v>0</v>
      </c>
      <c r="L18" s="238">
        <v>0</v>
      </c>
      <c r="M18" s="238">
        <v>0</v>
      </c>
      <c r="N18" s="238">
        <v>0</v>
      </c>
      <c r="O18" s="238">
        <v>4048.7807820993198</v>
      </c>
    </row>
    <row r="19" spans="1:16" s="237" customFormat="1" ht="12" x14ac:dyDescent="0.2">
      <c r="A19" s="235"/>
      <c r="B19" s="230"/>
      <c r="C19" s="236" t="s">
        <v>733</v>
      </c>
      <c r="F19" s="238">
        <v>20082.9380022187</v>
      </c>
      <c r="G19" s="238">
        <v>0.43022873380666199</v>
      </c>
      <c r="H19" s="238">
        <v>10.7557183451665</v>
      </c>
      <c r="I19" s="238">
        <v>0.37470282695044099</v>
      </c>
      <c r="J19" s="238">
        <v>111.66144243123099</v>
      </c>
      <c r="K19" s="238">
        <v>0</v>
      </c>
      <c r="L19" s="238">
        <v>0</v>
      </c>
      <c r="M19" s="238">
        <v>0</v>
      </c>
      <c r="N19" s="238">
        <v>0</v>
      </c>
      <c r="O19" s="238">
        <v>20205.3551629951</v>
      </c>
    </row>
    <row r="20" spans="1:16" s="234" customFormat="1" ht="12.75" x14ac:dyDescent="0.2">
      <c r="A20" s="228"/>
      <c r="B20" s="229" t="s">
        <v>734</v>
      </c>
      <c r="C20" s="239"/>
      <c r="F20" s="231">
        <v>1244.7019858000001</v>
      </c>
      <c r="G20" s="231">
        <v>2.0488306000000001E-2</v>
      </c>
      <c r="H20" s="231">
        <v>0.51220765000000001</v>
      </c>
      <c r="I20" s="231">
        <v>3.2498111000000003E-2</v>
      </c>
      <c r="J20" s="231">
        <v>9.6844370780000002</v>
      </c>
      <c r="K20" s="231">
        <v>0</v>
      </c>
      <c r="L20" s="231">
        <v>0</v>
      </c>
      <c r="M20" s="231">
        <v>0</v>
      </c>
      <c r="N20" s="231">
        <v>0</v>
      </c>
      <c r="O20" s="231">
        <v>1254.898630528</v>
      </c>
    </row>
    <row r="21" spans="1:16" s="234" customFormat="1" ht="12.75" x14ac:dyDescent="0.2">
      <c r="A21" s="228"/>
      <c r="B21" s="229" t="s">
        <v>735</v>
      </c>
      <c r="C21" s="229"/>
      <c r="F21" s="231">
        <v>29862.949023000001</v>
      </c>
      <c r="G21" s="231">
        <v>0.54050507992571395</v>
      </c>
      <c r="H21" s="231">
        <v>13.5126269981428</v>
      </c>
      <c r="I21" s="231">
        <v>0.646363950392572</v>
      </c>
      <c r="J21" s="231">
        <v>192.61645721698599</v>
      </c>
      <c r="K21" s="231">
        <v>0</v>
      </c>
      <c r="L21" s="231">
        <v>0</v>
      </c>
      <c r="M21" s="231">
        <v>0</v>
      </c>
      <c r="N21" s="231">
        <v>0</v>
      </c>
      <c r="O21" s="231">
        <v>30069.0781072151</v>
      </c>
    </row>
    <row r="22" spans="1:16" s="234" customFormat="1" ht="12.75" x14ac:dyDescent="0.2">
      <c r="A22" s="228"/>
      <c r="B22" s="229" t="s">
        <v>181</v>
      </c>
      <c r="C22" s="229"/>
      <c r="F22" s="231">
        <v>43731.706903999999</v>
      </c>
      <c r="G22" s="231">
        <v>166.18826103899201</v>
      </c>
      <c r="H22" s="231">
        <v>4154.7065259747997</v>
      </c>
      <c r="I22" s="231">
        <v>2.46997510031431</v>
      </c>
      <c r="J22" s="231">
        <v>736.05257989366601</v>
      </c>
      <c r="K22" s="231">
        <v>0</v>
      </c>
      <c r="L22" s="231">
        <v>0</v>
      </c>
      <c r="M22" s="231">
        <v>0</v>
      </c>
      <c r="N22" s="231">
        <v>0</v>
      </c>
      <c r="O22" s="231">
        <v>48622.466009868498</v>
      </c>
    </row>
    <row r="23" spans="1:16" s="234" customFormat="1" ht="12.75" x14ac:dyDescent="0.2">
      <c r="A23" s="228"/>
      <c r="B23" s="229" t="s">
        <v>736</v>
      </c>
      <c r="C23" s="229"/>
      <c r="F23" s="231">
        <v>2895.9928269366701</v>
      </c>
      <c r="G23" s="231">
        <v>4.36004588109285E-2</v>
      </c>
      <c r="H23" s="231">
        <v>1.09001147027321</v>
      </c>
      <c r="I23" s="231">
        <v>6.7436986156130196E-2</v>
      </c>
      <c r="J23" s="231">
        <v>20.096221874526801</v>
      </c>
      <c r="K23" s="231">
        <v>0</v>
      </c>
      <c r="L23" s="231">
        <v>0</v>
      </c>
      <c r="M23" s="231">
        <v>0</v>
      </c>
      <c r="N23" s="231">
        <v>0</v>
      </c>
      <c r="O23" s="231">
        <v>2917.1790602814699</v>
      </c>
    </row>
    <row r="24" spans="1:16" s="240" customFormat="1" ht="14.25" x14ac:dyDescent="0.2">
      <c r="A24" s="224" t="s">
        <v>737</v>
      </c>
      <c r="B24" s="225" t="s">
        <v>738</v>
      </c>
      <c r="C24" s="225"/>
      <c r="F24" s="226">
        <v>163218.42460952999</v>
      </c>
      <c r="G24" s="226">
        <v>35.247791112583499</v>
      </c>
      <c r="H24" s="226">
        <v>881.19477781458795</v>
      </c>
      <c r="I24" s="226">
        <v>29.840590149813799</v>
      </c>
      <c r="J24" s="226">
        <v>8892.4958646445102</v>
      </c>
      <c r="K24" s="226">
        <v>0</v>
      </c>
      <c r="L24" s="226">
        <v>0</v>
      </c>
      <c r="M24" s="226">
        <v>0</v>
      </c>
      <c r="N24" s="226">
        <v>0</v>
      </c>
      <c r="O24" s="226">
        <v>172992.11525198899</v>
      </c>
      <c r="P24" s="241"/>
    </row>
    <row r="25" spans="1:16" s="234" customFormat="1" ht="12.75" x14ac:dyDescent="0.2">
      <c r="A25" s="228"/>
      <c r="B25" s="232" t="s">
        <v>739</v>
      </c>
      <c r="C25" s="229"/>
      <c r="F25" s="231">
        <v>7072.5030939116295</v>
      </c>
      <c r="G25" s="231">
        <v>0.31900872299438199</v>
      </c>
      <c r="H25" s="231">
        <v>7.9752180748595496</v>
      </c>
      <c r="I25" s="231">
        <v>0.21328686580657699</v>
      </c>
      <c r="J25" s="231">
        <v>63.559486010359898</v>
      </c>
      <c r="K25" s="231">
        <v>0</v>
      </c>
      <c r="L25" s="231">
        <v>0</v>
      </c>
      <c r="M25" s="231">
        <v>0</v>
      </c>
      <c r="N25" s="231">
        <v>0</v>
      </c>
      <c r="O25" s="231">
        <v>7144.0377979968498</v>
      </c>
    </row>
    <row r="26" spans="1:16" s="234" customFormat="1" ht="12.75" x14ac:dyDescent="0.2">
      <c r="A26" s="228"/>
      <c r="B26" s="229" t="s">
        <v>740</v>
      </c>
      <c r="C26" s="229"/>
      <c r="F26" s="231">
        <v>98622.351828346902</v>
      </c>
      <c r="G26" s="231">
        <v>11.4962276402377</v>
      </c>
      <c r="H26" s="231">
        <v>287.405691005942</v>
      </c>
      <c r="I26" s="231">
        <v>16.134713039408101</v>
      </c>
      <c r="J26" s="231">
        <v>4808.1444857436099</v>
      </c>
      <c r="K26" s="231">
        <v>0</v>
      </c>
      <c r="L26" s="231">
        <v>0</v>
      </c>
      <c r="M26" s="231">
        <v>0</v>
      </c>
      <c r="N26" s="231">
        <v>0</v>
      </c>
      <c r="O26" s="231">
        <v>103717.902005096</v>
      </c>
    </row>
    <row r="27" spans="1:16" s="237" customFormat="1" ht="12" x14ac:dyDescent="0.2">
      <c r="A27" s="235"/>
      <c r="B27" s="230"/>
      <c r="C27" s="236" t="s">
        <v>741</v>
      </c>
      <c r="F27" s="238">
        <v>40759.928329951203</v>
      </c>
      <c r="G27" s="238">
        <v>5.6974110752090397</v>
      </c>
      <c r="H27" s="238">
        <v>142.43527688022601</v>
      </c>
      <c r="I27" s="238">
        <v>8.7563636749736098</v>
      </c>
      <c r="J27" s="238">
        <v>2609.3963751421402</v>
      </c>
      <c r="K27" s="238">
        <v>0</v>
      </c>
      <c r="L27" s="238">
        <v>0</v>
      </c>
      <c r="M27" s="238">
        <v>0</v>
      </c>
      <c r="N27" s="238">
        <v>0</v>
      </c>
      <c r="O27" s="238">
        <v>43511.759981973599</v>
      </c>
    </row>
    <row r="28" spans="1:16" s="237" customFormat="1" ht="12" x14ac:dyDescent="0.2">
      <c r="A28" s="235"/>
      <c r="B28" s="230"/>
      <c r="C28" s="236" t="s">
        <v>742</v>
      </c>
      <c r="F28" s="238">
        <v>27000.1118470775</v>
      </c>
      <c r="G28" s="238">
        <v>3.1925148848886802</v>
      </c>
      <c r="H28" s="238">
        <v>79.812872122217001</v>
      </c>
      <c r="I28" s="238">
        <v>6.3031814570142197</v>
      </c>
      <c r="J28" s="238">
        <v>1878.3480741902399</v>
      </c>
      <c r="K28" s="238">
        <v>0</v>
      </c>
      <c r="L28" s="238">
        <v>0</v>
      </c>
      <c r="M28" s="238">
        <v>0</v>
      </c>
      <c r="N28" s="238">
        <v>0</v>
      </c>
      <c r="O28" s="238">
        <v>28958.272793389999</v>
      </c>
    </row>
    <row r="29" spans="1:16" s="237" customFormat="1" ht="12" x14ac:dyDescent="0.2">
      <c r="A29" s="235"/>
      <c r="B29" s="230"/>
      <c r="C29" s="236" t="s">
        <v>743</v>
      </c>
      <c r="F29" s="238">
        <v>9315.6510902617301</v>
      </c>
      <c r="G29" s="238">
        <v>1.1380957060150501</v>
      </c>
      <c r="H29" s="238">
        <v>28.4523926503763</v>
      </c>
      <c r="I29" s="238">
        <v>0.30899735260342398</v>
      </c>
      <c r="J29" s="238">
        <v>92.081211075820406</v>
      </c>
      <c r="K29" s="238">
        <v>0</v>
      </c>
      <c r="L29" s="238">
        <v>0</v>
      </c>
      <c r="M29" s="238">
        <v>0</v>
      </c>
      <c r="N29" s="238">
        <v>0</v>
      </c>
      <c r="O29" s="238">
        <v>9436.1846939879306</v>
      </c>
    </row>
    <row r="30" spans="1:16" s="237" customFormat="1" ht="12" x14ac:dyDescent="0.2">
      <c r="A30" s="235"/>
      <c r="B30" s="230"/>
      <c r="C30" s="236" t="s">
        <v>744</v>
      </c>
      <c r="F30" s="238">
        <v>90.684464488028794</v>
      </c>
      <c r="G30" s="238">
        <v>7.8017176917956899E-2</v>
      </c>
      <c r="H30" s="238">
        <v>1.9504294229489201</v>
      </c>
      <c r="I30" s="238">
        <v>1.8258086125544401E-3</v>
      </c>
      <c r="J30" s="238">
        <v>0.54409096654122402</v>
      </c>
      <c r="K30" s="238">
        <v>0</v>
      </c>
      <c r="L30" s="238">
        <v>0</v>
      </c>
      <c r="M30" s="238">
        <v>0</v>
      </c>
      <c r="N30" s="238">
        <v>0</v>
      </c>
      <c r="O30" s="238">
        <v>93.1789848775189</v>
      </c>
      <c r="P30" s="242"/>
    </row>
    <row r="31" spans="1:16" s="237" customFormat="1" ht="12" x14ac:dyDescent="0.2">
      <c r="A31" s="235"/>
      <c r="B31" s="230"/>
      <c r="C31" s="236" t="s">
        <v>745</v>
      </c>
      <c r="F31" s="238">
        <v>451.359461166968</v>
      </c>
      <c r="G31" s="238">
        <v>1.14683826734097E-2</v>
      </c>
      <c r="H31" s="238">
        <v>0.28670956683524301</v>
      </c>
      <c r="I31" s="238">
        <v>3.4645942533812202E-2</v>
      </c>
      <c r="J31" s="238">
        <v>10.324490875076</v>
      </c>
      <c r="K31" s="238">
        <v>0</v>
      </c>
      <c r="L31" s="238">
        <v>0</v>
      </c>
      <c r="M31" s="238">
        <v>0</v>
      </c>
      <c r="N31" s="238">
        <v>0</v>
      </c>
      <c r="O31" s="238">
        <v>461.97066160887903</v>
      </c>
    </row>
    <row r="32" spans="1:16" s="237" customFormat="1" ht="12" x14ac:dyDescent="0.2">
      <c r="A32" s="235"/>
      <c r="B32" s="230"/>
      <c r="C32" s="236" t="s">
        <v>746</v>
      </c>
      <c r="D32" s="243"/>
      <c r="E32" s="243"/>
      <c r="F32" s="244">
        <v>254.93956275033699</v>
      </c>
      <c r="G32" s="244">
        <v>6.5325484683048697E-3</v>
      </c>
      <c r="H32" s="244">
        <v>0.16331371170762199</v>
      </c>
      <c r="I32" s="244">
        <v>1.9761099038124098E-2</v>
      </c>
      <c r="J32" s="244">
        <v>5.8888075133609901</v>
      </c>
      <c r="K32" s="244">
        <v>0</v>
      </c>
      <c r="L32" s="244">
        <v>0</v>
      </c>
      <c r="M32" s="244">
        <v>0</v>
      </c>
      <c r="N32" s="244">
        <v>0</v>
      </c>
      <c r="O32" s="244">
        <v>260.99168397540501</v>
      </c>
    </row>
    <row r="33" spans="1:15" s="237" customFormat="1" ht="12" x14ac:dyDescent="0.2">
      <c r="A33" s="235"/>
      <c r="B33" s="230"/>
      <c r="C33" s="236" t="s">
        <v>747</v>
      </c>
      <c r="D33" s="243"/>
      <c r="E33" s="243"/>
      <c r="F33" s="244">
        <v>19842.1676846917</v>
      </c>
      <c r="G33" s="244">
        <v>0.97628376600348399</v>
      </c>
      <c r="H33" s="244">
        <v>24.407094150087101</v>
      </c>
      <c r="I33" s="244">
        <v>0.69313090014397305</v>
      </c>
      <c r="J33" s="244">
        <v>206.55300824290401</v>
      </c>
      <c r="K33" s="244">
        <v>0</v>
      </c>
      <c r="L33" s="244">
        <v>0</v>
      </c>
      <c r="M33" s="244">
        <v>0</v>
      </c>
      <c r="N33" s="244">
        <v>0</v>
      </c>
      <c r="O33" s="244">
        <v>20073.127787084701</v>
      </c>
    </row>
    <row r="34" spans="1:15" s="237" customFormat="1" ht="12" x14ac:dyDescent="0.2">
      <c r="A34" s="235"/>
      <c r="B34" s="230"/>
      <c r="C34" s="245" t="s">
        <v>748</v>
      </c>
      <c r="D34" s="243"/>
      <c r="E34" s="243"/>
      <c r="F34" s="244">
        <v>907.50938795935201</v>
      </c>
      <c r="G34" s="244">
        <v>0.39590410006174398</v>
      </c>
      <c r="H34" s="244">
        <v>9.8976025015435898</v>
      </c>
      <c r="I34" s="244">
        <v>1.6806804488362401E-2</v>
      </c>
      <c r="J34" s="244">
        <v>5.0084277375319903</v>
      </c>
      <c r="K34" s="244">
        <v>0</v>
      </c>
      <c r="L34" s="244">
        <v>0</v>
      </c>
      <c r="M34" s="244">
        <v>0</v>
      </c>
      <c r="N34" s="244">
        <v>0</v>
      </c>
      <c r="O34" s="244">
        <v>922.41541819842701</v>
      </c>
    </row>
    <row r="35" spans="1:15" s="249" customFormat="1" ht="12.75" x14ac:dyDescent="0.2">
      <c r="A35" s="228"/>
      <c r="B35" s="229" t="s">
        <v>749</v>
      </c>
      <c r="C35" s="246"/>
      <c r="D35" s="247"/>
      <c r="E35" s="247"/>
      <c r="F35" s="248">
        <v>5581.4809999999998</v>
      </c>
      <c r="G35" s="248">
        <v>0.31330989999999997</v>
      </c>
      <c r="H35" s="248">
        <v>7.8327475</v>
      </c>
      <c r="I35" s="248">
        <v>2.1599708999999998</v>
      </c>
      <c r="J35" s="248">
        <v>643.67132819999995</v>
      </c>
      <c r="K35" s="248">
        <v>0</v>
      </c>
      <c r="L35" s="248">
        <v>0</v>
      </c>
      <c r="M35" s="248">
        <v>0</v>
      </c>
      <c r="N35" s="248">
        <v>0</v>
      </c>
      <c r="O35" s="248">
        <v>6232.9850757000004</v>
      </c>
    </row>
    <row r="36" spans="1:15" s="249" customFormat="1" ht="12.75" x14ac:dyDescent="0.2">
      <c r="A36" s="228"/>
      <c r="B36" s="232" t="s">
        <v>750</v>
      </c>
      <c r="C36" s="246"/>
      <c r="D36" s="247"/>
      <c r="E36" s="247"/>
      <c r="F36" s="248">
        <v>4252.27838829952</v>
      </c>
      <c r="G36" s="248">
        <v>0.39412196329999999</v>
      </c>
      <c r="H36" s="248">
        <v>9.8530490825000001</v>
      </c>
      <c r="I36" s="248">
        <v>0.11258335603</v>
      </c>
      <c r="J36" s="248">
        <v>33.549840096940002</v>
      </c>
      <c r="K36" s="248">
        <v>0</v>
      </c>
      <c r="L36" s="248">
        <v>0</v>
      </c>
      <c r="M36" s="248">
        <v>0</v>
      </c>
      <c r="N36" s="248">
        <v>0</v>
      </c>
      <c r="O36" s="248">
        <v>4295.6812774789596</v>
      </c>
    </row>
    <row r="37" spans="1:15" s="234" customFormat="1" ht="12.75" x14ac:dyDescent="0.2">
      <c r="A37" s="228"/>
      <c r="B37" s="229" t="s">
        <v>751</v>
      </c>
      <c r="C37" s="250"/>
      <c r="D37" s="251"/>
      <c r="E37" s="251"/>
      <c r="F37" s="252">
        <v>47689.810298972101</v>
      </c>
      <c r="G37" s="252">
        <v>22.725122886051501</v>
      </c>
      <c r="H37" s="252">
        <v>568.12807215128703</v>
      </c>
      <c r="I37" s="252">
        <v>11.2200359885691</v>
      </c>
      <c r="J37" s="252">
        <v>3343.5707245936001</v>
      </c>
      <c r="K37" s="252">
        <v>0</v>
      </c>
      <c r="L37" s="252">
        <v>0</v>
      </c>
      <c r="M37" s="252">
        <v>0</v>
      </c>
      <c r="N37" s="252">
        <v>0</v>
      </c>
      <c r="O37" s="252">
        <v>51601.509095717003</v>
      </c>
    </row>
    <row r="38" spans="1:15" s="237" customFormat="1" ht="12" x14ac:dyDescent="0.2">
      <c r="A38" s="235"/>
      <c r="B38" s="230"/>
      <c r="C38" s="236" t="s">
        <v>752</v>
      </c>
      <c r="F38" s="238">
        <v>13101.7516500253</v>
      </c>
      <c r="G38" s="238">
        <v>0.75989267963396101</v>
      </c>
      <c r="H38" s="238">
        <v>18.997316990849001</v>
      </c>
      <c r="I38" s="238">
        <v>5.0622084367781301</v>
      </c>
      <c r="J38" s="238">
        <v>1508.53811415988</v>
      </c>
      <c r="K38" s="238">
        <v>0</v>
      </c>
      <c r="L38" s="238">
        <v>0</v>
      </c>
      <c r="M38" s="238">
        <v>0</v>
      </c>
      <c r="N38" s="238">
        <v>0</v>
      </c>
      <c r="O38" s="238">
        <v>14629.287081176</v>
      </c>
    </row>
    <row r="39" spans="1:15" s="237" customFormat="1" ht="12" x14ac:dyDescent="0.2">
      <c r="A39" s="235"/>
      <c r="B39" s="230"/>
      <c r="C39" s="236" t="s">
        <v>753</v>
      </c>
      <c r="F39" s="238">
        <v>1806.56817898657</v>
      </c>
      <c r="G39" s="238">
        <v>0.88776742227533201</v>
      </c>
      <c r="H39" s="238">
        <v>22.194185556883301</v>
      </c>
      <c r="I39" s="238">
        <v>0.56783520014501898</v>
      </c>
      <c r="J39" s="238">
        <v>169.214889643216</v>
      </c>
      <c r="K39" s="238">
        <v>0</v>
      </c>
      <c r="L39" s="238">
        <v>0</v>
      </c>
      <c r="M39" s="238">
        <v>0</v>
      </c>
      <c r="N39" s="238">
        <v>0</v>
      </c>
      <c r="O39" s="238">
        <v>1997.9772541866701</v>
      </c>
    </row>
    <row r="40" spans="1:15" s="237" customFormat="1" ht="12" x14ac:dyDescent="0.2">
      <c r="A40" s="235"/>
      <c r="B40" s="230"/>
      <c r="C40" s="236" t="s">
        <v>754</v>
      </c>
      <c r="F40" s="238">
        <v>11735.8462945009</v>
      </c>
      <c r="G40" s="238">
        <v>0.94588991945337197</v>
      </c>
      <c r="H40" s="238">
        <v>23.6472479863343</v>
      </c>
      <c r="I40" s="238">
        <v>4.2726741823433603</v>
      </c>
      <c r="J40" s="238">
        <v>1273.2569063383201</v>
      </c>
      <c r="K40" s="238">
        <v>0</v>
      </c>
      <c r="L40" s="238">
        <v>0</v>
      </c>
      <c r="M40" s="238">
        <v>0</v>
      </c>
      <c r="N40" s="238">
        <v>0</v>
      </c>
      <c r="O40" s="238">
        <v>13032.7504488255</v>
      </c>
    </row>
    <row r="41" spans="1:15" s="237" customFormat="1" ht="12" x14ac:dyDescent="0.2">
      <c r="A41" s="235"/>
      <c r="B41" s="230"/>
      <c r="C41" s="236" t="s">
        <v>755</v>
      </c>
      <c r="F41" s="238">
        <v>350.65453762567</v>
      </c>
      <c r="G41" s="238">
        <v>0.189275653767671</v>
      </c>
      <c r="H41" s="238">
        <v>4.7318913441917703</v>
      </c>
      <c r="I41" s="238">
        <v>8.0079750340513497E-2</v>
      </c>
      <c r="J41" s="238">
        <v>23.863765601472998</v>
      </c>
      <c r="K41" s="238">
        <v>0</v>
      </c>
      <c r="L41" s="238">
        <v>0</v>
      </c>
      <c r="M41" s="238">
        <v>0</v>
      </c>
      <c r="N41" s="238">
        <v>0</v>
      </c>
      <c r="O41" s="238">
        <v>379.25019457133499</v>
      </c>
    </row>
    <row r="42" spans="1:15" s="237" customFormat="1" ht="12" x14ac:dyDescent="0.2">
      <c r="A42" s="235"/>
      <c r="B42" s="230"/>
      <c r="C42" s="236" t="s">
        <v>756</v>
      </c>
      <c r="F42" s="238">
        <v>8506.5066378336705</v>
      </c>
      <c r="G42" s="238">
        <v>7.7247348109211202</v>
      </c>
      <c r="H42" s="238">
        <v>193.11837027302801</v>
      </c>
      <c r="I42" s="238">
        <v>0.91064841896209903</v>
      </c>
      <c r="J42" s="238">
        <v>271.37322885070603</v>
      </c>
      <c r="K42" s="238">
        <v>0</v>
      </c>
      <c r="L42" s="238">
        <v>0</v>
      </c>
      <c r="M42" s="238">
        <v>0</v>
      </c>
      <c r="N42" s="238">
        <v>0</v>
      </c>
      <c r="O42" s="238">
        <v>8970.99823695741</v>
      </c>
    </row>
    <row r="43" spans="1:15" s="237" customFormat="1" ht="12" x14ac:dyDescent="0.2">
      <c r="A43" s="235"/>
      <c r="B43" s="230"/>
      <c r="C43" s="253" t="s">
        <v>757</v>
      </c>
      <c r="F43" s="238">
        <v>12188.483</v>
      </c>
      <c r="G43" s="238">
        <v>12.2175624</v>
      </c>
      <c r="H43" s="238">
        <v>305.43905999999998</v>
      </c>
      <c r="I43" s="238">
        <v>0.32658999999999999</v>
      </c>
      <c r="J43" s="238">
        <v>97.323819999999998</v>
      </c>
      <c r="K43" s="238">
        <v>0</v>
      </c>
      <c r="L43" s="238">
        <v>0</v>
      </c>
      <c r="M43" s="238">
        <v>0</v>
      </c>
      <c r="N43" s="238">
        <v>0</v>
      </c>
      <c r="O43" s="238">
        <v>12591.24588</v>
      </c>
    </row>
    <row r="44" spans="1:15" s="240" customFormat="1" ht="12.75" x14ac:dyDescent="0.2">
      <c r="A44" s="224" t="s">
        <v>758</v>
      </c>
      <c r="B44" s="225" t="s">
        <v>759</v>
      </c>
      <c r="C44" s="225"/>
      <c r="F44" s="226">
        <v>16239.0077049354</v>
      </c>
      <c r="G44" s="226">
        <v>2185.6228195537401</v>
      </c>
      <c r="H44" s="226">
        <v>54640.570488843601</v>
      </c>
      <c r="I44" s="226">
        <v>0.124198605172331</v>
      </c>
      <c r="J44" s="226">
        <v>37.011184341354699</v>
      </c>
      <c r="K44" s="226">
        <v>0</v>
      </c>
      <c r="L44" s="226">
        <v>0</v>
      </c>
      <c r="M44" s="226">
        <v>0</v>
      </c>
      <c r="N44" s="226">
        <v>0</v>
      </c>
      <c r="O44" s="226">
        <v>70916.589378120407</v>
      </c>
    </row>
    <row r="45" spans="1:15" s="234" customFormat="1" ht="12.75" x14ac:dyDescent="0.2">
      <c r="A45" s="228"/>
      <c r="B45" s="229" t="s">
        <v>760</v>
      </c>
      <c r="C45" s="229"/>
      <c r="F45" s="231">
        <v>0</v>
      </c>
      <c r="G45" s="231">
        <v>90.285460288299305</v>
      </c>
      <c r="H45" s="231">
        <v>2257.13650720748</v>
      </c>
      <c r="I45" s="231">
        <v>0</v>
      </c>
      <c r="J45" s="231">
        <v>0</v>
      </c>
      <c r="K45" s="231">
        <v>0</v>
      </c>
      <c r="L45" s="231">
        <v>0</v>
      </c>
      <c r="M45" s="231">
        <v>0</v>
      </c>
      <c r="N45" s="231">
        <v>0</v>
      </c>
      <c r="O45" s="231">
        <v>2257.13650720748</v>
      </c>
    </row>
    <row r="46" spans="1:15" s="234" customFormat="1" ht="12.75" x14ac:dyDescent="0.2">
      <c r="A46" s="228"/>
      <c r="B46" s="229" t="s">
        <v>761</v>
      </c>
      <c r="C46" s="229"/>
      <c r="F46" s="231">
        <v>16239.0077049354</v>
      </c>
      <c r="G46" s="231">
        <v>2095.3373592654402</v>
      </c>
      <c r="H46" s="231">
        <v>52383.433981636103</v>
      </c>
      <c r="I46" s="231">
        <v>0.124198605172331</v>
      </c>
      <c r="J46" s="231">
        <v>37.011184341354699</v>
      </c>
      <c r="K46" s="231">
        <v>0</v>
      </c>
      <c r="L46" s="231">
        <v>0</v>
      </c>
      <c r="M46" s="231">
        <v>0</v>
      </c>
      <c r="N46" s="231">
        <v>0</v>
      </c>
      <c r="O46" s="231">
        <v>68659.452870912894</v>
      </c>
    </row>
    <row r="47" spans="1:15" s="237" customFormat="1" ht="12" x14ac:dyDescent="0.2">
      <c r="A47" s="254"/>
      <c r="B47" s="255"/>
      <c r="C47" s="230" t="s">
        <v>762</v>
      </c>
      <c r="F47" s="238">
        <v>124.64300876847599</v>
      </c>
      <c r="G47" s="238">
        <v>258.38329403265601</v>
      </c>
      <c r="H47" s="238">
        <v>6459.5823508163903</v>
      </c>
      <c r="I47" s="238">
        <v>0.113</v>
      </c>
      <c r="J47" s="238">
        <v>33.673999999999999</v>
      </c>
      <c r="K47" s="238">
        <v>0</v>
      </c>
      <c r="L47" s="238">
        <v>0</v>
      </c>
      <c r="M47" s="238">
        <v>0</v>
      </c>
      <c r="N47" s="238">
        <v>0</v>
      </c>
      <c r="O47" s="238">
        <v>6617.8993595848697</v>
      </c>
    </row>
    <row r="48" spans="1:15" s="237" customFormat="1" ht="12" x14ac:dyDescent="0.2">
      <c r="A48" s="254"/>
      <c r="B48" s="255"/>
      <c r="C48" s="230" t="s">
        <v>763</v>
      </c>
      <c r="F48" s="238">
        <v>47.323265996668901</v>
      </c>
      <c r="G48" s="238">
        <v>736.46492050198106</v>
      </c>
      <c r="H48" s="238">
        <v>18411.623012549499</v>
      </c>
      <c r="I48" s="238">
        <v>0</v>
      </c>
      <c r="J48" s="238">
        <v>0</v>
      </c>
      <c r="K48" s="238">
        <v>0</v>
      </c>
      <c r="L48" s="238">
        <v>0</v>
      </c>
      <c r="M48" s="238">
        <v>0</v>
      </c>
      <c r="N48" s="238">
        <v>0</v>
      </c>
      <c r="O48" s="238">
        <v>18458.946278546198</v>
      </c>
    </row>
    <row r="49" spans="1:16" s="237" customFormat="1" ht="12" x14ac:dyDescent="0.2">
      <c r="A49" s="256"/>
      <c r="B49" s="257"/>
      <c r="C49" s="258" t="s">
        <v>380</v>
      </c>
      <c r="D49" s="243"/>
      <c r="E49" s="243"/>
      <c r="F49" s="244">
        <v>10448.945134072001</v>
      </c>
      <c r="G49" s="244">
        <v>1092.6682154940299</v>
      </c>
      <c r="H49" s="244">
        <v>27316.705387350801</v>
      </c>
      <c r="I49" s="244">
        <v>0</v>
      </c>
      <c r="J49" s="244">
        <v>0</v>
      </c>
      <c r="K49" s="244">
        <v>0</v>
      </c>
      <c r="L49" s="244">
        <v>0</v>
      </c>
      <c r="M49" s="244">
        <v>0</v>
      </c>
      <c r="N49" s="244">
        <v>0</v>
      </c>
      <c r="O49" s="244">
        <v>37765.650521422802</v>
      </c>
    </row>
    <row r="50" spans="1:16" s="237" customFormat="1" ht="12" x14ac:dyDescent="0.2">
      <c r="A50" s="256"/>
      <c r="B50" s="257"/>
      <c r="C50" s="258" t="s">
        <v>381</v>
      </c>
      <c r="D50" s="243"/>
      <c r="E50" s="243"/>
      <c r="F50" s="244">
        <v>5618.0962960982597</v>
      </c>
      <c r="G50" s="244">
        <v>7.8209292367750498</v>
      </c>
      <c r="H50" s="244">
        <v>195.523230919376</v>
      </c>
      <c r="I50" s="244">
        <v>1.11986051723314E-2</v>
      </c>
      <c r="J50" s="244">
        <v>3.33718434135475</v>
      </c>
      <c r="K50" s="244">
        <v>0</v>
      </c>
      <c r="L50" s="244">
        <v>0</v>
      </c>
      <c r="M50" s="244">
        <v>0</v>
      </c>
      <c r="N50" s="244">
        <v>0</v>
      </c>
      <c r="O50" s="244">
        <v>5816.9567113589901</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38486.9992086028</v>
      </c>
      <c r="G52" s="266">
        <v>4.0485019886630598</v>
      </c>
      <c r="H52" s="266">
        <v>101.21254971657601</v>
      </c>
      <c r="I52" s="266">
        <v>36.102197283150197</v>
      </c>
      <c r="J52" s="266">
        <v>10758.454790378801</v>
      </c>
      <c r="K52" s="266">
        <v>1121.2929187181001</v>
      </c>
      <c r="L52" s="266">
        <v>6374.9041661390702</v>
      </c>
      <c r="M52" s="266">
        <v>1827.63430976925</v>
      </c>
      <c r="N52" s="266">
        <v>0.26376091066666701</v>
      </c>
      <c r="O52" s="266">
        <v>58670.761704235199</v>
      </c>
    </row>
    <row r="53" spans="1:16" s="240" customFormat="1" ht="12.75" x14ac:dyDescent="0.2">
      <c r="A53" s="224" t="s">
        <v>724</v>
      </c>
      <c r="B53" s="225" t="s">
        <v>767</v>
      </c>
      <c r="C53" s="225"/>
      <c r="D53" s="268"/>
      <c r="E53" s="268"/>
      <c r="F53" s="269">
        <v>9439.1577736408708</v>
      </c>
      <c r="G53" s="269">
        <v>0</v>
      </c>
      <c r="H53" s="269">
        <v>0</v>
      </c>
      <c r="I53" s="269">
        <v>0</v>
      </c>
      <c r="J53" s="269">
        <v>0</v>
      </c>
      <c r="K53" s="269">
        <v>0</v>
      </c>
      <c r="L53" s="269">
        <v>0</v>
      </c>
      <c r="M53" s="269">
        <v>0</v>
      </c>
      <c r="N53" s="269">
        <v>0</v>
      </c>
      <c r="O53" s="269">
        <v>9439.1577736408708</v>
      </c>
    </row>
    <row r="54" spans="1:16" s="273" customFormat="1" ht="12" x14ac:dyDescent="0.2">
      <c r="A54" s="235"/>
      <c r="B54" s="270"/>
      <c r="C54" s="236" t="s">
        <v>560</v>
      </c>
      <c r="D54" s="271"/>
      <c r="E54" s="271"/>
      <c r="F54" s="272">
        <v>6591.2349319650202</v>
      </c>
      <c r="G54" s="272">
        <v>0</v>
      </c>
      <c r="H54" s="272">
        <v>0</v>
      </c>
      <c r="I54" s="272">
        <v>0</v>
      </c>
      <c r="J54" s="272">
        <v>0</v>
      </c>
      <c r="K54" s="272">
        <v>0</v>
      </c>
      <c r="L54" s="272">
        <v>0</v>
      </c>
      <c r="M54" s="272">
        <v>0</v>
      </c>
      <c r="N54" s="272">
        <v>0</v>
      </c>
      <c r="O54" s="272">
        <v>6591.2349319650202</v>
      </c>
      <c r="P54" s="271"/>
    </row>
    <row r="55" spans="1:16" s="273" customFormat="1" ht="12" x14ac:dyDescent="0.2">
      <c r="A55" s="235"/>
      <c r="B55" s="270"/>
      <c r="C55" s="236" t="s">
        <v>191</v>
      </c>
      <c r="D55" s="271"/>
      <c r="E55" s="271"/>
      <c r="F55" s="272">
        <v>1858.6243809872699</v>
      </c>
      <c r="G55" s="272">
        <v>0</v>
      </c>
      <c r="H55" s="272">
        <v>0</v>
      </c>
      <c r="I55" s="272">
        <v>0</v>
      </c>
      <c r="J55" s="272">
        <v>0</v>
      </c>
      <c r="K55" s="272">
        <v>0</v>
      </c>
      <c r="L55" s="272">
        <v>0</v>
      </c>
      <c r="M55" s="272">
        <v>0</v>
      </c>
      <c r="N55" s="272">
        <v>0</v>
      </c>
      <c r="O55" s="272">
        <v>1858.6243809872699</v>
      </c>
      <c r="P55" s="271"/>
    </row>
    <row r="56" spans="1:16" s="273" customFormat="1" ht="12" x14ac:dyDescent="0.2">
      <c r="A56" s="235"/>
      <c r="B56" s="270"/>
      <c r="C56" s="236" t="s">
        <v>768</v>
      </c>
      <c r="D56" s="271"/>
      <c r="E56" s="271"/>
      <c r="F56" s="272">
        <v>989.29846068858296</v>
      </c>
      <c r="G56" s="272">
        <v>0</v>
      </c>
      <c r="H56" s="272">
        <v>0</v>
      </c>
      <c r="I56" s="272">
        <v>0</v>
      </c>
      <c r="J56" s="272">
        <v>0</v>
      </c>
      <c r="K56" s="272">
        <v>0</v>
      </c>
      <c r="L56" s="272">
        <v>0</v>
      </c>
      <c r="M56" s="272">
        <v>0</v>
      </c>
      <c r="N56" s="272">
        <v>0</v>
      </c>
      <c r="O56" s="272">
        <v>989.29846068858296</v>
      </c>
      <c r="P56" s="271"/>
    </row>
    <row r="57" spans="1:16" s="275" customFormat="1" ht="12.75" x14ac:dyDescent="0.2">
      <c r="A57" s="224" t="s">
        <v>737</v>
      </c>
      <c r="B57" s="225" t="s">
        <v>769</v>
      </c>
      <c r="C57" s="225"/>
      <c r="D57" s="274"/>
      <c r="E57" s="274"/>
      <c r="F57" s="269">
        <v>6428.93562299102</v>
      </c>
      <c r="G57" s="269">
        <v>3.9503239886630599</v>
      </c>
      <c r="H57" s="269">
        <v>98.758099716576496</v>
      </c>
      <c r="I57" s="269">
        <v>35.359914065726102</v>
      </c>
      <c r="J57" s="269">
        <v>10537.254391586401</v>
      </c>
      <c r="K57" s="269">
        <v>0</v>
      </c>
      <c r="L57" s="269">
        <v>0</v>
      </c>
      <c r="M57" s="269">
        <v>0</v>
      </c>
      <c r="N57" s="269">
        <v>0</v>
      </c>
      <c r="O57" s="269">
        <v>17064.948114293999</v>
      </c>
      <c r="P57" s="274"/>
    </row>
    <row r="58" spans="1:16" s="277" customFormat="1" ht="12" x14ac:dyDescent="0.2">
      <c r="A58" s="235"/>
      <c r="B58" s="270"/>
      <c r="C58" s="236" t="s">
        <v>192</v>
      </c>
      <c r="D58" s="276"/>
      <c r="E58" s="276"/>
      <c r="F58" s="272">
        <v>2799.7098013016998</v>
      </c>
      <c r="G58" s="272">
        <v>0</v>
      </c>
      <c r="H58" s="272">
        <v>0</v>
      </c>
      <c r="I58" s="272">
        <v>0</v>
      </c>
      <c r="J58" s="272">
        <v>0</v>
      </c>
      <c r="K58" s="272">
        <v>0</v>
      </c>
      <c r="L58" s="272">
        <v>0</v>
      </c>
      <c r="M58" s="272">
        <v>0</v>
      </c>
      <c r="N58" s="272">
        <v>0</v>
      </c>
      <c r="O58" s="272">
        <v>2799.7098013016998</v>
      </c>
      <c r="P58" s="276"/>
    </row>
    <row r="59" spans="1:16" s="277" customFormat="1" ht="12" x14ac:dyDescent="0.2">
      <c r="A59" s="235"/>
      <c r="B59" s="270"/>
      <c r="C59" s="236" t="s">
        <v>190</v>
      </c>
      <c r="D59" s="276"/>
      <c r="E59" s="276"/>
      <c r="F59" s="272">
        <v>0</v>
      </c>
      <c r="G59" s="272">
        <v>0</v>
      </c>
      <c r="H59" s="272">
        <v>0</v>
      </c>
      <c r="I59" s="272">
        <v>3.41191053915465</v>
      </c>
      <c r="J59" s="272">
        <v>1016.74934066809</v>
      </c>
      <c r="K59" s="272">
        <v>0</v>
      </c>
      <c r="L59" s="272">
        <v>0</v>
      </c>
      <c r="M59" s="272">
        <v>0</v>
      </c>
      <c r="N59" s="272">
        <v>0</v>
      </c>
      <c r="O59" s="272">
        <v>1016.74934066809</v>
      </c>
      <c r="P59" s="276"/>
    </row>
    <row r="60" spans="1:16" s="277" customFormat="1" ht="12" x14ac:dyDescent="0.2">
      <c r="A60" s="235"/>
      <c r="B60" s="270"/>
      <c r="C60" s="236" t="s">
        <v>770</v>
      </c>
      <c r="D60" s="276"/>
      <c r="E60" s="276"/>
      <c r="F60" s="272">
        <v>0</v>
      </c>
      <c r="G60" s="272">
        <v>0</v>
      </c>
      <c r="H60" s="272">
        <v>0</v>
      </c>
      <c r="I60" s="272">
        <v>31.891999999999999</v>
      </c>
      <c r="J60" s="272">
        <v>9503.8160000000007</v>
      </c>
      <c r="K60" s="272">
        <v>0</v>
      </c>
      <c r="L60" s="272">
        <v>0</v>
      </c>
      <c r="M60" s="272">
        <v>0</v>
      </c>
      <c r="N60" s="272">
        <v>0</v>
      </c>
      <c r="O60" s="272">
        <v>9503.8160000000007</v>
      </c>
      <c r="P60" s="276"/>
    </row>
    <row r="61" spans="1:16" s="277" customFormat="1" ht="12" x14ac:dyDescent="0.2">
      <c r="A61" s="235"/>
      <c r="B61" s="270"/>
      <c r="C61" s="236" t="s">
        <v>771</v>
      </c>
      <c r="D61" s="276"/>
      <c r="E61" s="276"/>
      <c r="F61" s="272">
        <v>3629.2258216893201</v>
      </c>
      <c r="G61" s="272">
        <v>3.9503239886630599</v>
      </c>
      <c r="H61" s="272">
        <v>98.758099716576496</v>
      </c>
      <c r="I61" s="272">
        <v>5.6003526571485197E-2</v>
      </c>
      <c r="J61" s="272">
        <v>16.689050918302598</v>
      </c>
      <c r="K61" s="272">
        <v>0</v>
      </c>
      <c r="L61" s="272">
        <v>0</v>
      </c>
      <c r="M61" s="272">
        <v>0</v>
      </c>
      <c r="N61" s="272">
        <v>0</v>
      </c>
      <c r="O61" s="272">
        <v>3744.6729723242001</v>
      </c>
      <c r="P61" s="276"/>
    </row>
    <row r="62" spans="1:16" s="240" customFormat="1" ht="12.75" x14ac:dyDescent="0.2">
      <c r="A62" s="224" t="s">
        <v>758</v>
      </c>
      <c r="B62" s="225" t="s">
        <v>772</v>
      </c>
      <c r="C62" s="225"/>
      <c r="D62" s="268"/>
      <c r="E62" s="268"/>
      <c r="F62" s="269">
        <v>15041.5068646413</v>
      </c>
      <c r="G62" s="269">
        <v>9.8178000000000001E-2</v>
      </c>
      <c r="H62" s="269">
        <v>2.45445</v>
      </c>
      <c r="I62" s="269">
        <v>0</v>
      </c>
      <c r="J62" s="269">
        <v>0</v>
      </c>
      <c r="K62" s="269">
        <v>0</v>
      </c>
      <c r="L62" s="269">
        <v>6351.7388360559999</v>
      </c>
      <c r="M62" s="269">
        <v>1651.6302590814</v>
      </c>
      <c r="N62" s="269">
        <v>0</v>
      </c>
      <c r="O62" s="269">
        <v>23047.3304097787</v>
      </c>
      <c r="P62" s="268"/>
    </row>
    <row r="63" spans="1:16" s="273" customFormat="1" ht="12" x14ac:dyDescent="0.2">
      <c r="A63" s="235"/>
      <c r="B63" s="230"/>
      <c r="C63" s="230" t="s">
        <v>773</v>
      </c>
      <c r="D63" s="271"/>
      <c r="E63" s="271"/>
      <c r="F63" s="272">
        <v>11112.906664598</v>
      </c>
      <c r="G63" s="272">
        <v>9.8178000000000001E-2</v>
      </c>
      <c r="H63" s="272">
        <v>2.45445</v>
      </c>
      <c r="I63" s="272">
        <v>0</v>
      </c>
      <c r="J63" s="272">
        <v>0</v>
      </c>
      <c r="K63" s="272">
        <v>0</v>
      </c>
      <c r="L63" s="272">
        <v>0</v>
      </c>
      <c r="M63" s="272">
        <v>0</v>
      </c>
      <c r="N63" s="272">
        <v>0</v>
      </c>
      <c r="O63" s="272">
        <v>11115.361114597999</v>
      </c>
      <c r="P63" s="271"/>
    </row>
    <row r="64" spans="1:16" s="273" customFormat="1" ht="12" x14ac:dyDescent="0.2">
      <c r="A64" s="235"/>
      <c r="B64" s="230"/>
      <c r="C64" s="230" t="s">
        <v>252</v>
      </c>
      <c r="D64" s="271"/>
      <c r="E64" s="271"/>
      <c r="F64" s="272">
        <v>3928.60020004328</v>
      </c>
      <c r="G64" s="272">
        <v>0</v>
      </c>
      <c r="H64" s="272">
        <v>0</v>
      </c>
      <c r="I64" s="272">
        <v>0</v>
      </c>
      <c r="J64" s="272">
        <v>0</v>
      </c>
      <c r="K64" s="272">
        <v>0</v>
      </c>
      <c r="L64" s="272">
        <v>6351.7388360559999</v>
      </c>
      <c r="M64" s="272">
        <v>56.3553953472803</v>
      </c>
      <c r="N64" s="272">
        <v>0</v>
      </c>
      <c r="O64" s="272">
        <v>10336.6944314466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1595.2748637341199</v>
      </c>
      <c r="N65" s="272">
        <v>0</v>
      </c>
      <c r="O65" s="272">
        <v>1595.2748637341199</v>
      </c>
      <c r="P65" s="271"/>
    </row>
    <row r="66" spans="1:16" s="234" customFormat="1" x14ac:dyDescent="0.25">
      <c r="A66" s="278" t="s">
        <v>764</v>
      </c>
      <c r="B66" s="279" t="s">
        <v>775</v>
      </c>
      <c r="C66" s="279"/>
      <c r="D66" s="251"/>
      <c r="E66" s="251"/>
      <c r="F66" s="252">
        <v>0</v>
      </c>
      <c r="G66" s="252">
        <v>0</v>
      </c>
      <c r="H66" s="252">
        <v>0</v>
      </c>
      <c r="I66" s="252">
        <v>0</v>
      </c>
      <c r="J66" s="252">
        <v>0</v>
      </c>
      <c r="K66" s="252">
        <v>1121.2929187181001</v>
      </c>
      <c r="L66" s="252">
        <v>22.457760668696</v>
      </c>
      <c r="M66" s="252">
        <v>2.96050551625668</v>
      </c>
      <c r="N66" s="252">
        <v>0.26376091066666701</v>
      </c>
      <c r="O66" s="252">
        <v>1146.9749458137201</v>
      </c>
      <c r="P66" s="251"/>
    </row>
    <row r="67" spans="1:16" s="234" customFormat="1" ht="12.75" x14ac:dyDescent="0.2">
      <c r="A67" s="278" t="s">
        <v>776</v>
      </c>
      <c r="B67" s="279" t="s">
        <v>777</v>
      </c>
      <c r="C67" s="279"/>
      <c r="D67" s="251"/>
      <c r="E67" s="251"/>
      <c r="F67" s="252">
        <v>7577.3989473296197</v>
      </c>
      <c r="G67" s="252">
        <v>0</v>
      </c>
      <c r="H67" s="252">
        <v>0</v>
      </c>
      <c r="I67" s="252">
        <v>0</v>
      </c>
      <c r="J67" s="252">
        <v>0</v>
      </c>
      <c r="K67" s="252">
        <v>0</v>
      </c>
      <c r="L67" s="252">
        <v>0</v>
      </c>
      <c r="M67" s="252">
        <v>0</v>
      </c>
      <c r="N67" s="252">
        <v>0</v>
      </c>
      <c r="O67" s="252">
        <v>7577.3989473296197</v>
      </c>
      <c r="P67" s="251"/>
    </row>
    <row r="68" spans="1:16" s="234" customFormat="1" ht="12.75" x14ac:dyDescent="0.2">
      <c r="A68" s="259" t="s">
        <v>778</v>
      </c>
      <c r="B68" s="260" t="s">
        <v>779</v>
      </c>
      <c r="C68" s="260"/>
      <c r="D68" s="280"/>
      <c r="E68" s="280"/>
      <c r="F68" s="281">
        <v>0</v>
      </c>
      <c r="G68" s="281">
        <v>0</v>
      </c>
      <c r="H68" s="281">
        <v>0</v>
      </c>
      <c r="I68" s="281">
        <v>0.74228321742403602</v>
      </c>
      <c r="J68" s="281">
        <v>221.20039879236299</v>
      </c>
      <c r="K68" s="281">
        <v>0</v>
      </c>
      <c r="L68" s="281">
        <v>0.70756941436800003</v>
      </c>
      <c r="M68" s="281">
        <v>173.04354517159601</v>
      </c>
      <c r="N68" s="281">
        <v>0</v>
      </c>
      <c r="O68" s="281">
        <v>394.95151337832698</v>
      </c>
      <c r="P68" s="251"/>
    </row>
    <row r="69" spans="1:16" s="267" customFormat="1" ht="12.75" x14ac:dyDescent="0.2">
      <c r="A69" s="282" t="s">
        <v>780</v>
      </c>
      <c r="B69" s="283"/>
      <c r="C69" s="283"/>
      <c r="D69" s="284"/>
      <c r="E69" s="284"/>
      <c r="F69" s="285">
        <v>1599.0983037333301</v>
      </c>
      <c r="G69" s="285">
        <v>1261.40458755741</v>
      </c>
      <c r="H69" s="285">
        <v>31535.114688935199</v>
      </c>
      <c r="I69" s="285">
        <v>77.888248862502806</v>
      </c>
      <c r="J69" s="285">
        <v>23210.698161025801</v>
      </c>
      <c r="K69" s="285">
        <v>0</v>
      </c>
      <c r="L69" s="285">
        <v>0</v>
      </c>
      <c r="M69" s="285">
        <v>0</v>
      </c>
      <c r="N69" s="285">
        <v>0</v>
      </c>
      <c r="O69" s="285">
        <v>56344.911153694396</v>
      </c>
      <c r="P69" s="265"/>
    </row>
    <row r="70" spans="1:16" s="234" customFormat="1" ht="12.75" x14ac:dyDescent="0.2">
      <c r="A70" s="278" t="s">
        <v>724</v>
      </c>
      <c r="B70" s="279" t="s">
        <v>27</v>
      </c>
      <c r="C70" s="279"/>
      <c r="D70" s="251"/>
      <c r="E70" s="251"/>
      <c r="F70" s="252">
        <v>0</v>
      </c>
      <c r="G70" s="252">
        <v>1103.9989204338699</v>
      </c>
      <c r="H70" s="252">
        <v>27599.973010846701</v>
      </c>
      <c r="I70" s="252">
        <v>0</v>
      </c>
      <c r="J70" s="252">
        <v>0</v>
      </c>
      <c r="K70" s="252">
        <v>0</v>
      </c>
      <c r="L70" s="252">
        <v>0</v>
      </c>
      <c r="M70" s="252">
        <v>0</v>
      </c>
      <c r="N70" s="252">
        <v>0</v>
      </c>
      <c r="O70" s="252">
        <v>27599.973010846701</v>
      </c>
      <c r="P70" s="251"/>
    </row>
    <row r="71" spans="1:16" s="234" customFormat="1" ht="12.75" x14ac:dyDescent="0.2">
      <c r="A71" s="278" t="s">
        <v>737</v>
      </c>
      <c r="B71" s="279" t="s">
        <v>28</v>
      </c>
      <c r="C71" s="279"/>
      <c r="D71" s="251"/>
      <c r="E71" s="251"/>
      <c r="F71" s="252">
        <v>0</v>
      </c>
      <c r="G71" s="252">
        <v>151.88875949127399</v>
      </c>
      <c r="H71" s="252">
        <v>3797.2189872818399</v>
      </c>
      <c r="I71" s="252">
        <v>16.138205181287699</v>
      </c>
      <c r="J71" s="252">
        <v>4809.1851440237297</v>
      </c>
      <c r="K71" s="252">
        <v>0</v>
      </c>
      <c r="L71" s="252">
        <v>0</v>
      </c>
      <c r="M71" s="252">
        <v>0</v>
      </c>
      <c r="N71" s="252">
        <v>0</v>
      </c>
      <c r="O71" s="252">
        <v>8606.4041313055695</v>
      </c>
      <c r="P71" s="251"/>
    </row>
    <row r="72" spans="1:16" s="234" customFormat="1" ht="12.75" x14ac:dyDescent="0.2">
      <c r="A72" s="224" t="s">
        <v>758</v>
      </c>
      <c r="B72" s="225" t="s">
        <v>781</v>
      </c>
      <c r="C72" s="225"/>
      <c r="F72" s="231">
        <v>0</v>
      </c>
      <c r="G72" s="231">
        <v>0</v>
      </c>
      <c r="H72" s="231">
        <v>0</v>
      </c>
      <c r="I72" s="231">
        <v>61.607012742600801</v>
      </c>
      <c r="J72" s="231">
        <v>18358.889797295102</v>
      </c>
      <c r="K72" s="231">
        <v>0</v>
      </c>
      <c r="L72" s="231">
        <v>0</v>
      </c>
      <c r="M72" s="231">
        <v>0</v>
      </c>
      <c r="N72" s="231">
        <v>0</v>
      </c>
      <c r="O72" s="231">
        <v>18358.889797295102</v>
      </c>
    </row>
    <row r="73" spans="1:16" s="237" customFormat="1" ht="12" x14ac:dyDescent="0.2">
      <c r="A73" s="286"/>
      <c r="B73" s="258"/>
      <c r="C73" s="258" t="s">
        <v>782</v>
      </c>
      <c r="D73" s="243"/>
      <c r="E73" s="243"/>
      <c r="F73" s="244">
        <v>0</v>
      </c>
      <c r="G73" s="244">
        <v>0</v>
      </c>
      <c r="H73" s="244">
        <v>0</v>
      </c>
      <c r="I73" s="244">
        <v>50.890854148683403</v>
      </c>
      <c r="J73" s="244">
        <v>15165.4745363076</v>
      </c>
      <c r="K73" s="244">
        <v>0</v>
      </c>
      <c r="L73" s="244">
        <v>0</v>
      </c>
      <c r="M73" s="244">
        <v>0</v>
      </c>
      <c r="N73" s="244">
        <v>0</v>
      </c>
      <c r="O73" s="244">
        <v>15165.4745363076</v>
      </c>
    </row>
    <row r="74" spans="1:16" s="237" customFormat="1" ht="12" x14ac:dyDescent="0.2">
      <c r="A74" s="286"/>
      <c r="B74" s="258"/>
      <c r="C74" s="258" t="s">
        <v>783</v>
      </c>
      <c r="D74" s="243"/>
      <c r="E74" s="243"/>
      <c r="F74" s="244">
        <v>0</v>
      </c>
      <c r="G74" s="244">
        <v>0</v>
      </c>
      <c r="H74" s="244">
        <v>0</v>
      </c>
      <c r="I74" s="244">
        <v>10.7161585939175</v>
      </c>
      <c r="J74" s="244">
        <v>3193.4152609874</v>
      </c>
      <c r="K74" s="244">
        <v>0</v>
      </c>
      <c r="L74" s="244">
        <v>0</v>
      </c>
      <c r="M74" s="244">
        <v>0</v>
      </c>
      <c r="N74" s="244">
        <v>0</v>
      </c>
      <c r="O74" s="244">
        <v>3193.4152609874</v>
      </c>
    </row>
    <row r="75" spans="1:16" s="234" customFormat="1" ht="12.75" x14ac:dyDescent="0.2">
      <c r="A75" s="278" t="s">
        <v>764</v>
      </c>
      <c r="B75" s="279" t="s">
        <v>193</v>
      </c>
      <c r="C75" s="287"/>
      <c r="D75" s="251"/>
      <c r="E75" s="251"/>
      <c r="F75" s="252">
        <v>0</v>
      </c>
      <c r="G75" s="252">
        <v>5.5169076322653003</v>
      </c>
      <c r="H75" s="252">
        <v>137.922690806632</v>
      </c>
      <c r="I75" s="252">
        <v>0.14303093861428601</v>
      </c>
      <c r="J75" s="252">
        <v>42.623219707057103</v>
      </c>
      <c r="K75" s="252">
        <v>0</v>
      </c>
      <c r="L75" s="252">
        <v>0</v>
      </c>
      <c r="M75" s="252">
        <v>0</v>
      </c>
      <c r="N75" s="252">
        <v>0</v>
      </c>
      <c r="O75" s="252">
        <v>180.54591051368999</v>
      </c>
    </row>
    <row r="76" spans="1:16" s="234" customFormat="1" ht="12.75" x14ac:dyDescent="0.2">
      <c r="A76" s="259" t="s">
        <v>776</v>
      </c>
      <c r="B76" s="260" t="s">
        <v>784</v>
      </c>
      <c r="C76" s="288"/>
      <c r="D76" s="280"/>
      <c r="E76" s="280"/>
      <c r="F76" s="281">
        <v>1599.0983037333301</v>
      </c>
      <c r="G76" s="281">
        <v>0</v>
      </c>
      <c r="H76" s="281">
        <v>0</v>
      </c>
      <c r="I76" s="281">
        <v>0</v>
      </c>
      <c r="J76" s="281">
        <v>0</v>
      </c>
      <c r="K76" s="281">
        <v>0</v>
      </c>
      <c r="L76" s="281">
        <v>0</v>
      </c>
      <c r="M76" s="281">
        <v>0</v>
      </c>
      <c r="N76" s="281">
        <v>0</v>
      </c>
      <c r="O76" s="281">
        <v>1599.0983037333301</v>
      </c>
    </row>
    <row r="77" spans="1:16" s="234" customFormat="1" ht="12.75" x14ac:dyDescent="0.2">
      <c r="A77" s="220" t="s">
        <v>785</v>
      </c>
      <c r="B77" s="289"/>
      <c r="C77" s="289"/>
      <c r="F77" s="223">
        <v>511.32876028999999</v>
      </c>
      <c r="G77" s="223">
        <v>929.42918272999998</v>
      </c>
      <c r="H77" s="223">
        <v>23235.729568250001</v>
      </c>
      <c r="I77" s="223">
        <v>3.7348860500000001</v>
      </c>
      <c r="J77" s="223">
        <v>1112.9960429</v>
      </c>
      <c r="K77" s="223">
        <v>0</v>
      </c>
      <c r="L77" s="223">
        <v>0</v>
      </c>
      <c r="M77" s="223">
        <v>0</v>
      </c>
      <c r="N77" s="223">
        <v>0</v>
      </c>
      <c r="O77" s="223">
        <v>24860.054371440001</v>
      </c>
    </row>
    <row r="78" spans="1:16" s="234" customFormat="1" ht="12.75" x14ac:dyDescent="0.2">
      <c r="A78" s="224" t="s">
        <v>724</v>
      </c>
      <c r="B78" s="225" t="s">
        <v>786</v>
      </c>
      <c r="C78" s="225"/>
      <c r="F78" s="231">
        <v>0</v>
      </c>
      <c r="G78" s="231">
        <v>893.01463016000002</v>
      </c>
      <c r="H78" s="231">
        <v>22325.365753999999</v>
      </c>
      <c r="I78" s="231">
        <v>0</v>
      </c>
      <c r="J78" s="231">
        <v>0</v>
      </c>
      <c r="K78" s="231">
        <v>0</v>
      </c>
      <c r="L78" s="231">
        <v>0</v>
      </c>
      <c r="M78" s="231">
        <v>0</v>
      </c>
      <c r="N78" s="231">
        <v>0</v>
      </c>
      <c r="O78" s="231">
        <v>22325.365753999999</v>
      </c>
    </row>
    <row r="79" spans="1:16" s="234" customFormat="1" ht="12.75" x14ac:dyDescent="0.2">
      <c r="A79" s="224" t="s">
        <v>737</v>
      </c>
      <c r="B79" s="225" t="s">
        <v>787</v>
      </c>
      <c r="C79" s="225"/>
      <c r="F79" s="231">
        <v>0</v>
      </c>
      <c r="G79" s="231">
        <v>20.515870140000001</v>
      </c>
      <c r="H79" s="231">
        <v>512.89675350000005</v>
      </c>
      <c r="I79" s="231">
        <v>1.2309522100000001</v>
      </c>
      <c r="J79" s="231">
        <v>366.82375858</v>
      </c>
      <c r="K79" s="231">
        <v>0</v>
      </c>
      <c r="L79" s="231">
        <v>0</v>
      </c>
      <c r="M79" s="231">
        <v>0</v>
      </c>
      <c r="N79" s="231">
        <v>0</v>
      </c>
      <c r="O79" s="231">
        <v>879.72051208000005</v>
      </c>
    </row>
    <row r="80" spans="1:16" s="234" customFormat="1" ht="12.75" x14ac:dyDescent="0.2">
      <c r="A80" s="278" t="s">
        <v>788</v>
      </c>
      <c r="B80" s="279" t="s">
        <v>789</v>
      </c>
      <c r="C80" s="279"/>
      <c r="D80" s="251"/>
      <c r="E80" s="251"/>
      <c r="F80" s="252">
        <v>0</v>
      </c>
      <c r="G80" s="252">
        <v>15.679082879999999</v>
      </c>
      <c r="H80" s="252">
        <v>391.97707200000002</v>
      </c>
      <c r="I80" s="252">
        <v>1.9174650799999999</v>
      </c>
      <c r="J80" s="252">
        <v>571.40459383999996</v>
      </c>
      <c r="K80" s="252">
        <v>0</v>
      </c>
      <c r="L80" s="252">
        <v>0</v>
      </c>
      <c r="M80" s="252">
        <v>0</v>
      </c>
      <c r="N80" s="252">
        <v>0</v>
      </c>
      <c r="O80" s="252">
        <v>963.38166583999998</v>
      </c>
    </row>
    <row r="81" spans="1:30" s="234" customFormat="1" ht="12.75" x14ac:dyDescent="0.2">
      <c r="A81" s="259" t="s">
        <v>764</v>
      </c>
      <c r="B81" s="260" t="s">
        <v>790</v>
      </c>
      <c r="C81" s="260"/>
      <c r="D81" s="280"/>
      <c r="E81" s="280"/>
      <c r="F81" s="281">
        <v>511.32876028999999</v>
      </c>
      <c r="G81" s="281">
        <v>0.21959955</v>
      </c>
      <c r="H81" s="281">
        <v>5.4899887500000002</v>
      </c>
      <c r="I81" s="281">
        <v>0.58646876000000003</v>
      </c>
      <c r="J81" s="281">
        <v>174.76769048</v>
      </c>
      <c r="K81" s="281">
        <v>0</v>
      </c>
      <c r="L81" s="281">
        <v>0</v>
      </c>
      <c r="M81" s="281">
        <v>0</v>
      </c>
      <c r="N81" s="281">
        <v>0</v>
      </c>
      <c r="O81" s="281">
        <v>691.58643952</v>
      </c>
    </row>
    <row r="82" spans="1:30" s="267" customFormat="1" ht="12.75" x14ac:dyDescent="0.2">
      <c r="A82" s="263" t="s">
        <v>791</v>
      </c>
      <c r="B82" s="264"/>
      <c r="C82" s="264"/>
      <c r="F82" s="223">
        <v>-83236.654697999998</v>
      </c>
      <c r="G82" s="223">
        <v>43.908344</v>
      </c>
      <c r="H82" s="223">
        <v>1097.7085999999999</v>
      </c>
      <c r="I82" s="223">
        <v>1.580077</v>
      </c>
      <c r="J82" s="223">
        <v>470.86294600000002</v>
      </c>
      <c r="K82" s="223">
        <v>0</v>
      </c>
      <c r="L82" s="223">
        <v>0</v>
      </c>
      <c r="M82" s="223">
        <v>0</v>
      </c>
      <c r="N82" s="223">
        <v>0</v>
      </c>
      <c r="O82" s="223">
        <v>-81668.083152000007</v>
      </c>
    </row>
    <row r="83" spans="1:30" s="234" customFormat="1" ht="12.75" x14ac:dyDescent="0.2">
      <c r="A83" s="224" t="s">
        <v>724</v>
      </c>
      <c r="B83" s="225" t="s">
        <v>792</v>
      </c>
      <c r="C83" s="225"/>
      <c r="F83" s="231">
        <v>-239939.70071</v>
      </c>
      <c r="G83" s="231">
        <v>16.487831</v>
      </c>
      <c r="H83" s="231">
        <v>412.19577500000003</v>
      </c>
      <c r="I83" s="231">
        <v>0.67807499999999998</v>
      </c>
      <c r="J83" s="231">
        <v>202.06635</v>
      </c>
      <c r="K83" s="231">
        <v>0</v>
      </c>
      <c r="L83" s="231">
        <v>0</v>
      </c>
      <c r="M83" s="231">
        <v>0</v>
      </c>
      <c r="N83" s="231">
        <v>0</v>
      </c>
      <c r="O83" s="231">
        <v>-239325.438585</v>
      </c>
    </row>
    <row r="84" spans="1:30" s="234" customFormat="1" ht="12.75" x14ac:dyDescent="0.2">
      <c r="A84" s="224" t="s">
        <v>737</v>
      </c>
      <c r="B84" s="225" t="s">
        <v>793</v>
      </c>
      <c r="C84" s="225"/>
      <c r="F84" s="231">
        <v>-532.30293500000005</v>
      </c>
      <c r="G84" s="231">
        <v>5.604501</v>
      </c>
      <c r="H84" s="231">
        <v>140.11252500000001</v>
      </c>
      <c r="I84" s="231">
        <v>0.28336299999999998</v>
      </c>
      <c r="J84" s="231">
        <v>84.442173999999994</v>
      </c>
      <c r="K84" s="231">
        <v>0</v>
      </c>
      <c r="L84" s="231">
        <v>0</v>
      </c>
      <c r="M84" s="231">
        <v>0</v>
      </c>
      <c r="N84" s="231">
        <v>0</v>
      </c>
      <c r="O84" s="231">
        <v>-307.74823600000002</v>
      </c>
    </row>
    <row r="85" spans="1:30" s="234" customFormat="1" ht="12.75" x14ac:dyDescent="0.2">
      <c r="A85" s="278" t="s">
        <v>758</v>
      </c>
      <c r="B85" s="279" t="s">
        <v>794</v>
      </c>
      <c r="C85" s="279"/>
      <c r="F85" s="231">
        <v>0</v>
      </c>
      <c r="G85" s="231">
        <v>16.853339999999999</v>
      </c>
      <c r="H85" s="231">
        <v>421.33350000000002</v>
      </c>
      <c r="I85" s="231">
        <v>0.43692999999999999</v>
      </c>
      <c r="J85" s="231">
        <v>130.20514</v>
      </c>
      <c r="K85" s="231">
        <v>0</v>
      </c>
      <c r="L85" s="231">
        <v>0</v>
      </c>
      <c r="M85" s="231">
        <v>0</v>
      </c>
      <c r="N85" s="231">
        <v>0</v>
      </c>
      <c r="O85" s="231">
        <v>551.53863999999999</v>
      </c>
    </row>
    <row r="86" spans="1:30" s="234" customFormat="1" ht="12.75" x14ac:dyDescent="0.2">
      <c r="A86" s="278" t="s">
        <v>764</v>
      </c>
      <c r="B86" s="279" t="s">
        <v>795</v>
      </c>
      <c r="C86" s="279"/>
      <c r="F86" s="231">
        <v>2702.4536400000002</v>
      </c>
      <c r="G86" s="231">
        <v>0.47020699999999999</v>
      </c>
      <c r="H86" s="231">
        <v>11.755174999999999</v>
      </c>
      <c r="I86" s="231">
        <v>2.3925999999999999E-2</v>
      </c>
      <c r="J86" s="231">
        <v>7.1299479999999997</v>
      </c>
      <c r="K86" s="231">
        <v>0</v>
      </c>
      <c r="L86" s="231">
        <v>0</v>
      </c>
      <c r="M86" s="231">
        <v>0</v>
      </c>
      <c r="N86" s="231">
        <v>0</v>
      </c>
      <c r="O86" s="231">
        <v>2721.3387630000002</v>
      </c>
    </row>
    <row r="87" spans="1:30" s="234" customFormat="1" ht="12.75" x14ac:dyDescent="0.2">
      <c r="A87" s="278" t="s">
        <v>776</v>
      </c>
      <c r="B87" s="279" t="s">
        <v>796</v>
      </c>
      <c r="C87" s="279"/>
      <c r="D87" s="251"/>
      <c r="E87" s="251"/>
      <c r="F87" s="252">
        <v>3185.375501</v>
      </c>
      <c r="G87" s="252">
        <v>4.4924650000000002</v>
      </c>
      <c r="H87" s="252">
        <v>112.31162500000001</v>
      </c>
      <c r="I87" s="252">
        <v>0.15778300000000001</v>
      </c>
      <c r="J87" s="252">
        <v>47.019334000000001</v>
      </c>
      <c r="K87" s="252">
        <v>0</v>
      </c>
      <c r="L87" s="252">
        <v>0</v>
      </c>
      <c r="M87" s="252">
        <v>0</v>
      </c>
      <c r="N87" s="252">
        <v>0</v>
      </c>
      <c r="O87" s="252">
        <v>3344.7064599999999</v>
      </c>
      <c r="P87" s="251"/>
      <c r="Q87" s="251"/>
      <c r="R87" s="251"/>
      <c r="S87" s="251"/>
      <c r="T87" s="251"/>
      <c r="U87" s="251"/>
      <c r="V87" s="251"/>
      <c r="W87" s="251"/>
      <c r="X87" s="251"/>
      <c r="Y87" s="251"/>
      <c r="Z87" s="251"/>
      <c r="AA87" s="251"/>
      <c r="AB87" s="251"/>
    </row>
    <row r="88" spans="1:30" s="234" customFormat="1" ht="12.75" x14ac:dyDescent="0.2">
      <c r="A88" s="259" t="s">
        <v>778</v>
      </c>
      <c r="B88" s="260" t="s">
        <v>797</v>
      </c>
      <c r="C88" s="260"/>
      <c r="D88" s="280"/>
      <c r="E88" s="280"/>
      <c r="F88" s="281">
        <v>151347.519806</v>
      </c>
      <c r="G88" s="281">
        <v>0</v>
      </c>
      <c r="H88" s="281">
        <v>0</v>
      </c>
      <c r="I88" s="281">
        <v>0</v>
      </c>
      <c r="J88" s="281">
        <v>0</v>
      </c>
      <c r="K88" s="281">
        <v>0</v>
      </c>
      <c r="L88" s="281">
        <v>0</v>
      </c>
      <c r="M88" s="281">
        <v>0</v>
      </c>
      <c r="N88" s="281">
        <v>0</v>
      </c>
      <c r="O88" s="281">
        <v>151347.519806</v>
      </c>
      <c r="P88" s="251"/>
      <c r="Q88" s="251"/>
      <c r="R88" s="251"/>
      <c r="S88" s="251"/>
      <c r="T88" s="251"/>
      <c r="U88" s="251"/>
      <c r="V88" s="251"/>
      <c r="W88" s="251"/>
      <c r="X88" s="251"/>
      <c r="Y88" s="251"/>
      <c r="Z88" s="251"/>
      <c r="AA88" s="251"/>
      <c r="AB88" s="251"/>
      <c r="AC88" s="280"/>
      <c r="AD88" s="280"/>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K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828</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510267.95407820598</v>
      </c>
      <c r="G7" s="218">
        <v>4583.3783440812704</v>
      </c>
      <c r="H7" s="218">
        <v>114584.458602032</v>
      </c>
      <c r="I7" s="218">
        <v>160.55362977771699</v>
      </c>
      <c r="J7" s="218">
        <v>47844.981673759597</v>
      </c>
      <c r="K7" s="218">
        <v>806.82282362368903</v>
      </c>
      <c r="L7" s="218">
        <v>6502.7457476949903</v>
      </c>
      <c r="M7" s="218">
        <v>1768.6486041211399</v>
      </c>
      <c r="N7" s="218">
        <v>0.272431373333334</v>
      </c>
      <c r="O7" s="218">
        <v>681775.88396081002</v>
      </c>
    </row>
    <row r="8" spans="1:16" ht="15.75" thickTop="1" x14ac:dyDescent="0.2">
      <c r="A8" s="220" t="s">
        <v>723</v>
      </c>
      <c r="B8" s="221"/>
      <c r="C8" s="221"/>
      <c r="F8" s="223">
        <v>470954.570294242</v>
      </c>
      <c r="G8" s="223">
        <v>2398.60169440142</v>
      </c>
      <c r="H8" s="223">
        <v>59965.042360035499</v>
      </c>
      <c r="I8" s="223">
        <v>36.981155999551198</v>
      </c>
      <c r="J8" s="223">
        <v>11020.3844878663</v>
      </c>
      <c r="K8" s="223">
        <v>0</v>
      </c>
      <c r="L8" s="223">
        <v>0</v>
      </c>
      <c r="M8" s="223">
        <v>0</v>
      </c>
      <c r="N8" s="223">
        <v>0</v>
      </c>
      <c r="O8" s="223">
        <v>541939.99714214401</v>
      </c>
    </row>
    <row r="9" spans="1:16" x14ac:dyDescent="0.2">
      <c r="A9" s="224" t="s">
        <v>724</v>
      </c>
      <c r="B9" s="225" t="s">
        <v>725</v>
      </c>
      <c r="C9" s="225"/>
      <c r="F9" s="226">
        <v>297356.51404818101</v>
      </c>
      <c r="G9" s="226">
        <v>258.87385222120002</v>
      </c>
      <c r="H9" s="226">
        <v>6471.8463055299899</v>
      </c>
      <c r="I9" s="226">
        <v>8.2921952253822404</v>
      </c>
      <c r="J9" s="226">
        <v>2471.07417716391</v>
      </c>
      <c r="K9" s="226">
        <v>0</v>
      </c>
      <c r="L9" s="226">
        <v>0</v>
      </c>
      <c r="M9" s="226">
        <v>0</v>
      </c>
      <c r="N9" s="226">
        <v>0</v>
      </c>
      <c r="O9" s="226">
        <v>306299.43453087501</v>
      </c>
      <c r="P9" s="227"/>
    </row>
    <row r="10" spans="1:16" x14ac:dyDescent="0.2">
      <c r="A10" s="228"/>
      <c r="B10" s="229" t="s">
        <v>726</v>
      </c>
      <c r="C10" s="230"/>
      <c r="F10" s="231">
        <v>97495.968485020305</v>
      </c>
      <c r="G10" s="231">
        <v>2.6333658385640302</v>
      </c>
      <c r="H10" s="231">
        <v>65.834145964100699</v>
      </c>
      <c r="I10" s="231">
        <v>1.8407787464364</v>
      </c>
      <c r="J10" s="231">
        <v>548.55206643804695</v>
      </c>
      <c r="K10" s="231">
        <v>0</v>
      </c>
      <c r="L10" s="231">
        <v>0</v>
      </c>
      <c r="M10" s="231">
        <v>0</v>
      </c>
      <c r="N10" s="231">
        <v>0</v>
      </c>
      <c r="O10" s="231">
        <v>98110.354697422401</v>
      </c>
    </row>
    <row r="11" spans="1:16" x14ac:dyDescent="0.2">
      <c r="A11" s="228"/>
      <c r="B11" s="232" t="s">
        <v>727</v>
      </c>
      <c r="C11" s="230"/>
      <c r="F11" s="231">
        <v>18678.719066437301</v>
      </c>
      <c r="G11" s="231">
        <v>0.46259571062820398</v>
      </c>
      <c r="H11" s="231">
        <v>11.5648927657051</v>
      </c>
      <c r="I11" s="231">
        <v>0.189109775561488</v>
      </c>
      <c r="J11" s="231">
        <v>56.354713117323499</v>
      </c>
      <c r="K11" s="231">
        <v>0</v>
      </c>
      <c r="L11" s="231">
        <v>0</v>
      </c>
      <c r="M11" s="231">
        <v>0</v>
      </c>
      <c r="N11" s="231">
        <v>0</v>
      </c>
      <c r="O11" s="231">
        <v>18746.6386723203</v>
      </c>
    </row>
    <row r="12" spans="1:16" s="234" customFormat="1" ht="12.75" x14ac:dyDescent="0.2">
      <c r="A12" s="228"/>
      <c r="B12" s="232" t="s">
        <v>728</v>
      </c>
      <c r="C12" s="233"/>
      <c r="F12" s="231">
        <v>43553.692313676402</v>
      </c>
      <c r="G12" s="231">
        <v>77.232752295312807</v>
      </c>
      <c r="H12" s="231">
        <v>1930.8188073828201</v>
      </c>
      <c r="I12" s="231">
        <v>1.0241983540584001</v>
      </c>
      <c r="J12" s="231">
        <v>305.211109509403</v>
      </c>
      <c r="K12" s="231">
        <v>0</v>
      </c>
      <c r="L12" s="231">
        <v>0</v>
      </c>
      <c r="M12" s="231">
        <v>0</v>
      </c>
      <c r="N12" s="231">
        <v>0</v>
      </c>
      <c r="O12" s="231">
        <v>45789.722230568601</v>
      </c>
    </row>
    <row r="13" spans="1:16" s="234" customFormat="1" ht="12.75" x14ac:dyDescent="0.2">
      <c r="A13" s="228"/>
      <c r="B13" s="229" t="s">
        <v>729</v>
      </c>
      <c r="C13" s="229"/>
      <c r="F13" s="231">
        <v>57003.647724574301</v>
      </c>
      <c r="G13" s="231">
        <v>2.5064879961663902</v>
      </c>
      <c r="H13" s="231">
        <v>62.662199904159799</v>
      </c>
      <c r="I13" s="231">
        <v>1.9210139009265299</v>
      </c>
      <c r="J13" s="231">
        <v>572.46214247610499</v>
      </c>
      <c r="K13" s="231">
        <v>0</v>
      </c>
      <c r="L13" s="231">
        <v>0</v>
      </c>
      <c r="M13" s="231">
        <v>0</v>
      </c>
      <c r="N13" s="231">
        <v>0</v>
      </c>
      <c r="O13" s="231">
        <v>57638.772066954603</v>
      </c>
    </row>
    <row r="14" spans="1:16" s="237" customFormat="1" ht="12" x14ac:dyDescent="0.2">
      <c r="A14" s="235"/>
      <c r="B14" s="230"/>
      <c r="C14" s="236" t="s">
        <v>2</v>
      </c>
      <c r="F14" s="238">
        <v>6099.4618502331796</v>
      </c>
      <c r="G14" s="238">
        <v>0.166240734267811</v>
      </c>
      <c r="H14" s="238">
        <v>4.15601835669528</v>
      </c>
      <c r="I14" s="238">
        <v>0.143193891968589</v>
      </c>
      <c r="J14" s="238">
        <v>42.6717798066394</v>
      </c>
      <c r="K14" s="238">
        <v>0</v>
      </c>
      <c r="L14" s="238">
        <v>0</v>
      </c>
      <c r="M14" s="238">
        <v>0</v>
      </c>
      <c r="N14" s="238">
        <v>0</v>
      </c>
      <c r="O14" s="238">
        <v>6146.2896483965196</v>
      </c>
    </row>
    <row r="15" spans="1:16" s="237" customFormat="1" ht="12" x14ac:dyDescent="0.2">
      <c r="A15" s="235"/>
      <c r="B15" s="230"/>
      <c r="C15" s="236" t="s">
        <v>730</v>
      </c>
      <c r="F15" s="238">
        <v>3985.8490134103999</v>
      </c>
      <c r="G15" s="238">
        <v>8.1516239872914301E-2</v>
      </c>
      <c r="H15" s="238">
        <v>2.0379059968228601</v>
      </c>
      <c r="I15" s="238">
        <v>5.8333820789639203E-2</v>
      </c>
      <c r="J15" s="238">
        <v>17.3834785953125</v>
      </c>
      <c r="K15" s="238">
        <v>0</v>
      </c>
      <c r="L15" s="238">
        <v>0</v>
      </c>
      <c r="M15" s="238">
        <v>0</v>
      </c>
      <c r="N15" s="238">
        <v>0</v>
      </c>
      <c r="O15" s="238">
        <v>4005.2703980025399</v>
      </c>
    </row>
    <row r="16" spans="1:16" s="237" customFormat="1" ht="12" x14ac:dyDescent="0.2">
      <c r="A16" s="235"/>
      <c r="B16" s="230"/>
      <c r="C16" s="236" t="s">
        <v>731</v>
      </c>
      <c r="F16" s="238">
        <v>9864.7975343483304</v>
      </c>
      <c r="G16" s="238">
        <v>0.20583319246828999</v>
      </c>
      <c r="H16" s="238">
        <v>5.1458298117072498</v>
      </c>
      <c r="I16" s="238">
        <v>0.17502348563267101</v>
      </c>
      <c r="J16" s="238">
        <v>52.156998718536101</v>
      </c>
      <c r="K16" s="238">
        <v>0</v>
      </c>
      <c r="L16" s="238">
        <v>0</v>
      </c>
      <c r="M16" s="238">
        <v>0</v>
      </c>
      <c r="N16" s="238">
        <v>0</v>
      </c>
      <c r="O16" s="238">
        <v>9922.1003628785693</v>
      </c>
    </row>
    <row r="17" spans="1:16" s="237" customFormat="1" ht="12" x14ac:dyDescent="0.2">
      <c r="A17" s="235"/>
      <c r="B17" s="230"/>
      <c r="C17" s="236" t="s">
        <v>732</v>
      </c>
      <c r="F17" s="238">
        <v>13089.560261636499</v>
      </c>
      <c r="G17" s="238">
        <v>1.44825648465687</v>
      </c>
      <c r="H17" s="238">
        <v>36.206412116421902</v>
      </c>
      <c r="I17" s="238">
        <v>1.12450937864635</v>
      </c>
      <c r="J17" s="238">
        <v>335.103794836612</v>
      </c>
      <c r="K17" s="238">
        <v>0</v>
      </c>
      <c r="L17" s="238">
        <v>0</v>
      </c>
      <c r="M17" s="238">
        <v>0</v>
      </c>
      <c r="N17" s="238">
        <v>0</v>
      </c>
      <c r="O17" s="238">
        <v>13460.870468589501</v>
      </c>
    </row>
    <row r="18" spans="1:16" s="237" customFormat="1" ht="12" x14ac:dyDescent="0.2">
      <c r="A18" s="235"/>
      <c r="B18" s="230"/>
      <c r="C18" s="236" t="s">
        <v>35</v>
      </c>
      <c r="F18" s="238">
        <v>4119.3255379404</v>
      </c>
      <c r="G18" s="238">
        <v>0.18241885644417599</v>
      </c>
      <c r="H18" s="238">
        <v>4.5604714111043902</v>
      </c>
      <c r="I18" s="238">
        <v>5.1914165456702098E-2</v>
      </c>
      <c r="J18" s="238">
        <v>15.470421306097199</v>
      </c>
      <c r="K18" s="238">
        <v>0</v>
      </c>
      <c r="L18" s="238">
        <v>0</v>
      </c>
      <c r="M18" s="238">
        <v>0</v>
      </c>
      <c r="N18" s="238">
        <v>0</v>
      </c>
      <c r="O18" s="238">
        <v>4139.3564306576</v>
      </c>
    </row>
    <row r="19" spans="1:16" s="237" customFormat="1" ht="12" x14ac:dyDescent="0.2">
      <c r="A19" s="235"/>
      <c r="B19" s="230"/>
      <c r="C19" s="236" t="s">
        <v>733</v>
      </c>
      <c r="F19" s="238">
        <v>19844.653527005499</v>
      </c>
      <c r="G19" s="238">
        <v>0.42222248845632598</v>
      </c>
      <c r="H19" s="238">
        <v>10.5555622114081</v>
      </c>
      <c r="I19" s="238">
        <v>0.36803915843257701</v>
      </c>
      <c r="J19" s="238">
        <v>109.67566921290801</v>
      </c>
      <c r="K19" s="238">
        <v>0</v>
      </c>
      <c r="L19" s="238">
        <v>0</v>
      </c>
      <c r="M19" s="238">
        <v>0</v>
      </c>
      <c r="N19" s="238">
        <v>0</v>
      </c>
      <c r="O19" s="238">
        <v>19964.884758429798</v>
      </c>
    </row>
    <row r="20" spans="1:16" s="234" customFormat="1" ht="12.75" x14ac:dyDescent="0.2">
      <c r="A20" s="228"/>
      <c r="B20" s="229" t="s">
        <v>734</v>
      </c>
      <c r="C20" s="239"/>
      <c r="F20" s="231">
        <v>1256.1672808999999</v>
      </c>
      <c r="G20" s="231">
        <v>2.0806172000000001E-2</v>
      </c>
      <c r="H20" s="231">
        <v>0.52015429999999996</v>
      </c>
      <c r="I20" s="231">
        <v>3.3097531999999999E-2</v>
      </c>
      <c r="J20" s="231">
        <v>9.8630645359999995</v>
      </c>
      <c r="K20" s="231">
        <v>0</v>
      </c>
      <c r="L20" s="231">
        <v>0</v>
      </c>
      <c r="M20" s="231">
        <v>0</v>
      </c>
      <c r="N20" s="231">
        <v>0</v>
      </c>
      <c r="O20" s="231">
        <v>1266.5504997359999</v>
      </c>
    </row>
    <row r="21" spans="1:16" s="234" customFormat="1" ht="12.75" x14ac:dyDescent="0.2">
      <c r="A21" s="228"/>
      <c r="B21" s="229" t="s">
        <v>735</v>
      </c>
      <c r="C21" s="229"/>
      <c r="F21" s="231">
        <v>29448.654598000001</v>
      </c>
      <c r="G21" s="231">
        <v>0.53343438134213095</v>
      </c>
      <c r="H21" s="231">
        <v>13.3358595335533</v>
      </c>
      <c r="I21" s="231">
        <v>0.62192648853421295</v>
      </c>
      <c r="J21" s="231">
        <v>185.33409358319599</v>
      </c>
      <c r="K21" s="231">
        <v>0</v>
      </c>
      <c r="L21" s="231">
        <v>0</v>
      </c>
      <c r="M21" s="231">
        <v>0</v>
      </c>
      <c r="N21" s="231">
        <v>0</v>
      </c>
      <c r="O21" s="231">
        <v>29647.324551116701</v>
      </c>
    </row>
    <row r="22" spans="1:16" s="234" customFormat="1" ht="12.75" x14ac:dyDescent="0.2">
      <c r="A22" s="228"/>
      <c r="B22" s="229" t="s">
        <v>181</v>
      </c>
      <c r="C22" s="229"/>
      <c r="F22" s="231">
        <v>47014.465021000004</v>
      </c>
      <c r="G22" s="231">
        <v>175.44048783624399</v>
      </c>
      <c r="H22" s="231">
        <v>4386.0121959060898</v>
      </c>
      <c r="I22" s="231">
        <v>2.5961680862105099</v>
      </c>
      <c r="J22" s="231">
        <v>773.65808969073305</v>
      </c>
      <c r="K22" s="231">
        <v>0</v>
      </c>
      <c r="L22" s="231">
        <v>0</v>
      </c>
      <c r="M22" s="231">
        <v>0</v>
      </c>
      <c r="N22" s="231">
        <v>0</v>
      </c>
      <c r="O22" s="231">
        <v>52174.1353065968</v>
      </c>
    </row>
    <row r="23" spans="1:16" s="234" customFormat="1" ht="12.75" x14ac:dyDescent="0.2">
      <c r="A23" s="228"/>
      <c r="B23" s="229" t="s">
        <v>736</v>
      </c>
      <c r="C23" s="229"/>
      <c r="F23" s="231">
        <v>2905.1995585724899</v>
      </c>
      <c r="G23" s="231">
        <v>4.3921990942468798E-2</v>
      </c>
      <c r="H23" s="231">
        <v>1.0980497735617201</v>
      </c>
      <c r="I23" s="231">
        <v>6.5902341654701893E-2</v>
      </c>
      <c r="J23" s="231">
        <v>19.638897813101199</v>
      </c>
      <c r="K23" s="231">
        <v>0</v>
      </c>
      <c r="L23" s="231">
        <v>0</v>
      </c>
      <c r="M23" s="231">
        <v>0</v>
      </c>
      <c r="N23" s="231">
        <v>0</v>
      </c>
      <c r="O23" s="231">
        <v>2925.9365061591502</v>
      </c>
    </row>
    <row r="24" spans="1:16" s="240" customFormat="1" ht="14.25" x14ac:dyDescent="0.2">
      <c r="A24" s="224" t="s">
        <v>737</v>
      </c>
      <c r="B24" s="225" t="s">
        <v>738</v>
      </c>
      <c r="C24" s="225"/>
      <c r="F24" s="226">
        <v>157559.48145081301</v>
      </c>
      <c r="G24" s="226">
        <v>35.697171295896403</v>
      </c>
      <c r="H24" s="226">
        <v>892.42928239741002</v>
      </c>
      <c r="I24" s="226">
        <v>28.5650246007174</v>
      </c>
      <c r="J24" s="226">
        <v>8512.3773310137894</v>
      </c>
      <c r="K24" s="226">
        <v>0</v>
      </c>
      <c r="L24" s="226">
        <v>0</v>
      </c>
      <c r="M24" s="226">
        <v>0</v>
      </c>
      <c r="N24" s="226">
        <v>0</v>
      </c>
      <c r="O24" s="226">
        <v>166964.28806422401</v>
      </c>
      <c r="P24" s="241"/>
    </row>
    <row r="25" spans="1:16" s="234" customFormat="1" ht="12.75" x14ac:dyDescent="0.2">
      <c r="A25" s="228"/>
      <c r="B25" s="232" t="s">
        <v>739</v>
      </c>
      <c r="C25" s="229"/>
      <c r="F25" s="231">
        <v>7017.6288062004296</v>
      </c>
      <c r="G25" s="231">
        <v>0.33927272629358801</v>
      </c>
      <c r="H25" s="231">
        <v>8.4818181573396902</v>
      </c>
      <c r="I25" s="231">
        <v>0.21328581932142801</v>
      </c>
      <c r="J25" s="231">
        <v>63.559174157785598</v>
      </c>
      <c r="K25" s="231">
        <v>0</v>
      </c>
      <c r="L25" s="231">
        <v>0</v>
      </c>
      <c r="M25" s="231">
        <v>0</v>
      </c>
      <c r="N25" s="231">
        <v>0</v>
      </c>
      <c r="O25" s="231">
        <v>7089.6697985155597</v>
      </c>
    </row>
    <row r="26" spans="1:16" s="234" customFormat="1" ht="12.75" x14ac:dyDescent="0.2">
      <c r="A26" s="228"/>
      <c r="B26" s="229" t="s">
        <v>740</v>
      </c>
      <c r="C26" s="229"/>
      <c r="F26" s="231">
        <v>93714.950272292597</v>
      </c>
      <c r="G26" s="231">
        <v>11.496780790875</v>
      </c>
      <c r="H26" s="231">
        <v>287.419519771875</v>
      </c>
      <c r="I26" s="231">
        <v>15.327940289313799</v>
      </c>
      <c r="J26" s="231">
        <v>4567.7262062155096</v>
      </c>
      <c r="K26" s="231">
        <v>0</v>
      </c>
      <c r="L26" s="231">
        <v>0</v>
      </c>
      <c r="M26" s="231">
        <v>0</v>
      </c>
      <c r="N26" s="231">
        <v>0</v>
      </c>
      <c r="O26" s="231">
        <v>98570.095998279896</v>
      </c>
    </row>
    <row r="27" spans="1:16" s="237" customFormat="1" ht="12" x14ac:dyDescent="0.2">
      <c r="A27" s="235"/>
      <c r="B27" s="230"/>
      <c r="C27" s="236" t="s">
        <v>741</v>
      </c>
      <c r="F27" s="238">
        <v>40850.442952592202</v>
      </c>
      <c r="G27" s="238">
        <v>5.91824004703951</v>
      </c>
      <c r="H27" s="238">
        <v>147.95600117598801</v>
      </c>
      <c r="I27" s="238">
        <v>8.6925925842277501</v>
      </c>
      <c r="J27" s="238">
        <v>2590.3925900998702</v>
      </c>
      <c r="K27" s="238">
        <v>0</v>
      </c>
      <c r="L27" s="238">
        <v>0</v>
      </c>
      <c r="M27" s="238">
        <v>0</v>
      </c>
      <c r="N27" s="238">
        <v>0</v>
      </c>
      <c r="O27" s="238">
        <v>43588.791543868101</v>
      </c>
    </row>
    <row r="28" spans="1:16" s="237" customFormat="1" ht="12" x14ac:dyDescent="0.2">
      <c r="A28" s="235"/>
      <c r="B28" s="230"/>
      <c r="C28" s="236" t="s">
        <v>742</v>
      </c>
      <c r="F28" s="238">
        <v>25275.657095191</v>
      </c>
      <c r="G28" s="238">
        <v>3.0734025059904</v>
      </c>
      <c r="H28" s="238">
        <v>76.835062649760104</v>
      </c>
      <c r="I28" s="238">
        <v>5.7683573714045302</v>
      </c>
      <c r="J28" s="238">
        <v>1718.97049667855</v>
      </c>
      <c r="K28" s="238">
        <v>0</v>
      </c>
      <c r="L28" s="238">
        <v>0</v>
      </c>
      <c r="M28" s="238">
        <v>0</v>
      </c>
      <c r="N28" s="238">
        <v>0</v>
      </c>
      <c r="O28" s="238">
        <v>27071.462654519299</v>
      </c>
    </row>
    <row r="29" spans="1:16" s="237" customFormat="1" ht="12" x14ac:dyDescent="0.2">
      <c r="A29" s="235"/>
      <c r="B29" s="230"/>
      <c r="C29" s="236" t="s">
        <v>743</v>
      </c>
      <c r="F29" s="238">
        <v>8649.4679472273401</v>
      </c>
      <c r="G29" s="238">
        <v>1.14555544163002</v>
      </c>
      <c r="H29" s="238">
        <v>28.6388860407504</v>
      </c>
      <c r="I29" s="238">
        <v>0.23803271987676999</v>
      </c>
      <c r="J29" s="238">
        <v>70.933750523277396</v>
      </c>
      <c r="K29" s="238">
        <v>0</v>
      </c>
      <c r="L29" s="238">
        <v>0</v>
      </c>
      <c r="M29" s="238">
        <v>0</v>
      </c>
      <c r="N29" s="238">
        <v>0</v>
      </c>
      <c r="O29" s="238">
        <v>8749.0405837913695</v>
      </c>
    </row>
    <row r="30" spans="1:16" s="237" customFormat="1" ht="12" x14ac:dyDescent="0.2">
      <c r="A30" s="235"/>
      <c r="B30" s="230"/>
      <c r="C30" s="236" t="s">
        <v>744</v>
      </c>
      <c r="F30" s="238">
        <v>82.295537504502093</v>
      </c>
      <c r="G30" s="238">
        <v>7.7042325076147403E-2</v>
      </c>
      <c r="H30" s="238">
        <v>1.92605812690369</v>
      </c>
      <c r="I30" s="238">
        <v>1.6845561787810701E-3</v>
      </c>
      <c r="J30" s="238">
        <v>0.501997741276759</v>
      </c>
      <c r="K30" s="238">
        <v>0</v>
      </c>
      <c r="L30" s="238">
        <v>0</v>
      </c>
      <c r="M30" s="238">
        <v>0</v>
      </c>
      <c r="N30" s="238">
        <v>0</v>
      </c>
      <c r="O30" s="238">
        <v>84.723593372682501</v>
      </c>
      <c r="P30" s="242"/>
    </row>
    <row r="31" spans="1:16" s="237" customFormat="1" ht="12" x14ac:dyDescent="0.2">
      <c r="A31" s="235"/>
      <c r="B31" s="230"/>
      <c r="C31" s="236" t="s">
        <v>745</v>
      </c>
      <c r="F31" s="238">
        <v>406.36513872313299</v>
      </c>
      <c r="G31" s="238">
        <v>1.06115919345678E-2</v>
      </c>
      <c r="H31" s="238">
        <v>0.26528979836419597</v>
      </c>
      <c r="I31" s="238">
        <v>3.0989538951878701E-2</v>
      </c>
      <c r="J31" s="238">
        <v>9.2348826076598396</v>
      </c>
      <c r="K31" s="238">
        <v>0</v>
      </c>
      <c r="L31" s="238">
        <v>0</v>
      </c>
      <c r="M31" s="238">
        <v>0</v>
      </c>
      <c r="N31" s="238">
        <v>0</v>
      </c>
      <c r="O31" s="238">
        <v>415.86531112915702</v>
      </c>
    </row>
    <row r="32" spans="1:16" s="237" customFormat="1" ht="12" x14ac:dyDescent="0.2">
      <c r="A32" s="235"/>
      <c r="B32" s="230"/>
      <c r="C32" s="236" t="s">
        <v>746</v>
      </c>
      <c r="D32" s="243"/>
      <c r="E32" s="243"/>
      <c r="F32" s="244">
        <v>223.67358739584901</v>
      </c>
      <c r="G32" s="244">
        <v>5.7507558251448498E-3</v>
      </c>
      <c r="H32" s="244">
        <v>0.143768895628621</v>
      </c>
      <c r="I32" s="244">
        <v>1.7205316788934999E-2</v>
      </c>
      <c r="J32" s="244">
        <v>5.1271844031026204</v>
      </c>
      <c r="K32" s="244">
        <v>0</v>
      </c>
      <c r="L32" s="244">
        <v>0</v>
      </c>
      <c r="M32" s="244">
        <v>0</v>
      </c>
      <c r="N32" s="244">
        <v>0</v>
      </c>
      <c r="O32" s="244">
        <v>228.94454069458001</v>
      </c>
    </row>
    <row r="33" spans="1:15" s="237" customFormat="1" ht="12" x14ac:dyDescent="0.2">
      <c r="A33" s="235"/>
      <c r="B33" s="230"/>
      <c r="C33" s="236" t="s">
        <v>747</v>
      </c>
      <c r="D33" s="243"/>
      <c r="E33" s="243"/>
      <c r="F33" s="244">
        <v>17309.724100016101</v>
      </c>
      <c r="G33" s="244">
        <v>0.86887808578889303</v>
      </c>
      <c r="H33" s="244">
        <v>21.721952144722302</v>
      </c>
      <c r="I33" s="244">
        <v>0.56209861787294202</v>
      </c>
      <c r="J33" s="244">
        <v>167.50538812613701</v>
      </c>
      <c r="K33" s="244">
        <v>0</v>
      </c>
      <c r="L33" s="244">
        <v>0</v>
      </c>
      <c r="M33" s="244">
        <v>0</v>
      </c>
      <c r="N33" s="244">
        <v>0</v>
      </c>
      <c r="O33" s="244">
        <v>17498.951440287001</v>
      </c>
    </row>
    <row r="34" spans="1:15" s="237" customFormat="1" ht="12" x14ac:dyDescent="0.2">
      <c r="A34" s="235"/>
      <c r="B34" s="230"/>
      <c r="C34" s="245" t="s">
        <v>748</v>
      </c>
      <c r="D34" s="243"/>
      <c r="E34" s="243"/>
      <c r="F34" s="244">
        <v>917.32391364234002</v>
      </c>
      <c r="G34" s="244">
        <v>0.397300037590327</v>
      </c>
      <c r="H34" s="244">
        <v>9.9325009397581798</v>
      </c>
      <c r="I34" s="244">
        <v>1.69795840121966E-2</v>
      </c>
      <c r="J34" s="244">
        <v>5.05991603563458</v>
      </c>
      <c r="K34" s="244">
        <v>0</v>
      </c>
      <c r="L34" s="244">
        <v>0</v>
      </c>
      <c r="M34" s="244">
        <v>0</v>
      </c>
      <c r="N34" s="244">
        <v>0</v>
      </c>
      <c r="O34" s="244">
        <v>932.316330617733</v>
      </c>
    </row>
    <row r="35" spans="1:15" s="249" customFormat="1" ht="12.75" x14ac:dyDescent="0.2">
      <c r="A35" s="228"/>
      <c r="B35" s="229" t="s">
        <v>749</v>
      </c>
      <c r="C35" s="246"/>
      <c r="D35" s="247"/>
      <c r="E35" s="247"/>
      <c r="F35" s="248">
        <v>5504.009</v>
      </c>
      <c r="G35" s="248">
        <v>0.30896109999999999</v>
      </c>
      <c r="H35" s="248">
        <v>7.7240275</v>
      </c>
      <c r="I35" s="248">
        <v>2.1299901000000001</v>
      </c>
      <c r="J35" s="248">
        <v>634.73704980000002</v>
      </c>
      <c r="K35" s="248">
        <v>0</v>
      </c>
      <c r="L35" s="248">
        <v>0</v>
      </c>
      <c r="M35" s="248">
        <v>0</v>
      </c>
      <c r="N35" s="248">
        <v>0</v>
      </c>
      <c r="O35" s="248">
        <v>6146.4700773000004</v>
      </c>
    </row>
    <row r="36" spans="1:15" s="249" customFormat="1" ht="12.75" x14ac:dyDescent="0.2">
      <c r="A36" s="228"/>
      <c r="B36" s="232" t="s">
        <v>750</v>
      </c>
      <c r="C36" s="246"/>
      <c r="D36" s="247"/>
      <c r="E36" s="247"/>
      <c r="F36" s="248">
        <v>4173.4569248038897</v>
      </c>
      <c r="G36" s="248">
        <v>0.38718283549999999</v>
      </c>
      <c r="H36" s="248">
        <v>9.6795708875000006</v>
      </c>
      <c r="I36" s="248">
        <v>0.11059834765</v>
      </c>
      <c r="J36" s="248">
        <v>32.958307599699999</v>
      </c>
      <c r="K36" s="248">
        <v>0</v>
      </c>
      <c r="L36" s="248">
        <v>0</v>
      </c>
      <c r="M36" s="248">
        <v>0</v>
      </c>
      <c r="N36" s="248">
        <v>0</v>
      </c>
      <c r="O36" s="248">
        <v>4216.0948032910901</v>
      </c>
    </row>
    <row r="37" spans="1:15" s="234" customFormat="1" ht="12.75" x14ac:dyDescent="0.2">
      <c r="A37" s="228"/>
      <c r="B37" s="229" t="s">
        <v>751</v>
      </c>
      <c r="C37" s="250"/>
      <c r="D37" s="251"/>
      <c r="E37" s="251"/>
      <c r="F37" s="252">
        <v>47149.4364475158</v>
      </c>
      <c r="G37" s="252">
        <v>23.164973843227799</v>
      </c>
      <c r="H37" s="252">
        <v>579.12434608069498</v>
      </c>
      <c r="I37" s="252">
        <v>10.783210044432201</v>
      </c>
      <c r="J37" s="252">
        <v>3213.3965932408</v>
      </c>
      <c r="K37" s="252">
        <v>0</v>
      </c>
      <c r="L37" s="252">
        <v>0</v>
      </c>
      <c r="M37" s="252">
        <v>0</v>
      </c>
      <c r="N37" s="252">
        <v>0</v>
      </c>
      <c r="O37" s="252">
        <v>50941.957386837297</v>
      </c>
    </row>
    <row r="38" spans="1:15" s="237" customFormat="1" ht="12" x14ac:dyDescent="0.2">
      <c r="A38" s="235"/>
      <c r="B38" s="230"/>
      <c r="C38" s="236" t="s">
        <v>752</v>
      </c>
      <c r="F38" s="238">
        <v>12529.506503135901</v>
      </c>
      <c r="G38" s="238">
        <v>0.72545419199499594</v>
      </c>
      <c r="H38" s="238">
        <v>18.136354799874901</v>
      </c>
      <c r="I38" s="238">
        <v>4.8415080546053701</v>
      </c>
      <c r="J38" s="238">
        <v>1442.7694002723999</v>
      </c>
      <c r="K38" s="238">
        <v>0</v>
      </c>
      <c r="L38" s="238">
        <v>0</v>
      </c>
      <c r="M38" s="238">
        <v>0</v>
      </c>
      <c r="N38" s="238">
        <v>0</v>
      </c>
      <c r="O38" s="238">
        <v>13990.4122582082</v>
      </c>
    </row>
    <row r="39" spans="1:15" s="237" customFormat="1" ht="12" x14ac:dyDescent="0.2">
      <c r="A39" s="235"/>
      <c r="B39" s="230"/>
      <c r="C39" s="236" t="s">
        <v>753</v>
      </c>
      <c r="F39" s="238">
        <v>1698.79497831668</v>
      </c>
      <c r="G39" s="238">
        <v>0.80772487562794004</v>
      </c>
      <c r="H39" s="238">
        <v>20.193121890698499</v>
      </c>
      <c r="I39" s="238">
        <v>0.53061284795107899</v>
      </c>
      <c r="J39" s="238">
        <v>158.12262868942099</v>
      </c>
      <c r="K39" s="238">
        <v>0</v>
      </c>
      <c r="L39" s="238">
        <v>0</v>
      </c>
      <c r="M39" s="238">
        <v>0</v>
      </c>
      <c r="N39" s="238">
        <v>0</v>
      </c>
      <c r="O39" s="238">
        <v>1877.1107288968001</v>
      </c>
    </row>
    <row r="40" spans="1:15" s="237" customFormat="1" ht="12" x14ac:dyDescent="0.2">
      <c r="A40" s="235"/>
      <c r="B40" s="230"/>
      <c r="C40" s="236" t="s">
        <v>754</v>
      </c>
      <c r="F40" s="238">
        <v>11368.3697176634</v>
      </c>
      <c r="G40" s="238">
        <v>0.97606158845078705</v>
      </c>
      <c r="H40" s="238">
        <v>24.401539711269699</v>
      </c>
      <c r="I40" s="238">
        <v>4.0804475514123197</v>
      </c>
      <c r="J40" s="238">
        <v>1215.9733703208699</v>
      </c>
      <c r="K40" s="238">
        <v>0</v>
      </c>
      <c r="L40" s="238">
        <v>0</v>
      </c>
      <c r="M40" s="238">
        <v>0</v>
      </c>
      <c r="N40" s="238">
        <v>0</v>
      </c>
      <c r="O40" s="238">
        <v>12608.7446276956</v>
      </c>
    </row>
    <row r="41" spans="1:15" s="237" customFormat="1" ht="12" x14ac:dyDescent="0.2">
      <c r="A41" s="235"/>
      <c r="B41" s="230"/>
      <c r="C41" s="236" t="s">
        <v>755</v>
      </c>
      <c r="F41" s="238">
        <v>310.24737713374799</v>
      </c>
      <c r="G41" s="238">
        <v>0.14930499555828</v>
      </c>
      <c r="H41" s="238">
        <v>3.7326248889570102</v>
      </c>
      <c r="I41" s="238">
        <v>7.6810299220730002E-2</v>
      </c>
      <c r="J41" s="238">
        <v>22.889469167777499</v>
      </c>
      <c r="K41" s="238">
        <v>0</v>
      </c>
      <c r="L41" s="238">
        <v>0</v>
      </c>
      <c r="M41" s="238">
        <v>0</v>
      </c>
      <c r="N41" s="238">
        <v>0</v>
      </c>
      <c r="O41" s="238">
        <v>336.86947119048301</v>
      </c>
    </row>
    <row r="42" spans="1:15" s="237" customFormat="1" ht="12" x14ac:dyDescent="0.2">
      <c r="A42" s="235"/>
      <c r="B42" s="230"/>
      <c r="C42" s="236" t="s">
        <v>756</v>
      </c>
      <c r="F42" s="238">
        <v>9103.1877712660607</v>
      </c>
      <c r="G42" s="238">
        <v>8.4437138915957792</v>
      </c>
      <c r="H42" s="238">
        <v>211.092847289894</v>
      </c>
      <c r="I42" s="238">
        <v>0.91375129124272003</v>
      </c>
      <c r="J42" s="238">
        <v>272.29788479033101</v>
      </c>
      <c r="K42" s="238">
        <v>0</v>
      </c>
      <c r="L42" s="238">
        <v>0</v>
      </c>
      <c r="M42" s="238">
        <v>0</v>
      </c>
      <c r="N42" s="238">
        <v>0</v>
      </c>
      <c r="O42" s="238">
        <v>9586.5785033462907</v>
      </c>
    </row>
    <row r="43" spans="1:15" s="237" customFormat="1" ht="12" x14ac:dyDescent="0.2">
      <c r="A43" s="235"/>
      <c r="B43" s="230"/>
      <c r="C43" s="253" t="s">
        <v>757</v>
      </c>
      <c r="F43" s="238">
        <v>12139.330099999999</v>
      </c>
      <c r="G43" s="238">
        <v>12.0627143</v>
      </c>
      <c r="H43" s="238">
        <v>301.5678575</v>
      </c>
      <c r="I43" s="238">
        <v>0.34007999999999999</v>
      </c>
      <c r="J43" s="238">
        <v>101.34384</v>
      </c>
      <c r="K43" s="238">
        <v>0</v>
      </c>
      <c r="L43" s="238">
        <v>0</v>
      </c>
      <c r="M43" s="238">
        <v>0</v>
      </c>
      <c r="N43" s="238">
        <v>0</v>
      </c>
      <c r="O43" s="238">
        <v>12542.241797500001</v>
      </c>
    </row>
    <row r="44" spans="1:15" s="240" customFormat="1" ht="12.75" x14ac:dyDescent="0.2">
      <c r="A44" s="224" t="s">
        <v>758</v>
      </c>
      <c r="B44" s="225" t="s">
        <v>759</v>
      </c>
      <c r="C44" s="225"/>
      <c r="F44" s="226">
        <v>16038.5747952485</v>
      </c>
      <c r="G44" s="226">
        <v>2104.03067088432</v>
      </c>
      <c r="H44" s="226">
        <v>52600.766772108102</v>
      </c>
      <c r="I44" s="226">
        <v>0.123936173451551</v>
      </c>
      <c r="J44" s="226">
        <v>36.932979688562099</v>
      </c>
      <c r="K44" s="226">
        <v>0</v>
      </c>
      <c r="L44" s="226">
        <v>0</v>
      </c>
      <c r="M44" s="226">
        <v>0</v>
      </c>
      <c r="N44" s="226">
        <v>0</v>
      </c>
      <c r="O44" s="226">
        <v>68676.274547045105</v>
      </c>
    </row>
    <row r="45" spans="1:15" s="234" customFormat="1" ht="12.75" x14ac:dyDescent="0.2">
      <c r="A45" s="228"/>
      <c r="B45" s="229" t="s">
        <v>760</v>
      </c>
      <c r="C45" s="229"/>
      <c r="F45" s="231">
        <v>0</v>
      </c>
      <c r="G45" s="231">
        <v>87.463581576652402</v>
      </c>
      <c r="H45" s="231">
        <v>2186.5895394163099</v>
      </c>
      <c r="I45" s="231">
        <v>0</v>
      </c>
      <c r="J45" s="231">
        <v>0</v>
      </c>
      <c r="K45" s="231">
        <v>0</v>
      </c>
      <c r="L45" s="231">
        <v>0</v>
      </c>
      <c r="M45" s="231">
        <v>0</v>
      </c>
      <c r="N45" s="231">
        <v>0</v>
      </c>
      <c r="O45" s="231">
        <v>2186.5895394163099</v>
      </c>
    </row>
    <row r="46" spans="1:15" s="234" customFormat="1" ht="12.75" x14ac:dyDescent="0.2">
      <c r="A46" s="228"/>
      <c r="B46" s="229" t="s">
        <v>761</v>
      </c>
      <c r="C46" s="229"/>
      <c r="F46" s="231">
        <v>16038.5747952485</v>
      </c>
      <c r="G46" s="231">
        <v>2016.5670893076699</v>
      </c>
      <c r="H46" s="231">
        <v>50414.1772326918</v>
      </c>
      <c r="I46" s="231">
        <v>0.123936173451551</v>
      </c>
      <c r="J46" s="231">
        <v>36.932979688562099</v>
      </c>
      <c r="K46" s="231">
        <v>0</v>
      </c>
      <c r="L46" s="231">
        <v>0</v>
      </c>
      <c r="M46" s="231">
        <v>0</v>
      </c>
      <c r="N46" s="231">
        <v>0</v>
      </c>
      <c r="O46" s="231">
        <v>66489.685007628796</v>
      </c>
    </row>
    <row r="47" spans="1:15" s="237" customFormat="1" ht="12" x14ac:dyDescent="0.2">
      <c r="A47" s="254"/>
      <c r="B47" s="255"/>
      <c r="C47" s="230" t="s">
        <v>762</v>
      </c>
      <c r="F47" s="238">
        <v>121.174074288965</v>
      </c>
      <c r="G47" s="238">
        <v>247.068732135982</v>
      </c>
      <c r="H47" s="238">
        <v>6176.7183033995498</v>
      </c>
      <c r="I47" s="238">
        <v>0.113</v>
      </c>
      <c r="J47" s="238">
        <v>33.673999999999999</v>
      </c>
      <c r="K47" s="238">
        <v>0</v>
      </c>
      <c r="L47" s="238">
        <v>0</v>
      </c>
      <c r="M47" s="238">
        <v>0</v>
      </c>
      <c r="N47" s="238">
        <v>0</v>
      </c>
      <c r="O47" s="238">
        <v>6331.5663776885103</v>
      </c>
    </row>
    <row r="48" spans="1:15" s="237" customFormat="1" ht="12" x14ac:dyDescent="0.2">
      <c r="A48" s="254"/>
      <c r="B48" s="255"/>
      <c r="C48" s="230" t="s">
        <v>763</v>
      </c>
      <c r="F48" s="238">
        <v>52.228878868082099</v>
      </c>
      <c r="G48" s="238">
        <v>753.00364757168995</v>
      </c>
      <c r="H48" s="238">
        <v>18825.091189292201</v>
      </c>
      <c r="I48" s="238">
        <v>0</v>
      </c>
      <c r="J48" s="238">
        <v>0</v>
      </c>
      <c r="K48" s="238">
        <v>0</v>
      </c>
      <c r="L48" s="238">
        <v>0</v>
      </c>
      <c r="M48" s="238">
        <v>0</v>
      </c>
      <c r="N48" s="238">
        <v>0</v>
      </c>
      <c r="O48" s="238">
        <v>18877.320068160301</v>
      </c>
    </row>
    <row r="49" spans="1:16" s="237" customFormat="1" ht="12" x14ac:dyDescent="0.2">
      <c r="A49" s="256"/>
      <c r="B49" s="257"/>
      <c r="C49" s="258" t="s">
        <v>380</v>
      </c>
      <c r="D49" s="243"/>
      <c r="E49" s="243"/>
      <c r="F49" s="244">
        <v>10435.989564731</v>
      </c>
      <c r="G49" s="244">
        <v>1008.7739217017501</v>
      </c>
      <c r="H49" s="244">
        <v>25219.348042543799</v>
      </c>
      <c r="I49" s="244">
        <v>0</v>
      </c>
      <c r="J49" s="244">
        <v>0</v>
      </c>
      <c r="K49" s="244">
        <v>0</v>
      </c>
      <c r="L49" s="244">
        <v>0</v>
      </c>
      <c r="M49" s="244">
        <v>0</v>
      </c>
      <c r="N49" s="244">
        <v>0</v>
      </c>
      <c r="O49" s="244">
        <v>35655.337607274902</v>
      </c>
    </row>
    <row r="50" spans="1:16" s="237" customFormat="1" ht="12" x14ac:dyDescent="0.2">
      <c r="A50" s="256"/>
      <c r="B50" s="257"/>
      <c r="C50" s="258" t="s">
        <v>381</v>
      </c>
      <c r="D50" s="243"/>
      <c r="E50" s="243"/>
      <c r="F50" s="244">
        <v>5429.1822773604099</v>
      </c>
      <c r="G50" s="244">
        <v>7.7207878982451197</v>
      </c>
      <c r="H50" s="244">
        <v>193.019697456128</v>
      </c>
      <c r="I50" s="244">
        <v>1.0936173451550801E-2</v>
      </c>
      <c r="J50" s="244">
        <v>3.2589796885621398</v>
      </c>
      <c r="K50" s="244">
        <v>0</v>
      </c>
      <c r="L50" s="244">
        <v>0</v>
      </c>
      <c r="M50" s="244">
        <v>0</v>
      </c>
      <c r="N50" s="244">
        <v>0</v>
      </c>
      <c r="O50" s="244">
        <v>5625.4609545050998</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37285.377370023998</v>
      </c>
      <c r="G52" s="266">
        <v>4.2060169357637998</v>
      </c>
      <c r="H52" s="266">
        <v>105.150423394095</v>
      </c>
      <c r="I52" s="266">
        <v>41.322331778941297</v>
      </c>
      <c r="J52" s="266">
        <v>12314.054870124501</v>
      </c>
      <c r="K52" s="266">
        <v>806.82282362368903</v>
      </c>
      <c r="L52" s="266">
        <v>6502.7457476949903</v>
      </c>
      <c r="M52" s="266">
        <v>1768.6486041211399</v>
      </c>
      <c r="N52" s="266">
        <v>0.272431373333334</v>
      </c>
      <c r="O52" s="266">
        <v>58783.072270355697</v>
      </c>
    </row>
    <row r="53" spans="1:16" s="240" customFormat="1" ht="12.75" x14ac:dyDescent="0.2">
      <c r="A53" s="224" t="s">
        <v>724</v>
      </c>
      <c r="B53" s="225" t="s">
        <v>767</v>
      </c>
      <c r="C53" s="225"/>
      <c r="D53" s="268"/>
      <c r="E53" s="268"/>
      <c r="F53" s="269">
        <v>8808.0254665971497</v>
      </c>
      <c r="G53" s="269">
        <v>0</v>
      </c>
      <c r="H53" s="269">
        <v>0</v>
      </c>
      <c r="I53" s="269">
        <v>0</v>
      </c>
      <c r="J53" s="269">
        <v>0</v>
      </c>
      <c r="K53" s="269">
        <v>0</v>
      </c>
      <c r="L53" s="269">
        <v>0</v>
      </c>
      <c r="M53" s="269">
        <v>0</v>
      </c>
      <c r="N53" s="269">
        <v>0</v>
      </c>
      <c r="O53" s="269">
        <v>8808.0254665971497</v>
      </c>
    </row>
    <row r="54" spans="1:16" s="273" customFormat="1" ht="12" x14ac:dyDescent="0.2">
      <c r="A54" s="235"/>
      <c r="B54" s="270"/>
      <c r="C54" s="236" t="s">
        <v>560</v>
      </c>
      <c r="D54" s="271"/>
      <c r="E54" s="271"/>
      <c r="F54" s="272">
        <v>6123.8311827461703</v>
      </c>
      <c r="G54" s="272">
        <v>0</v>
      </c>
      <c r="H54" s="272">
        <v>0</v>
      </c>
      <c r="I54" s="272">
        <v>0</v>
      </c>
      <c r="J54" s="272">
        <v>0</v>
      </c>
      <c r="K54" s="272">
        <v>0</v>
      </c>
      <c r="L54" s="272">
        <v>0</v>
      </c>
      <c r="M54" s="272">
        <v>0</v>
      </c>
      <c r="N54" s="272">
        <v>0</v>
      </c>
      <c r="O54" s="272">
        <v>6123.8311827461703</v>
      </c>
      <c r="P54" s="271"/>
    </row>
    <row r="55" spans="1:16" s="273" customFormat="1" ht="12" x14ac:dyDescent="0.2">
      <c r="A55" s="235"/>
      <c r="B55" s="270"/>
      <c r="C55" s="236" t="s">
        <v>191</v>
      </c>
      <c r="D55" s="271"/>
      <c r="E55" s="271"/>
      <c r="F55" s="272">
        <v>1798.0883690655801</v>
      </c>
      <c r="G55" s="272">
        <v>0</v>
      </c>
      <c r="H55" s="272">
        <v>0</v>
      </c>
      <c r="I55" s="272">
        <v>0</v>
      </c>
      <c r="J55" s="272">
        <v>0</v>
      </c>
      <c r="K55" s="272">
        <v>0</v>
      </c>
      <c r="L55" s="272">
        <v>0</v>
      </c>
      <c r="M55" s="272">
        <v>0</v>
      </c>
      <c r="N55" s="272">
        <v>0</v>
      </c>
      <c r="O55" s="272">
        <v>1798.0883690655801</v>
      </c>
      <c r="P55" s="271"/>
    </row>
    <row r="56" spans="1:16" s="273" customFormat="1" ht="12" x14ac:dyDescent="0.2">
      <c r="A56" s="235"/>
      <c r="B56" s="270"/>
      <c r="C56" s="236" t="s">
        <v>768</v>
      </c>
      <c r="D56" s="271"/>
      <c r="E56" s="271"/>
      <c r="F56" s="272">
        <v>886.10591478539698</v>
      </c>
      <c r="G56" s="272">
        <v>0</v>
      </c>
      <c r="H56" s="272">
        <v>0</v>
      </c>
      <c r="I56" s="272">
        <v>0</v>
      </c>
      <c r="J56" s="272">
        <v>0</v>
      </c>
      <c r="K56" s="272">
        <v>0</v>
      </c>
      <c r="L56" s="272">
        <v>0</v>
      </c>
      <c r="M56" s="272">
        <v>0</v>
      </c>
      <c r="N56" s="272">
        <v>0</v>
      </c>
      <c r="O56" s="272">
        <v>886.10591478539698</v>
      </c>
      <c r="P56" s="271"/>
    </row>
    <row r="57" spans="1:16" s="275" customFormat="1" ht="12.75" x14ac:dyDescent="0.2">
      <c r="A57" s="224" t="s">
        <v>737</v>
      </c>
      <c r="B57" s="225" t="s">
        <v>769</v>
      </c>
      <c r="C57" s="225"/>
      <c r="D57" s="274"/>
      <c r="E57" s="274"/>
      <c r="F57" s="269">
        <v>6308.5411173273396</v>
      </c>
      <c r="G57" s="269">
        <v>4.1056939357638003</v>
      </c>
      <c r="H57" s="269">
        <v>102.642348394095</v>
      </c>
      <c r="I57" s="269">
        <v>40.623479343363101</v>
      </c>
      <c r="J57" s="269">
        <v>12105.7968443222</v>
      </c>
      <c r="K57" s="269">
        <v>0</v>
      </c>
      <c r="L57" s="269">
        <v>0</v>
      </c>
      <c r="M57" s="269">
        <v>0</v>
      </c>
      <c r="N57" s="269">
        <v>0</v>
      </c>
      <c r="O57" s="269">
        <v>18516.9803100436</v>
      </c>
      <c r="P57" s="274"/>
    </row>
    <row r="58" spans="1:16" s="277" customFormat="1" ht="12" x14ac:dyDescent="0.2">
      <c r="A58" s="235"/>
      <c r="B58" s="270"/>
      <c r="C58" s="236" t="s">
        <v>192</v>
      </c>
      <c r="D58" s="276"/>
      <c r="E58" s="276"/>
      <c r="F58" s="272">
        <v>2804.2222001669302</v>
      </c>
      <c r="G58" s="272">
        <v>0</v>
      </c>
      <c r="H58" s="272">
        <v>0</v>
      </c>
      <c r="I58" s="272">
        <v>0</v>
      </c>
      <c r="J58" s="272">
        <v>0</v>
      </c>
      <c r="K58" s="272">
        <v>0</v>
      </c>
      <c r="L58" s="272">
        <v>0</v>
      </c>
      <c r="M58" s="272">
        <v>0</v>
      </c>
      <c r="N58" s="272">
        <v>0</v>
      </c>
      <c r="O58" s="272">
        <v>2804.2222001669302</v>
      </c>
      <c r="P58" s="276"/>
    </row>
    <row r="59" spans="1:16" s="277" customFormat="1" ht="12" x14ac:dyDescent="0.2">
      <c r="A59" s="235"/>
      <c r="B59" s="270"/>
      <c r="C59" s="236" t="s">
        <v>190</v>
      </c>
      <c r="D59" s="276"/>
      <c r="E59" s="276"/>
      <c r="F59" s="272">
        <v>0</v>
      </c>
      <c r="G59" s="272">
        <v>0</v>
      </c>
      <c r="H59" s="272">
        <v>0</v>
      </c>
      <c r="I59" s="272">
        <v>3.5693579828263702</v>
      </c>
      <c r="J59" s="272">
        <v>1063.6686788822601</v>
      </c>
      <c r="K59" s="272">
        <v>0</v>
      </c>
      <c r="L59" s="272">
        <v>0</v>
      </c>
      <c r="M59" s="272">
        <v>0</v>
      </c>
      <c r="N59" s="272">
        <v>0</v>
      </c>
      <c r="O59" s="272">
        <v>1063.6686788822601</v>
      </c>
      <c r="P59" s="276"/>
    </row>
    <row r="60" spans="1:16" s="277" customFormat="1" ht="12" x14ac:dyDescent="0.2">
      <c r="A60" s="235"/>
      <c r="B60" s="270"/>
      <c r="C60" s="236" t="s">
        <v>770</v>
      </c>
      <c r="D60" s="276"/>
      <c r="E60" s="276"/>
      <c r="F60" s="272">
        <v>0</v>
      </c>
      <c r="G60" s="272">
        <v>0</v>
      </c>
      <c r="H60" s="272">
        <v>0</v>
      </c>
      <c r="I60" s="272">
        <v>37</v>
      </c>
      <c r="J60" s="272">
        <v>11026</v>
      </c>
      <c r="K60" s="272">
        <v>0</v>
      </c>
      <c r="L60" s="272">
        <v>0</v>
      </c>
      <c r="M60" s="272">
        <v>0</v>
      </c>
      <c r="N60" s="272">
        <v>0</v>
      </c>
      <c r="O60" s="272">
        <v>11026</v>
      </c>
      <c r="P60" s="276"/>
    </row>
    <row r="61" spans="1:16" s="277" customFormat="1" ht="12" x14ac:dyDescent="0.2">
      <c r="A61" s="235"/>
      <c r="B61" s="270"/>
      <c r="C61" s="236" t="s">
        <v>771</v>
      </c>
      <c r="D61" s="276"/>
      <c r="E61" s="276"/>
      <c r="F61" s="272">
        <v>3504.3189171604099</v>
      </c>
      <c r="G61" s="272">
        <v>4.1056939357638003</v>
      </c>
      <c r="H61" s="272">
        <v>102.642348394095</v>
      </c>
      <c r="I61" s="272">
        <v>5.4121360536737703E-2</v>
      </c>
      <c r="J61" s="272">
        <v>16.1281654399478</v>
      </c>
      <c r="K61" s="272">
        <v>0</v>
      </c>
      <c r="L61" s="272">
        <v>0</v>
      </c>
      <c r="M61" s="272">
        <v>0</v>
      </c>
      <c r="N61" s="272">
        <v>0</v>
      </c>
      <c r="O61" s="272">
        <v>3623.0894309944501</v>
      </c>
      <c r="P61" s="276"/>
    </row>
    <row r="62" spans="1:16" s="240" customFormat="1" ht="12.75" x14ac:dyDescent="0.2">
      <c r="A62" s="224" t="s">
        <v>758</v>
      </c>
      <c r="B62" s="225" t="s">
        <v>772</v>
      </c>
      <c r="C62" s="225"/>
      <c r="D62" s="268"/>
      <c r="E62" s="268"/>
      <c r="F62" s="269">
        <v>15148.1111955633</v>
      </c>
      <c r="G62" s="269">
        <v>0.100323</v>
      </c>
      <c r="H62" s="269">
        <v>2.5080749999999998</v>
      </c>
      <c r="I62" s="269">
        <v>0</v>
      </c>
      <c r="J62" s="269">
        <v>0</v>
      </c>
      <c r="K62" s="269">
        <v>0</v>
      </c>
      <c r="L62" s="269">
        <v>6476.1249679021903</v>
      </c>
      <c r="M62" s="269">
        <v>1620.41989011597</v>
      </c>
      <c r="N62" s="269">
        <v>0</v>
      </c>
      <c r="O62" s="269">
        <v>23247.164128581499</v>
      </c>
      <c r="P62" s="268"/>
    </row>
    <row r="63" spans="1:16" s="273" customFormat="1" ht="12" x14ac:dyDescent="0.2">
      <c r="A63" s="235"/>
      <c r="B63" s="230"/>
      <c r="C63" s="230" t="s">
        <v>773</v>
      </c>
      <c r="D63" s="271"/>
      <c r="E63" s="271"/>
      <c r="F63" s="272">
        <v>11284.9384727136</v>
      </c>
      <c r="G63" s="272">
        <v>0.100323</v>
      </c>
      <c r="H63" s="272">
        <v>2.5080749999999998</v>
      </c>
      <c r="I63" s="272">
        <v>0</v>
      </c>
      <c r="J63" s="272">
        <v>0</v>
      </c>
      <c r="K63" s="272">
        <v>0</v>
      </c>
      <c r="L63" s="272">
        <v>0</v>
      </c>
      <c r="M63" s="272">
        <v>0</v>
      </c>
      <c r="N63" s="272">
        <v>0</v>
      </c>
      <c r="O63" s="272">
        <v>11287.4465477136</v>
      </c>
      <c r="P63" s="271"/>
    </row>
    <row r="64" spans="1:16" s="273" customFormat="1" ht="12" x14ac:dyDescent="0.2">
      <c r="A64" s="235"/>
      <c r="B64" s="230"/>
      <c r="C64" s="230" t="s">
        <v>252</v>
      </c>
      <c r="D64" s="271"/>
      <c r="E64" s="271"/>
      <c r="F64" s="272">
        <v>3863.1727228497102</v>
      </c>
      <c r="G64" s="272">
        <v>0</v>
      </c>
      <c r="H64" s="272">
        <v>0</v>
      </c>
      <c r="I64" s="272">
        <v>0</v>
      </c>
      <c r="J64" s="272">
        <v>0</v>
      </c>
      <c r="K64" s="272">
        <v>0</v>
      </c>
      <c r="L64" s="272">
        <v>6476.1249679021903</v>
      </c>
      <c r="M64" s="272">
        <v>56.3553953472803</v>
      </c>
      <c r="N64" s="272">
        <v>0</v>
      </c>
      <c r="O64" s="272">
        <v>10395.653086099201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1564.0644947686901</v>
      </c>
      <c r="N65" s="272">
        <v>0</v>
      </c>
      <c r="O65" s="272">
        <v>1564.0644947686901</v>
      </c>
      <c r="P65" s="271"/>
    </row>
    <row r="66" spans="1:16" s="234" customFormat="1" x14ac:dyDescent="0.25">
      <c r="A66" s="278" t="s">
        <v>764</v>
      </c>
      <c r="B66" s="279" t="s">
        <v>775</v>
      </c>
      <c r="C66" s="279"/>
      <c r="D66" s="251"/>
      <c r="E66" s="251"/>
      <c r="F66" s="252">
        <v>0</v>
      </c>
      <c r="G66" s="252">
        <v>0</v>
      </c>
      <c r="H66" s="252">
        <v>0</v>
      </c>
      <c r="I66" s="252">
        <v>0</v>
      </c>
      <c r="J66" s="252">
        <v>0</v>
      </c>
      <c r="K66" s="252">
        <v>806.82282362368903</v>
      </c>
      <c r="L66" s="252">
        <v>26.444517431200001</v>
      </c>
      <c r="M66" s="252">
        <v>2.9948023827564101</v>
      </c>
      <c r="N66" s="252">
        <v>0.272431373333334</v>
      </c>
      <c r="O66" s="252">
        <v>836.53457481097803</v>
      </c>
      <c r="P66" s="251"/>
    </row>
    <row r="67" spans="1:16" s="234" customFormat="1" ht="12.75" x14ac:dyDescent="0.2">
      <c r="A67" s="278" t="s">
        <v>776</v>
      </c>
      <c r="B67" s="279" t="s">
        <v>777</v>
      </c>
      <c r="C67" s="279"/>
      <c r="D67" s="251"/>
      <c r="E67" s="251"/>
      <c r="F67" s="252">
        <v>7020.69959053619</v>
      </c>
      <c r="G67" s="252">
        <v>0</v>
      </c>
      <c r="H67" s="252">
        <v>0</v>
      </c>
      <c r="I67" s="252">
        <v>0</v>
      </c>
      <c r="J67" s="252">
        <v>0</v>
      </c>
      <c r="K67" s="252">
        <v>0</v>
      </c>
      <c r="L67" s="252">
        <v>0</v>
      </c>
      <c r="M67" s="252">
        <v>0</v>
      </c>
      <c r="N67" s="252">
        <v>0</v>
      </c>
      <c r="O67" s="252">
        <v>7020.69959053619</v>
      </c>
      <c r="P67" s="251"/>
    </row>
    <row r="68" spans="1:16" s="234" customFormat="1" ht="12.75" x14ac:dyDescent="0.2">
      <c r="A68" s="259" t="s">
        <v>778</v>
      </c>
      <c r="B68" s="260" t="s">
        <v>779</v>
      </c>
      <c r="C68" s="260"/>
      <c r="D68" s="280"/>
      <c r="E68" s="280"/>
      <c r="F68" s="281">
        <v>0</v>
      </c>
      <c r="G68" s="281">
        <v>0</v>
      </c>
      <c r="H68" s="281">
        <v>0</v>
      </c>
      <c r="I68" s="281">
        <v>0.69885243557823096</v>
      </c>
      <c r="J68" s="281">
        <v>208.258025802313</v>
      </c>
      <c r="K68" s="281">
        <v>0</v>
      </c>
      <c r="L68" s="281">
        <v>0.1762623616</v>
      </c>
      <c r="M68" s="281">
        <v>145.23391162240699</v>
      </c>
      <c r="N68" s="281">
        <v>0</v>
      </c>
      <c r="O68" s="281">
        <v>353.66819978631997</v>
      </c>
      <c r="P68" s="251"/>
    </row>
    <row r="69" spans="1:16" s="267" customFormat="1" ht="12.75" x14ac:dyDescent="0.2">
      <c r="A69" s="282" t="s">
        <v>780</v>
      </c>
      <c r="B69" s="283"/>
      <c r="C69" s="283"/>
      <c r="D69" s="284"/>
      <c r="E69" s="284"/>
      <c r="F69" s="285">
        <v>1484.7729687999999</v>
      </c>
      <c r="G69" s="285">
        <v>1264.25093120409</v>
      </c>
      <c r="H69" s="285">
        <v>31606.273280102301</v>
      </c>
      <c r="I69" s="285">
        <v>78.413402329224198</v>
      </c>
      <c r="J69" s="285">
        <v>23367.193894108801</v>
      </c>
      <c r="K69" s="285">
        <v>0</v>
      </c>
      <c r="L69" s="285">
        <v>0</v>
      </c>
      <c r="M69" s="285">
        <v>0</v>
      </c>
      <c r="N69" s="285">
        <v>0</v>
      </c>
      <c r="O69" s="285">
        <v>56458.240143011099</v>
      </c>
      <c r="P69" s="265"/>
    </row>
    <row r="70" spans="1:16" s="234" customFormat="1" ht="12.75" x14ac:dyDescent="0.2">
      <c r="A70" s="278" t="s">
        <v>724</v>
      </c>
      <c r="B70" s="279" t="s">
        <v>27</v>
      </c>
      <c r="C70" s="279"/>
      <c r="D70" s="251"/>
      <c r="E70" s="251"/>
      <c r="F70" s="252">
        <v>0</v>
      </c>
      <c r="G70" s="252">
        <v>1106.80886109983</v>
      </c>
      <c r="H70" s="252">
        <v>27670.2215274958</v>
      </c>
      <c r="I70" s="252">
        <v>0</v>
      </c>
      <c r="J70" s="252">
        <v>0</v>
      </c>
      <c r="K70" s="252">
        <v>0</v>
      </c>
      <c r="L70" s="252">
        <v>0</v>
      </c>
      <c r="M70" s="252">
        <v>0</v>
      </c>
      <c r="N70" s="252">
        <v>0</v>
      </c>
      <c r="O70" s="252">
        <v>27670.2215274958</v>
      </c>
      <c r="P70" s="251"/>
    </row>
    <row r="71" spans="1:16" s="234" customFormat="1" ht="12.75" x14ac:dyDescent="0.2">
      <c r="A71" s="278" t="s">
        <v>737</v>
      </c>
      <c r="B71" s="279" t="s">
        <v>28</v>
      </c>
      <c r="C71" s="279"/>
      <c r="D71" s="251"/>
      <c r="E71" s="251"/>
      <c r="F71" s="252">
        <v>0</v>
      </c>
      <c r="G71" s="252">
        <v>152.02315240977501</v>
      </c>
      <c r="H71" s="252">
        <v>3800.5788102443698</v>
      </c>
      <c r="I71" s="252">
        <v>16.064073559391701</v>
      </c>
      <c r="J71" s="252">
        <v>4787.0939206987196</v>
      </c>
      <c r="K71" s="252">
        <v>0</v>
      </c>
      <c r="L71" s="252">
        <v>0</v>
      </c>
      <c r="M71" s="252">
        <v>0</v>
      </c>
      <c r="N71" s="252">
        <v>0</v>
      </c>
      <c r="O71" s="252">
        <v>8587.6727309430898</v>
      </c>
      <c r="P71" s="251"/>
    </row>
    <row r="72" spans="1:16" s="234" customFormat="1" ht="12.75" x14ac:dyDescent="0.2">
      <c r="A72" s="224" t="s">
        <v>758</v>
      </c>
      <c r="B72" s="225" t="s">
        <v>781</v>
      </c>
      <c r="C72" s="225"/>
      <c r="F72" s="231">
        <v>0</v>
      </c>
      <c r="G72" s="231">
        <v>0</v>
      </c>
      <c r="H72" s="231">
        <v>0</v>
      </c>
      <c r="I72" s="231">
        <v>62.208838311086701</v>
      </c>
      <c r="J72" s="231">
        <v>18538.2338167038</v>
      </c>
      <c r="K72" s="231">
        <v>0</v>
      </c>
      <c r="L72" s="231">
        <v>0</v>
      </c>
      <c r="M72" s="231">
        <v>0</v>
      </c>
      <c r="N72" s="231">
        <v>0</v>
      </c>
      <c r="O72" s="231">
        <v>18538.2338167038</v>
      </c>
    </row>
    <row r="73" spans="1:16" s="237" customFormat="1" ht="12" x14ac:dyDescent="0.2">
      <c r="A73" s="286"/>
      <c r="B73" s="258"/>
      <c r="C73" s="258" t="s">
        <v>782</v>
      </c>
      <c r="D73" s="243"/>
      <c r="E73" s="243"/>
      <c r="F73" s="244">
        <v>0</v>
      </c>
      <c r="G73" s="244">
        <v>0</v>
      </c>
      <c r="H73" s="244">
        <v>0</v>
      </c>
      <c r="I73" s="244">
        <v>51.556823381452702</v>
      </c>
      <c r="J73" s="244">
        <v>15363.9333676729</v>
      </c>
      <c r="K73" s="244">
        <v>0</v>
      </c>
      <c r="L73" s="244">
        <v>0</v>
      </c>
      <c r="M73" s="244">
        <v>0</v>
      </c>
      <c r="N73" s="244">
        <v>0</v>
      </c>
      <c r="O73" s="244">
        <v>15363.9333676729</v>
      </c>
    </row>
    <row r="74" spans="1:16" s="237" customFormat="1" ht="12" x14ac:dyDescent="0.2">
      <c r="A74" s="286"/>
      <c r="B74" s="258"/>
      <c r="C74" s="258" t="s">
        <v>783</v>
      </c>
      <c r="D74" s="243"/>
      <c r="E74" s="243"/>
      <c r="F74" s="244">
        <v>0</v>
      </c>
      <c r="G74" s="244">
        <v>0</v>
      </c>
      <c r="H74" s="244">
        <v>0</v>
      </c>
      <c r="I74" s="244">
        <v>10.652014929633999</v>
      </c>
      <c r="J74" s="244">
        <v>3174.3004490309299</v>
      </c>
      <c r="K74" s="244">
        <v>0</v>
      </c>
      <c r="L74" s="244">
        <v>0</v>
      </c>
      <c r="M74" s="244">
        <v>0</v>
      </c>
      <c r="N74" s="244">
        <v>0</v>
      </c>
      <c r="O74" s="244">
        <v>3174.3004490309299</v>
      </c>
    </row>
    <row r="75" spans="1:16" s="234" customFormat="1" ht="12.75" x14ac:dyDescent="0.2">
      <c r="A75" s="278" t="s">
        <v>764</v>
      </c>
      <c r="B75" s="279" t="s">
        <v>193</v>
      </c>
      <c r="C75" s="287"/>
      <c r="D75" s="251"/>
      <c r="E75" s="251"/>
      <c r="F75" s="252">
        <v>0</v>
      </c>
      <c r="G75" s="252">
        <v>5.4189176944831701</v>
      </c>
      <c r="H75" s="252">
        <v>135.47294236207901</v>
      </c>
      <c r="I75" s="252">
        <v>0.14049045874586</v>
      </c>
      <c r="J75" s="252">
        <v>41.866156706266302</v>
      </c>
      <c r="K75" s="252">
        <v>0</v>
      </c>
      <c r="L75" s="252">
        <v>0</v>
      </c>
      <c r="M75" s="252">
        <v>0</v>
      </c>
      <c r="N75" s="252">
        <v>0</v>
      </c>
      <c r="O75" s="252">
        <v>177.339099068346</v>
      </c>
    </row>
    <row r="76" spans="1:16" s="234" customFormat="1" ht="12.75" x14ac:dyDescent="0.2">
      <c r="A76" s="259" t="s">
        <v>776</v>
      </c>
      <c r="B76" s="260" t="s">
        <v>784</v>
      </c>
      <c r="C76" s="288"/>
      <c r="D76" s="280"/>
      <c r="E76" s="280"/>
      <c r="F76" s="281">
        <v>1484.7729687999999</v>
      </c>
      <c r="G76" s="281">
        <v>0</v>
      </c>
      <c r="H76" s="281">
        <v>0</v>
      </c>
      <c r="I76" s="281">
        <v>0</v>
      </c>
      <c r="J76" s="281">
        <v>0</v>
      </c>
      <c r="K76" s="281">
        <v>0</v>
      </c>
      <c r="L76" s="281">
        <v>0</v>
      </c>
      <c r="M76" s="281">
        <v>0</v>
      </c>
      <c r="N76" s="281">
        <v>0</v>
      </c>
      <c r="O76" s="281">
        <v>1484.7729687999999</v>
      </c>
    </row>
    <row r="77" spans="1:16" s="234" customFormat="1" ht="12.75" x14ac:dyDescent="0.2">
      <c r="A77" s="220" t="s">
        <v>785</v>
      </c>
      <c r="B77" s="289"/>
      <c r="C77" s="289"/>
      <c r="F77" s="223">
        <v>543.23344513999996</v>
      </c>
      <c r="G77" s="223">
        <v>916.31970153999998</v>
      </c>
      <c r="H77" s="223">
        <v>22907.992538499999</v>
      </c>
      <c r="I77" s="223">
        <v>3.83673967</v>
      </c>
      <c r="J77" s="223">
        <v>1143.34842166</v>
      </c>
      <c r="K77" s="223">
        <v>0</v>
      </c>
      <c r="L77" s="223">
        <v>0</v>
      </c>
      <c r="M77" s="223">
        <v>0</v>
      </c>
      <c r="N77" s="223">
        <v>0</v>
      </c>
      <c r="O77" s="223">
        <v>24594.574405300002</v>
      </c>
    </row>
    <row r="78" spans="1:16" s="234" customFormat="1" ht="12.75" x14ac:dyDescent="0.2">
      <c r="A78" s="224" t="s">
        <v>724</v>
      </c>
      <c r="B78" s="225" t="s">
        <v>786</v>
      </c>
      <c r="C78" s="225"/>
      <c r="F78" s="231">
        <v>0</v>
      </c>
      <c r="G78" s="231">
        <v>878.58887789000005</v>
      </c>
      <c r="H78" s="231">
        <v>21964.72194725</v>
      </c>
      <c r="I78" s="231">
        <v>0</v>
      </c>
      <c r="J78" s="231">
        <v>0</v>
      </c>
      <c r="K78" s="231">
        <v>0</v>
      </c>
      <c r="L78" s="231">
        <v>0</v>
      </c>
      <c r="M78" s="231">
        <v>0</v>
      </c>
      <c r="N78" s="231">
        <v>0</v>
      </c>
      <c r="O78" s="231">
        <v>21964.72194725</v>
      </c>
    </row>
    <row r="79" spans="1:16" s="234" customFormat="1" ht="12.75" x14ac:dyDescent="0.2">
      <c r="A79" s="224" t="s">
        <v>737</v>
      </c>
      <c r="B79" s="225" t="s">
        <v>787</v>
      </c>
      <c r="C79" s="225"/>
      <c r="F79" s="231">
        <v>0</v>
      </c>
      <c r="G79" s="231">
        <v>19.820988379999999</v>
      </c>
      <c r="H79" s="231">
        <v>495.52470949999997</v>
      </c>
      <c r="I79" s="231">
        <v>1.1892593</v>
      </c>
      <c r="J79" s="231">
        <v>354.39927139999998</v>
      </c>
      <c r="K79" s="231">
        <v>0</v>
      </c>
      <c r="L79" s="231">
        <v>0</v>
      </c>
      <c r="M79" s="231">
        <v>0</v>
      </c>
      <c r="N79" s="231">
        <v>0</v>
      </c>
      <c r="O79" s="231">
        <v>849.92398089999995</v>
      </c>
    </row>
    <row r="80" spans="1:16" s="234" customFormat="1" ht="12.75" x14ac:dyDescent="0.2">
      <c r="A80" s="278" t="s">
        <v>788</v>
      </c>
      <c r="B80" s="279" t="s">
        <v>789</v>
      </c>
      <c r="C80" s="279"/>
      <c r="D80" s="251"/>
      <c r="E80" s="251"/>
      <c r="F80" s="252">
        <v>0</v>
      </c>
      <c r="G80" s="252">
        <v>15.88628606</v>
      </c>
      <c r="H80" s="252">
        <v>397.1571515</v>
      </c>
      <c r="I80" s="252">
        <v>1.8638793899999999</v>
      </c>
      <c r="J80" s="252">
        <v>555.43605821999995</v>
      </c>
      <c r="K80" s="252">
        <v>0</v>
      </c>
      <c r="L80" s="252">
        <v>0</v>
      </c>
      <c r="M80" s="252">
        <v>0</v>
      </c>
      <c r="N80" s="252">
        <v>0</v>
      </c>
      <c r="O80" s="252">
        <v>952.59320972</v>
      </c>
    </row>
    <row r="81" spans="1:37" s="234" customFormat="1" ht="12.75" x14ac:dyDescent="0.2">
      <c r="A81" s="259" t="s">
        <v>764</v>
      </c>
      <c r="B81" s="260" t="s">
        <v>790</v>
      </c>
      <c r="C81" s="260"/>
      <c r="D81" s="280"/>
      <c r="E81" s="280"/>
      <c r="F81" s="281">
        <v>543.23344513999996</v>
      </c>
      <c r="G81" s="281">
        <v>2.0235492100000001</v>
      </c>
      <c r="H81" s="281">
        <v>50.588730249999998</v>
      </c>
      <c r="I81" s="281">
        <v>0.78360098</v>
      </c>
      <c r="J81" s="281">
        <v>233.51309204</v>
      </c>
      <c r="K81" s="281">
        <v>0</v>
      </c>
      <c r="L81" s="281">
        <v>0</v>
      </c>
      <c r="M81" s="281">
        <v>0</v>
      </c>
      <c r="N81" s="281">
        <v>0</v>
      </c>
      <c r="O81" s="281">
        <v>827.33526743000004</v>
      </c>
    </row>
    <row r="82" spans="1:37" s="267" customFormat="1" ht="12.75" x14ac:dyDescent="0.2">
      <c r="A82" s="263" t="s">
        <v>791</v>
      </c>
      <c r="B82" s="264"/>
      <c r="C82" s="264"/>
      <c r="F82" s="223">
        <v>-82170.373175999994</v>
      </c>
      <c r="G82" s="223">
        <v>46.730291000000001</v>
      </c>
      <c r="H82" s="223">
        <v>1168.2572749999999</v>
      </c>
      <c r="I82" s="223">
        <v>1.7073959999999999</v>
      </c>
      <c r="J82" s="223">
        <v>508.80400800000001</v>
      </c>
      <c r="K82" s="223">
        <v>0</v>
      </c>
      <c r="L82" s="223">
        <v>0</v>
      </c>
      <c r="M82" s="223">
        <v>0</v>
      </c>
      <c r="N82" s="223">
        <v>0</v>
      </c>
      <c r="O82" s="223">
        <v>-80493.311893000006</v>
      </c>
    </row>
    <row r="83" spans="1:37" s="234" customFormat="1" ht="12.75" x14ac:dyDescent="0.2">
      <c r="A83" s="224" t="s">
        <v>724</v>
      </c>
      <c r="B83" s="225" t="s">
        <v>792</v>
      </c>
      <c r="C83" s="225"/>
      <c r="F83" s="231">
        <v>-239983.164701</v>
      </c>
      <c r="G83" s="231">
        <v>19.349729</v>
      </c>
      <c r="H83" s="231">
        <v>483.743225</v>
      </c>
      <c r="I83" s="231">
        <v>0.79967500000000002</v>
      </c>
      <c r="J83" s="231">
        <v>238.30314999999999</v>
      </c>
      <c r="K83" s="231">
        <v>0</v>
      </c>
      <c r="L83" s="231">
        <v>0</v>
      </c>
      <c r="M83" s="231">
        <v>0</v>
      </c>
      <c r="N83" s="231">
        <v>0</v>
      </c>
      <c r="O83" s="231">
        <v>-239261.118326</v>
      </c>
    </row>
    <row r="84" spans="1:37" s="234" customFormat="1" ht="12.75" x14ac:dyDescent="0.2">
      <c r="A84" s="224" t="s">
        <v>737</v>
      </c>
      <c r="B84" s="225" t="s">
        <v>793</v>
      </c>
      <c r="C84" s="225"/>
      <c r="F84" s="231">
        <v>897.19312700000103</v>
      </c>
      <c r="G84" s="231">
        <v>6.166671</v>
      </c>
      <c r="H84" s="231">
        <v>154.166775</v>
      </c>
      <c r="I84" s="231">
        <v>0.307591</v>
      </c>
      <c r="J84" s="231">
        <v>91.662118000000007</v>
      </c>
      <c r="K84" s="231">
        <v>0</v>
      </c>
      <c r="L84" s="231">
        <v>0</v>
      </c>
      <c r="M84" s="231">
        <v>0</v>
      </c>
      <c r="N84" s="231">
        <v>0</v>
      </c>
      <c r="O84" s="231">
        <v>1143.0220200000001</v>
      </c>
    </row>
    <row r="85" spans="1:37" s="234" customFormat="1" ht="12.75" x14ac:dyDescent="0.2">
      <c r="A85" s="278" t="s">
        <v>758</v>
      </c>
      <c r="B85" s="279" t="s">
        <v>794</v>
      </c>
      <c r="C85" s="279"/>
      <c r="F85" s="231">
        <v>0</v>
      </c>
      <c r="G85" s="231">
        <v>16.501860000000001</v>
      </c>
      <c r="H85" s="231">
        <v>412.54649999999998</v>
      </c>
      <c r="I85" s="231">
        <v>0.42781999999999998</v>
      </c>
      <c r="J85" s="231">
        <v>127.49036</v>
      </c>
      <c r="K85" s="231">
        <v>0</v>
      </c>
      <c r="L85" s="231">
        <v>0</v>
      </c>
      <c r="M85" s="231">
        <v>0</v>
      </c>
      <c r="N85" s="231">
        <v>0</v>
      </c>
      <c r="O85" s="231">
        <v>540.03686000000005</v>
      </c>
    </row>
    <row r="86" spans="1:37" s="234" customFormat="1" ht="12.75" x14ac:dyDescent="0.2">
      <c r="A86" s="278" t="s">
        <v>764</v>
      </c>
      <c r="B86" s="279" t="s">
        <v>795</v>
      </c>
      <c r="C86" s="279"/>
      <c r="F86" s="231">
        <v>2601.1644430000001</v>
      </c>
      <c r="G86" s="231">
        <v>0.3105</v>
      </c>
      <c r="H86" s="231">
        <v>7.7625000000000002</v>
      </c>
      <c r="I86" s="231">
        <v>1.8440999999999999E-2</v>
      </c>
      <c r="J86" s="231">
        <v>5.4954179999999999</v>
      </c>
      <c r="K86" s="231">
        <v>0</v>
      </c>
      <c r="L86" s="231">
        <v>0</v>
      </c>
      <c r="M86" s="231">
        <v>0</v>
      </c>
      <c r="N86" s="231">
        <v>0</v>
      </c>
      <c r="O86" s="231">
        <v>2614.4223609999999</v>
      </c>
    </row>
    <row r="87" spans="1:37" s="234" customFormat="1" ht="12.75" x14ac:dyDescent="0.2">
      <c r="A87" s="278" t="s">
        <v>776</v>
      </c>
      <c r="B87" s="279" t="s">
        <v>796</v>
      </c>
      <c r="C87" s="279"/>
      <c r="D87" s="251"/>
      <c r="E87" s="251"/>
      <c r="F87" s="252">
        <v>3233.1736700000001</v>
      </c>
      <c r="G87" s="252">
        <v>4.4015310000000003</v>
      </c>
      <c r="H87" s="252">
        <v>110.038275</v>
      </c>
      <c r="I87" s="252">
        <v>0.15386900000000001</v>
      </c>
      <c r="J87" s="252">
        <v>45.852961999999998</v>
      </c>
      <c r="K87" s="252">
        <v>0</v>
      </c>
      <c r="L87" s="252">
        <v>0</v>
      </c>
      <c r="M87" s="252">
        <v>0</v>
      </c>
      <c r="N87" s="252">
        <v>0</v>
      </c>
      <c r="O87" s="252">
        <v>3389.0649069999999</v>
      </c>
    </row>
    <row r="88" spans="1:37" s="234" customFormat="1" ht="12.75" x14ac:dyDescent="0.2">
      <c r="A88" s="259" t="s">
        <v>778</v>
      </c>
      <c r="B88" s="260" t="s">
        <v>797</v>
      </c>
      <c r="C88" s="260"/>
      <c r="D88" s="280"/>
      <c r="E88" s="280"/>
      <c r="F88" s="281">
        <v>151081.260285</v>
      </c>
      <c r="G88" s="281">
        <v>0</v>
      </c>
      <c r="H88" s="281">
        <v>0</v>
      </c>
      <c r="I88" s="281">
        <v>0</v>
      </c>
      <c r="J88" s="281">
        <v>0</v>
      </c>
      <c r="K88" s="281">
        <v>0</v>
      </c>
      <c r="L88" s="281">
        <v>0</v>
      </c>
      <c r="M88" s="281">
        <v>0</v>
      </c>
      <c r="N88" s="281">
        <v>0</v>
      </c>
      <c r="O88" s="281">
        <v>151081.260285</v>
      </c>
      <c r="P88" s="251"/>
      <c r="Q88" s="251"/>
      <c r="R88" s="251"/>
      <c r="S88" s="251"/>
      <c r="T88" s="251"/>
      <c r="U88" s="251"/>
      <c r="V88" s="251"/>
      <c r="W88" s="251"/>
      <c r="X88" s="251"/>
      <c r="Y88" s="251"/>
      <c r="Z88" s="251"/>
      <c r="AA88" s="251"/>
      <c r="AB88" s="251"/>
      <c r="AC88" s="251"/>
      <c r="AD88" s="251"/>
      <c r="AE88" s="251"/>
      <c r="AF88" s="251"/>
      <c r="AG88" s="251"/>
      <c r="AH88" s="251"/>
      <c r="AI88" s="251"/>
      <c r="AJ88" s="251"/>
      <c r="AK88" s="251"/>
    </row>
    <row r="89" spans="1:37"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c r="AK89" s="291"/>
    </row>
    <row r="90" spans="1:37" x14ac:dyDescent="0.2">
      <c r="A90" s="234" t="s">
        <v>256</v>
      </c>
      <c r="B90" s="292"/>
      <c r="C90" s="292"/>
      <c r="D90" s="292"/>
      <c r="E90" s="292"/>
      <c r="F90" s="292"/>
      <c r="G90" s="292"/>
      <c r="H90" s="292"/>
      <c r="I90" s="292"/>
      <c r="J90" s="292"/>
      <c r="K90" s="292"/>
      <c r="L90" s="292"/>
      <c r="M90" s="292"/>
      <c r="N90" s="292"/>
      <c r="O90" s="292"/>
      <c r="P90" s="298"/>
      <c r="Q90" s="298"/>
      <c r="R90" s="298"/>
      <c r="S90" s="298"/>
      <c r="T90" s="298"/>
      <c r="U90" s="298"/>
      <c r="V90" s="298"/>
      <c r="W90" s="298"/>
      <c r="X90" s="298"/>
      <c r="Y90" s="298"/>
      <c r="Z90" s="298"/>
      <c r="AA90" s="298"/>
      <c r="AB90" s="298"/>
      <c r="AC90" s="298"/>
      <c r="AD90" s="298"/>
      <c r="AE90" s="298"/>
      <c r="AF90" s="298"/>
      <c r="AG90" s="298"/>
      <c r="AH90" s="298"/>
      <c r="AI90" s="298"/>
      <c r="AJ90" s="298"/>
      <c r="AK90" s="298"/>
    </row>
    <row r="91" spans="1:37" s="234" customFormat="1" ht="12.75" x14ac:dyDescent="0.2">
      <c r="A91" s="234" t="s">
        <v>798</v>
      </c>
      <c r="J91" s="293"/>
      <c r="O91" s="293"/>
      <c r="P91" s="251"/>
      <c r="Q91" s="251"/>
      <c r="R91" s="251"/>
      <c r="S91" s="251"/>
      <c r="T91" s="251"/>
      <c r="U91" s="251"/>
      <c r="V91" s="251"/>
      <c r="W91" s="251"/>
      <c r="X91" s="251"/>
      <c r="Y91" s="251"/>
      <c r="Z91" s="251"/>
      <c r="AA91" s="251"/>
      <c r="AB91" s="251"/>
      <c r="AC91" s="251"/>
      <c r="AD91" s="251"/>
      <c r="AE91" s="251"/>
      <c r="AF91" s="251"/>
      <c r="AG91" s="251"/>
      <c r="AH91" s="251"/>
      <c r="AI91" s="251"/>
      <c r="AJ91" s="251"/>
      <c r="AK91" s="251"/>
    </row>
    <row r="92" spans="1:37" s="234" customFormat="1" ht="12.75" x14ac:dyDescent="0.2">
      <c r="A92" s="234" t="s">
        <v>799</v>
      </c>
      <c r="J92" s="293"/>
      <c r="O92" s="293"/>
    </row>
    <row r="93" spans="1:37" s="234" customFormat="1" ht="15.75" x14ac:dyDescent="0.3">
      <c r="A93" s="234" t="s">
        <v>800</v>
      </c>
      <c r="J93" s="293"/>
      <c r="O93" s="293"/>
    </row>
    <row r="94" spans="1:37" s="234" customFormat="1" ht="12.75" x14ac:dyDescent="0.2">
      <c r="A94" s="234" t="s">
        <v>801</v>
      </c>
      <c r="J94" s="293"/>
      <c r="O94" s="293"/>
    </row>
    <row r="95" spans="1:37" s="234" customFormat="1" ht="12.75" x14ac:dyDescent="0.2">
      <c r="A95" s="234" t="s">
        <v>802</v>
      </c>
      <c r="B95" s="234" t="s">
        <v>803</v>
      </c>
      <c r="J95" s="293"/>
      <c r="O95" s="293"/>
    </row>
    <row r="96" spans="1:37"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829</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495510.74762770999</v>
      </c>
      <c r="G7" s="218">
        <v>4439.2661449381603</v>
      </c>
      <c r="H7" s="218">
        <v>110981.653623454</v>
      </c>
      <c r="I7" s="218">
        <v>153.33714828160001</v>
      </c>
      <c r="J7" s="218">
        <v>45694.470187916697</v>
      </c>
      <c r="K7" s="218">
        <v>458.974856458803</v>
      </c>
      <c r="L7" s="218">
        <v>6349.2200831987702</v>
      </c>
      <c r="M7" s="218">
        <v>2275.1600333750998</v>
      </c>
      <c r="N7" s="218">
        <v>0.28110183599999999</v>
      </c>
      <c r="O7" s="218">
        <v>661270.50751395</v>
      </c>
    </row>
    <row r="8" spans="1:16" ht="15.75" thickTop="1" x14ac:dyDescent="0.2">
      <c r="A8" s="220" t="s">
        <v>723</v>
      </c>
      <c r="B8" s="221"/>
      <c r="C8" s="221"/>
      <c r="F8" s="223">
        <v>457168.30878344597</v>
      </c>
      <c r="G8" s="223">
        <v>2266.6479178589002</v>
      </c>
      <c r="H8" s="223">
        <v>56666.197946472399</v>
      </c>
      <c r="I8" s="223">
        <v>35.456625227755303</v>
      </c>
      <c r="J8" s="223">
        <v>10566.0743178711</v>
      </c>
      <c r="K8" s="223">
        <v>0</v>
      </c>
      <c r="L8" s="223">
        <v>0</v>
      </c>
      <c r="M8" s="223">
        <v>0</v>
      </c>
      <c r="N8" s="223">
        <v>0</v>
      </c>
      <c r="O8" s="223">
        <v>524400.58104778896</v>
      </c>
    </row>
    <row r="9" spans="1:16" x14ac:dyDescent="0.2">
      <c r="A9" s="224" t="s">
        <v>724</v>
      </c>
      <c r="B9" s="225" t="s">
        <v>725</v>
      </c>
      <c r="C9" s="225"/>
      <c r="F9" s="226">
        <v>288702.87635231199</v>
      </c>
      <c r="G9" s="226">
        <v>262.15281424340498</v>
      </c>
      <c r="H9" s="226">
        <v>6553.8203560851298</v>
      </c>
      <c r="I9" s="226">
        <v>8.2244940586245505</v>
      </c>
      <c r="J9" s="226">
        <v>2450.8992294701202</v>
      </c>
      <c r="K9" s="226">
        <v>0</v>
      </c>
      <c r="L9" s="226">
        <v>0</v>
      </c>
      <c r="M9" s="226">
        <v>0</v>
      </c>
      <c r="N9" s="226">
        <v>0</v>
      </c>
      <c r="O9" s="226">
        <v>297707.59593786701</v>
      </c>
      <c r="P9" s="227"/>
    </row>
    <row r="10" spans="1:16" x14ac:dyDescent="0.2">
      <c r="A10" s="228"/>
      <c r="B10" s="229" t="s">
        <v>726</v>
      </c>
      <c r="C10" s="230"/>
      <c r="F10" s="231">
        <v>98056.352006787201</v>
      </c>
      <c r="G10" s="231">
        <v>2.9534637936610402</v>
      </c>
      <c r="H10" s="231">
        <v>73.836594841526093</v>
      </c>
      <c r="I10" s="231">
        <v>1.86314883240621</v>
      </c>
      <c r="J10" s="231">
        <v>555.21835205704997</v>
      </c>
      <c r="K10" s="231">
        <v>0</v>
      </c>
      <c r="L10" s="231">
        <v>0</v>
      </c>
      <c r="M10" s="231">
        <v>0</v>
      </c>
      <c r="N10" s="231">
        <v>0</v>
      </c>
      <c r="O10" s="231">
        <v>98685.406953685801</v>
      </c>
    </row>
    <row r="11" spans="1:16" x14ac:dyDescent="0.2">
      <c r="A11" s="228"/>
      <c r="B11" s="232" t="s">
        <v>727</v>
      </c>
      <c r="C11" s="230"/>
      <c r="F11" s="231">
        <v>16199.0787417595</v>
      </c>
      <c r="G11" s="231">
        <v>0.40593969375377997</v>
      </c>
      <c r="H11" s="231">
        <v>10.1484923438445</v>
      </c>
      <c r="I11" s="231">
        <v>0.16462114089691099</v>
      </c>
      <c r="J11" s="231">
        <v>49.057099987279599</v>
      </c>
      <c r="K11" s="231">
        <v>0</v>
      </c>
      <c r="L11" s="231">
        <v>0</v>
      </c>
      <c r="M11" s="231">
        <v>0</v>
      </c>
      <c r="N11" s="231">
        <v>0</v>
      </c>
      <c r="O11" s="231">
        <v>16258.2843340906</v>
      </c>
    </row>
    <row r="12" spans="1:16" s="234" customFormat="1" ht="12.75" x14ac:dyDescent="0.2">
      <c r="A12" s="228"/>
      <c r="B12" s="232" t="s">
        <v>728</v>
      </c>
      <c r="C12" s="233"/>
      <c r="F12" s="231">
        <v>43975.518126327101</v>
      </c>
      <c r="G12" s="231">
        <v>77.983794941221802</v>
      </c>
      <c r="H12" s="231">
        <v>1949.5948735305401</v>
      </c>
      <c r="I12" s="231">
        <v>1.0281863763535599</v>
      </c>
      <c r="J12" s="231">
        <v>306.39954015336099</v>
      </c>
      <c r="K12" s="231">
        <v>0</v>
      </c>
      <c r="L12" s="231">
        <v>0</v>
      </c>
      <c r="M12" s="231">
        <v>0</v>
      </c>
      <c r="N12" s="231">
        <v>0</v>
      </c>
      <c r="O12" s="231">
        <v>46231.512540010997</v>
      </c>
    </row>
    <row r="13" spans="1:16" s="234" customFormat="1" ht="12.75" x14ac:dyDescent="0.2">
      <c r="A13" s="228"/>
      <c r="B13" s="229" t="s">
        <v>729</v>
      </c>
      <c r="C13" s="229"/>
      <c r="F13" s="231">
        <v>55423.737682604398</v>
      </c>
      <c r="G13" s="231">
        <v>2.4314148778044</v>
      </c>
      <c r="H13" s="231">
        <v>60.785371945109901</v>
      </c>
      <c r="I13" s="231">
        <v>1.8768439136180299</v>
      </c>
      <c r="J13" s="231">
        <v>559.29948625817406</v>
      </c>
      <c r="K13" s="231">
        <v>0</v>
      </c>
      <c r="L13" s="231">
        <v>0</v>
      </c>
      <c r="M13" s="231">
        <v>0</v>
      </c>
      <c r="N13" s="231">
        <v>0</v>
      </c>
      <c r="O13" s="231">
        <v>56043.822540807698</v>
      </c>
    </row>
    <row r="14" spans="1:16" s="237" customFormat="1" ht="12" x14ac:dyDescent="0.2">
      <c r="A14" s="235"/>
      <c r="B14" s="230"/>
      <c r="C14" s="236" t="s">
        <v>2</v>
      </c>
      <c r="F14" s="238">
        <v>5734.25255677927</v>
      </c>
      <c r="G14" s="238">
        <v>0.15858308443461899</v>
      </c>
      <c r="H14" s="238">
        <v>3.9645771108654899</v>
      </c>
      <c r="I14" s="238">
        <v>0.13457358442838099</v>
      </c>
      <c r="J14" s="238">
        <v>40.102928159657502</v>
      </c>
      <c r="K14" s="238">
        <v>0</v>
      </c>
      <c r="L14" s="238">
        <v>0</v>
      </c>
      <c r="M14" s="238">
        <v>0</v>
      </c>
      <c r="N14" s="238">
        <v>0</v>
      </c>
      <c r="O14" s="238">
        <v>5778.3200620497901</v>
      </c>
    </row>
    <row r="15" spans="1:16" s="237" customFormat="1" ht="12" x14ac:dyDescent="0.2">
      <c r="A15" s="235"/>
      <c r="B15" s="230"/>
      <c r="C15" s="236" t="s">
        <v>730</v>
      </c>
      <c r="F15" s="238">
        <v>3209.2410781195599</v>
      </c>
      <c r="G15" s="238">
        <v>6.4131682992271899E-2</v>
      </c>
      <c r="H15" s="238">
        <v>1.6032920748068</v>
      </c>
      <c r="I15" s="238">
        <v>4.4834150973888702E-2</v>
      </c>
      <c r="J15" s="238">
        <v>13.360576990218799</v>
      </c>
      <c r="K15" s="238">
        <v>0</v>
      </c>
      <c r="L15" s="238">
        <v>0</v>
      </c>
      <c r="M15" s="238">
        <v>0</v>
      </c>
      <c r="N15" s="238">
        <v>0</v>
      </c>
      <c r="O15" s="238">
        <v>3224.2049471845799</v>
      </c>
    </row>
    <row r="16" spans="1:16" s="237" customFormat="1" ht="12" x14ac:dyDescent="0.2">
      <c r="A16" s="235"/>
      <c r="B16" s="230"/>
      <c r="C16" s="236" t="s">
        <v>731</v>
      </c>
      <c r="F16" s="238">
        <v>10234.557235267201</v>
      </c>
      <c r="G16" s="238">
        <v>0.206507513643682</v>
      </c>
      <c r="H16" s="238">
        <v>5.1626878410920503</v>
      </c>
      <c r="I16" s="238">
        <v>0.177125556342424</v>
      </c>
      <c r="J16" s="238">
        <v>52.783415790042298</v>
      </c>
      <c r="K16" s="238">
        <v>0</v>
      </c>
      <c r="L16" s="238">
        <v>0</v>
      </c>
      <c r="M16" s="238">
        <v>0</v>
      </c>
      <c r="N16" s="238">
        <v>0</v>
      </c>
      <c r="O16" s="238">
        <v>10292.503338898399</v>
      </c>
    </row>
    <row r="17" spans="1:16" s="237" customFormat="1" ht="12" x14ac:dyDescent="0.2">
      <c r="A17" s="235"/>
      <c r="B17" s="230"/>
      <c r="C17" s="236" t="s">
        <v>732</v>
      </c>
      <c r="F17" s="238">
        <v>12527.611425675799</v>
      </c>
      <c r="G17" s="238">
        <v>1.40910426051989</v>
      </c>
      <c r="H17" s="238">
        <v>35.227606512997099</v>
      </c>
      <c r="I17" s="238">
        <v>1.10370193517907</v>
      </c>
      <c r="J17" s="238">
        <v>328.90317668336399</v>
      </c>
      <c r="K17" s="238">
        <v>0</v>
      </c>
      <c r="L17" s="238">
        <v>0</v>
      </c>
      <c r="M17" s="238">
        <v>0</v>
      </c>
      <c r="N17" s="238">
        <v>0</v>
      </c>
      <c r="O17" s="238">
        <v>12891.7422088721</v>
      </c>
    </row>
    <row r="18" spans="1:16" s="237" customFormat="1" ht="12" x14ac:dyDescent="0.2">
      <c r="A18" s="235"/>
      <c r="B18" s="230"/>
      <c r="C18" s="236" t="s">
        <v>35</v>
      </c>
      <c r="F18" s="238">
        <v>4141.8918698361103</v>
      </c>
      <c r="G18" s="238">
        <v>0.180369824692905</v>
      </c>
      <c r="H18" s="238">
        <v>4.5092456173226196</v>
      </c>
      <c r="I18" s="238">
        <v>5.3327767014060903E-2</v>
      </c>
      <c r="J18" s="238">
        <v>15.8916745701901</v>
      </c>
      <c r="K18" s="238">
        <v>0</v>
      </c>
      <c r="L18" s="238">
        <v>0</v>
      </c>
      <c r="M18" s="238">
        <v>0</v>
      </c>
      <c r="N18" s="238">
        <v>0</v>
      </c>
      <c r="O18" s="238">
        <v>4162.29279002362</v>
      </c>
    </row>
    <row r="19" spans="1:16" s="237" customFormat="1" ht="12" x14ac:dyDescent="0.2">
      <c r="A19" s="235"/>
      <c r="B19" s="230"/>
      <c r="C19" s="236" t="s">
        <v>733</v>
      </c>
      <c r="F19" s="238">
        <v>19576.1835169265</v>
      </c>
      <c r="G19" s="238">
        <v>0.412718511521034</v>
      </c>
      <c r="H19" s="238">
        <v>10.317962788025801</v>
      </c>
      <c r="I19" s="238">
        <v>0.36328091968020598</v>
      </c>
      <c r="J19" s="238">
        <v>108.25771406470101</v>
      </c>
      <c r="K19" s="238">
        <v>0</v>
      </c>
      <c r="L19" s="238">
        <v>0</v>
      </c>
      <c r="M19" s="238">
        <v>0</v>
      </c>
      <c r="N19" s="238">
        <v>0</v>
      </c>
      <c r="O19" s="238">
        <v>19694.759193779199</v>
      </c>
    </row>
    <row r="20" spans="1:16" s="234" customFormat="1" ht="12.75" x14ac:dyDescent="0.2">
      <c r="A20" s="228"/>
      <c r="B20" s="229" t="s">
        <v>734</v>
      </c>
      <c r="C20" s="239"/>
      <c r="F20" s="231">
        <v>1170.2549027</v>
      </c>
      <c r="G20" s="231">
        <v>1.9181329E-2</v>
      </c>
      <c r="H20" s="231">
        <v>0.47953322500000001</v>
      </c>
      <c r="I20" s="231">
        <v>3.1859805999999997E-2</v>
      </c>
      <c r="J20" s="231">
        <v>9.4942221880000002</v>
      </c>
      <c r="K20" s="231">
        <v>0</v>
      </c>
      <c r="L20" s="231">
        <v>0</v>
      </c>
      <c r="M20" s="231">
        <v>0</v>
      </c>
      <c r="N20" s="231">
        <v>0</v>
      </c>
      <c r="O20" s="231">
        <v>1180.2286581129999</v>
      </c>
    </row>
    <row r="21" spans="1:16" s="234" customFormat="1" ht="12.75" x14ac:dyDescent="0.2">
      <c r="A21" s="228"/>
      <c r="B21" s="229" t="s">
        <v>735</v>
      </c>
      <c r="C21" s="229"/>
      <c r="F21" s="231">
        <v>28824.744072000001</v>
      </c>
      <c r="G21" s="231">
        <v>0.52062040467452797</v>
      </c>
      <c r="H21" s="231">
        <v>13.015510116863201</v>
      </c>
      <c r="I21" s="231">
        <v>0.63334836256745297</v>
      </c>
      <c r="J21" s="231">
        <v>188.73781204510101</v>
      </c>
      <c r="K21" s="231">
        <v>0</v>
      </c>
      <c r="L21" s="231">
        <v>0</v>
      </c>
      <c r="M21" s="231">
        <v>0</v>
      </c>
      <c r="N21" s="231">
        <v>0</v>
      </c>
      <c r="O21" s="231">
        <v>29026.497394162001</v>
      </c>
    </row>
    <row r="22" spans="1:16" s="234" customFormat="1" ht="12.75" x14ac:dyDescent="0.2">
      <c r="A22" s="228"/>
      <c r="B22" s="229" t="s">
        <v>181</v>
      </c>
      <c r="C22" s="229"/>
      <c r="F22" s="231">
        <v>42309.4009257</v>
      </c>
      <c r="G22" s="231">
        <v>177.79452001651899</v>
      </c>
      <c r="H22" s="231">
        <v>4444.86300041297</v>
      </c>
      <c r="I22" s="231">
        <v>2.55824156231535</v>
      </c>
      <c r="J22" s="231">
        <v>762.35598556997502</v>
      </c>
      <c r="K22" s="231">
        <v>0</v>
      </c>
      <c r="L22" s="231">
        <v>0</v>
      </c>
      <c r="M22" s="231">
        <v>0</v>
      </c>
      <c r="N22" s="231">
        <v>0</v>
      </c>
      <c r="O22" s="231">
        <v>47516.619911682901</v>
      </c>
    </row>
    <row r="23" spans="1:16" s="234" customFormat="1" ht="12.75" x14ac:dyDescent="0.2">
      <c r="A23" s="228"/>
      <c r="B23" s="229" t="s">
        <v>736</v>
      </c>
      <c r="C23" s="229"/>
      <c r="F23" s="231">
        <v>2743.7898944339399</v>
      </c>
      <c r="G23" s="231">
        <v>4.3879186770863103E-2</v>
      </c>
      <c r="H23" s="231">
        <v>1.0969796692715801</v>
      </c>
      <c r="I23" s="231">
        <v>6.8244064467027896E-2</v>
      </c>
      <c r="J23" s="231">
        <v>20.3367312111743</v>
      </c>
      <c r="K23" s="231">
        <v>0</v>
      </c>
      <c r="L23" s="231">
        <v>0</v>
      </c>
      <c r="M23" s="231">
        <v>0</v>
      </c>
      <c r="N23" s="231">
        <v>0</v>
      </c>
      <c r="O23" s="231">
        <v>2765.2236053143802</v>
      </c>
    </row>
    <row r="24" spans="1:16" s="240" customFormat="1" ht="14.25" x14ac:dyDescent="0.2">
      <c r="A24" s="224" t="s">
        <v>737</v>
      </c>
      <c r="B24" s="225" t="s">
        <v>738</v>
      </c>
      <c r="C24" s="225"/>
      <c r="F24" s="226">
        <v>153585.707701534</v>
      </c>
      <c r="G24" s="226">
        <v>35.6167230682927</v>
      </c>
      <c r="H24" s="226">
        <v>890.41807670731703</v>
      </c>
      <c r="I24" s="226">
        <v>27.1095936728167</v>
      </c>
      <c r="J24" s="226">
        <v>8078.6589144993704</v>
      </c>
      <c r="K24" s="226">
        <v>0</v>
      </c>
      <c r="L24" s="226">
        <v>0</v>
      </c>
      <c r="M24" s="226">
        <v>0</v>
      </c>
      <c r="N24" s="226">
        <v>0</v>
      </c>
      <c r="O24" s="226">
        <v>162554.784692741</v>
      </c>
      <c r="P24" s="241"/>
    </row>
    <row r="25" spans="1:16" s="234" customFormat="1" ht="12.75" x14ac:dyDescent="0.2">
      <c r="A25" s="228"/>
      <c r="B25" s="232" t="s">
        <v>739</v>
      </c>
      <c r="C25" s="229"/>
      <c r="F25" s="231">
        <v>6567.0022799116196</v>
      </c>
      <c r="G25" s="231">
        <v>0.35263406247795598</v>
      </c>
      <c r="H25" s="231">
        <v>8.8158515619488895</v>
      </c>
      <c r="I25" s="231">
        <v>0.20153155532735101</v>
      </c>
      <c r="J25" s="231">
        <v>60.056403487550497</v>
      </c>
      <c r="K25" s="231">
        <v>0</v>
      </c>
      <c r="L25" s="231">
        <v>0</v>
      </c>
      <c r="M25" s="231">
        <v>0</v>
      </c>
      <c r="N25" s="231">
        <v>0</v>
      </c>
      <c r="O25" s="231">
        <v>6635.8745349611099</v>
      </c>
    </row>
    <row r="26" spans="1:16" s="234" customFormat="1" ht="12.75" x14ac:dyDescent="0.2">
      <c r="A26" s="228"/>
      <c r="B26" s="229" t="s">
        <v>740</v>
      </c>
      <c r="C26" s="229"/>
      <c r="F26" s="231">
        <v>92776.345750187698</v>
      </c>
      <c r="G26" s="231">
        <v>11.770945037886699</v>
      </c>
      <c r="H26" s="231">
        <v>294.273625947168</v>
      </c>
      <c r="I26" s="231">
        <v>14.720368814908801</v>
      </c>
      <c r="J26" s="231">
        <v>4386.6699068428297</v>
      </c>
      <c r="K26" s="231">
        <v>0</v>
      </c>
      <c r="L26" s="231">
        <v>0</v>
      </c>
      <c r="M26" s="231">
        <v>0</v>
      </c>
      <c r="N26" s="231">
        <v>0</v>
      </c>
      <c r="O26" s="231">
        <v>97457.289282977697</v>
      </c>
    </row>
    <row r="27" spans="1:16" s="237" customFormat="1" ht="12" x14ac:dyDescent="0.2">
      <c r="A27" s="235"/>
      <c r="B27" s="230"/>
      <c r="C27" s="236" t="s">
        <v>741</v>
      </c>
      <c r="F27" s="238">
        <v>40890.138427625701</v>
      </c>
      <c r="G27" s="238">
        <v>6.1260911261807802</v>
      </c>
      <c r="H27" s="238">
        <v>153.15227815451999</v>
      </c>
      <c r="I27" s="238">
        <v>8.5520097093857004</v>
      </c>
      <c r="J27" s="238">
        <v>2548.4988933969398</v>
      </c>
      <c r="K27" s="238">
        <v>0</v>
      </c>
      <c r="L27" s="238">
        <v>0</v>
      </c>
      <c r="M27" s="238">
        <v>0</v>
      </c>
      <c r="N27" s="238">
        <v>0</v>
      </c>
      <c r="O27" s="238">
        <v>43591.789599177202</v>
      </c>
    </row>
    <row r="28" spans="1:16" s="237" customFormat="1" ht="12" x14ac:dyDescent="0.2">
      <c r="A28" s="235"/>
      <c r="B28" s="230"/>
      <c r="C28" s="236" t="s">
        <v>742</v>
      </c>
      <c r="F28" s="238">
        <v>24161.8569882638</v>
      </c>
      <c r="G28" s="238">
        <v>3.02850080449568</v>
      </c>
      <c r="H28" s="238">
        <v>75.712520112392099</v>
      </c>
      <c r="I28" s="238">
        <v>5.3742366117070404</v>
      </c>
      <c r="J28" s="238">
        <v>1601.5225102887</v>
      </c>
      <c r="K28" s="238">
        <v>0</v>
      </c>
      <c r="L28" s="238">
        <v>0</v>
      </c>
      <c r="M28" s="238">
        <v>0</v>
      </c>
      <c r="N28" s="238">
        <v>0</v>
      </c>
      <c r="O28" s="238">
        <v>25839.092018664898</v>
      </c>
    </row>
    <row r="29" spans="1:16" s="237" customFormat="1" ht="12" x14ac:dyDescent="0.2">
      <c r="A29" s="235"/>
      <c r="B29" s="230"/>
      <c r="C29" s="236" t="s">
        <v>743</v>
      </c>
      <c r="F29" s="238">
        <v>8386.2869197319396</v>
      </c>
      <c r="G29" s="238">
        <v>1.1656658530139099</v>
      </c>
      <c r="H29" s="238">
        <v>29.141646325347899</v>
      </c>
      <c r="I29" s="238">
        <v>0.19274489114729201</v>
      </c>
      <c r="J29" s="238">
        <v>57.437977561893</v>
      </c>
      <c r="K29" s="238">
        <v>0</v>
      </c>
      <c r="L29" s="238">
        <v>0</v>
      </c>
      <c r="M29" s="238">
        <v>0</v>
      </c>
      <c r="N29" s="238">
        <v>0</v>
      </c>
      <c r="O29" s="238">
        <v>8472.8665436191804</v>
      </c>
    </row>
    <row r="30" spans="1:16" s="237" customFormat="1" ht="12" x14ac:dyDescent="0.2">
      <c r="A30" s="235"/>
      <c r="B30" s="230"/>
      <c r="C30" s="236" t="s">
        <v>744</v>
      </c>
      <c r="F30" s="238">
        <v>81.4312483794169</v>
      </c>
      <c r="G30" s="238">
        <v>8.1395092619477805E-2</v>
      </c>
      <c r="H30" s="238">
        <v>2.0348773154869502</v>
      </c>
      <c r="I30" s="238">
        <v>1.69051346209684E-3</v>
      </c>
      <c r="J30" s="238">
        <v>0.503773011704859</v>
      </c>
      <c r="K30" s="238">
        <v>0</v>
      </c>
      <c r="L30" s="238">
        <v>0</v>
      </c>
      <c r="M30" s="238">
        <v>0</v>
      </c>
      <c r="N30" s="238">
        <v>0</v>
      </c>
      <c r="O30" s="238">
        <v>83.969898706608703</v>
      </c>
      <c r="P30" s="242"/>
    </row>
    <row r="31" spans="1:16" s="237" customFormat="1" ht="12" x14ac:dyDescent="0.2">
      <c r="A31" s="235"/>
      <c r="B31" s="230"/>
      <c r="C31" s="236" t="s">
        <v>745</v>
      </c>
      <c r="F31" s="238">
        <v>412.105767959731</v>
      </c>
      <c r="G31" s="238">
        <v>1.10042623365268E-2</v>
      </c>
      <c r="H31" s="238">
        <v>0.27510655841317</v>
      </c>
      <c r="I31" s="238">
        <v>3.1224830612049701E-2</v>
      </c>
      <c r="J31" s="238">
        <v>9.3049995223907995</v>
      </c>
      <c r="K31" s="238">
        <v>0</v>
      </c>
      <c r="L31" s="238">
        <v>0</v>
      </c>
      <c r="M31" s="238">
        <v>0</v>
      </c>
      <c r="N31" s="238">
        <v>0</v>
      </c>
      <c r="O31" s="238">
        <v>421.685874040535</v>
      </c>
    </row>
    <row r="32" spans="1:16" s="237" customFormat="1" ht="12" x14ac:dyDescent="0.2">
      <c r="A32" s="235"/>
      <c r="B32" s="230"/>
      <c r="C32" s="236" t="s">
        <v>746</v>
      </c>
      <c r="D32" s="243"/>
      <c r="E32" s="243"/>
      <c r="F32" s="244">
        <v>218.078924401102</v>
      </c>
      <c r="G32" s="244">
        <v>5.6281304804945299E-3</v>
      </c>
      <c r="H32" s="244">
        <v>0.140703262012363</v>
      </c>
      <c r="I32" s="244">
        <v>1.66315422756915E-2</v>
      </c>
      <c r="J32" s="244">
        <v>4.95619959815608</v>
      </c>
      <c r="K32" s="244">
        <v>0</v>
      </c>
      <c r="L32" s="244">
        <v>0</v>
      </c>
      <c r="M32" s="244">
        <v>0</v>
      </c>
      <c r="N32" s="244">
        <v>0</v>
      </c>
      <c r="O32" s="244">
        <v>223.175827261271</v>
      </c>
    </row>
    <row r="33" spans="1:15" s="237" customFormat="1" ht="12" x14ac:dyDescent="0.2">
      <c r="A33" s="235"/>
      <c r="B33" s="230"/>
      <c r="C33" s="236" t="s">
        <v>747</v>
      </c>
      <c r="D33" s="243"/>
      <c r="E33" s="243"/>
      <c r="F33" s="244">
        <v>17571.584125629</v>
      </c>
      <c r="G33" s="244">
        <v>0.89646940000698905</v>
      </c>
      <c r="H33" s="244">
        <v>22.411735000174701</v>
      </c>
      <c r="I33" s="244">
        <v>0.53230740338058302</v>
      </c>
      <c r="J33" s="244">
        <v>158.627606207414</v>
      </c>
      <c r="K33" s="244">
        <v>0</v>
      </c>
      <c r="L33" s="244">
        <v>0</v>
      </c>
      <c r="M33" s="244">
        <v>0</v>
      </c>
      <c r="N33" s="244">
        <v>0</v>
      </c>
      <c r="O33" s="244">
        <v>17752.623466836601</v>
      </c>
    </row>
    <row r="34" spans="1:15" s="237" customFormat="1" ht="12" x14ac:dyDescent="0.2">
      <c r="A34" s="235"/>
      <c r="B34" s="230"/>
      <c r="C34" s="245" t="s">
        <v>748</v>
      </c>
      <c r="D34" s="243"/>
      <c r="E34" s="243"/>
      <c r="F34" s="244">
        <v>1054.86334819698</v>
      </c>
      <c r="G34" s="244">
        <v>0.456190368752869</v>
      </c>
      <c r="H34" s="244">
        <v>11.404759218821701</v>
      </c>
      <c r="I34" s="244">
        <v>1.9523312938361001E-2</v>
      </c>
      <c r="J34" s="244">
        <v>5.8179472556315703</v>
      </c>
      <c r="K34" s="244">
        <v>0</v>
      </c>
      <c r="L34" s="244">
        <v>0</v>
      </c>
      <c r="M34" s="244">
        <v>0</v>
      </c>
      <c r="N34" s="244">
        <v>0</v>
      </c>
      <c r="O34" s="244">
        <v>1072.08605467143</v>
      </c>
    </row>
    <row r="35" spans="1:15" s="249" customFormat="1" ht="12.75" x14ac:dyDescent="0.2">
      <c r="A35" s="228"/>
      <c r="B35" s="229" t="s">
        <v>749</v>
      </c>
      <c r="C35" s="246"/>
      <c r="D35" s="247"/>
      <c r="E35" s="247"/>
      <c r="F35" s="248">
        <v>5626.9662099999996</v>
      </c>
      <c r="G35" s="248">
        <v>0.315863159</v>
      </c>
      <c r="H35" s="248">
        <v>7.8965789749999997</v>
      </c>
      <c r="I35" s="248">
        <v>2.177573169</v>
      </c>
      <c r="J35" s="248">
        <v>648.91680436199999</v>
      </c>
      <c r="K35" s="248">
        <v>0</v>
      </c>
      <c r="L35" s="248">
        <v>0</v>
      </c>
      <c r="M35" s="248">
        <v>0</v>
      </c>
      <c r="N35" s="248">
        <v>0</v>
      </c>
      <c r="O35" s="248">
        <v>6283.7795933369998</v>
      </c>
    </row>
    <row r="36" spans="1:15" s="249" customFormat="1" ht="12.75" x14ac:dyDescent="0.2">
      <c r="A36" s="228"/>
      <c r="B36" s="232" t="s">
        <v>750</v>
      </c>
      <c r="C36" s="246"/>
      <c r="D36" s="247"/>
      <c r="E36" s="247"/>
      <c r="F36" s="248">
        <v>4057.5261439999999</v>
      </c>
      <c r="G36" s="248">
        <v>0.37669983239999999</v>
      </c>
      <c r="H36" s="248">
        <v>9.4174958100000001</v>
      </c>
      <c r="I36" s="248">
        <v>0.10760178719999999</v>
      </c>
      <c r="J36" s="248">
        <v>32.065332585599997</v>
      </c>
      <c r="K36" s="248">
        <v>0</v>
      </c>
      <c r="L36" s="248">
        <v>0</v>
      </c>
      <c r="M36" s="248">
        <v>0</v>
      </c>
      <c r="N36" s="248">
        <v>0</v>
      </c>
      <c r="O36" s="248">
        <v>4099.0089723955998</v>
      </c>
    </row>
    <row r="37" spans="1:15" s="234" customFormat="1" ht="12.75" x14ac:dyDescent="0.2">
      <c r="A37" s="228"/>
      <c r="B37" s="229" t="s">
        <v>751</v>
      </c>
      <c r="C37" s="250"/>
      <c r="D37" s="251"/>
      <c r="E37" s="251"/>
      <c r="F37" s="252">
        <v>44557.8673174348</v>
      </c>
      <c r="G37" s="252">
        <v>22.800580976528</v>
      </c>
      <c r="H37" s="252">
        <v>570.01452441319998</v>
      </c>
      <c r="I37" s="252">
        <v>9.9025183463805195</v>
      </c>
      <c r="J37" s="252">
        <v>2950.9504672213902</v>
      </c>
      <c r="K37" s="252">
        <v>0</v>
      </c>
      <c r="L37" s="252">
        <v>0</v>
      </c>
      <c r="M37" s="252">
        <v>0</v>
      </c>
      <c r="N37" s="252">
        <v>0</v>
      </c>
      <c r="O37" s="252">
        <v>48078.832309069403</v>
      </c>
    </row>
    <row r="38" spans="1:15" s="237" customFormat="1" ht="12" x14ac:dyDescent="0.2">
      <c r="A38" s="235"/>
      <c r="B38" s="230"/>
      <c r="C38" s="236" t="s">
        <v>752</v>
      </c>
      <c r="F38" s="238">
        <v>11406.0311387866</v>
      </c>
      <c r="G38" s="238">
        <v>0.65893420794208901</v>
      </c>
      <c r="H38" s="238">
        <v>16.473355198552198</v>
      </c>
      <c r="I38" s="238">
        <v>4.4078721360708704</v>
      </c>
      <c r="J38" s="238">
        <v>1313.54589654912</v>
      </c>
      <c r="K38" s="238">
        <v>0</v>
      </c>
      <c r="L38" s="238">
        <v>0</v>
      </c>
      <c r="M38" s="238">
        <v>0</v>
      </c>
      <c r="N38" s="238">
        <v>0</v>
      </c>
      <c r="O38" s="238">
        <v>12736.050390534199</v>
      </c>
    </row>
    <row r="39" spans="1:15" s="237" customFormat="1" ht="12" x14ac:dyDescent="0.2">
      <c r="A39" s="235"/>
      <c r="B39" s="230"/>
      <c r="C39" s="236" t="s">
        <v>753</v>
      </c>
      <c r="F39" s="238">
        <v>1602.50426513666</v>
      </c>
      <c r="G39" s="238">
        <v>0.81151350368068997</v>
      </c>
      <c r="H39" s="238">
        <v>20.287837592017301</v>
      </c>
      <c r="I39" s="238">
        <v>0.49661146198247902</v>
      </c>
      <c r="J39" s="238">
        <v>147.99021567077901</v>
      </c>
      <c r="K39" s="238">
        <v>0</v>
      </c>
      <c r="L39" s="238">
        <v>0</v>
      </c>
      <c r="M39" s="238">
        <v>0</v>
      </c>
      <c r="N39" s="238">
        <v>0</v>
      </c>
      <c r="O39" s="238">
        <v>1770.7823183994501</v>
      </c>
    </row>
    <row r="40" spans="1:15" s="237" customFormat="1" ht="12" x14ac:dyDescent="0.2">
      <c r="A40" s="235"/>
      <c r="B40" s="230"/>
      <c r="C40" s="236" t="s">
        <v>754</v>
      </c>
      <c r="F40" s="238">
        <v>10435.898613036299</v>
      </c>
      <c r="G40" s="238">
        <v>0.910914562677554</v>
      </c>
      <c r="H40" s="238">
        <v>22.772864066938901</v>
      </c>
      <c r="I40" s="238">
        <v>3.7308320995987501</v>
      </c>
      <c r="J40" s="238">
        <v>1111.78796568043</v>
      </c>
      <c r="K40" s="238">
        <v>0</v>
      </c>
      <c r="L40" s="238">
        <v>0</v>
      </c>
      <c r="M40" s="238">
        <v>0</v>
      </c>
      <c r="N40" s="238">
        <v>0</v>
      </c>
      <c r="O40" s="238">
        <v>11570.4594427837</v>
      </c>
    </row>
    <row r="41" spans="1:15" s="237" customFormat="1" ht="12" x14ac:dyDescent="0.2">
      <c r="A41" s="235"/>
      <c r="B41" s="230"/>
      <c r="C41" s="236" t="s">
        <v>755</v>
      </c>
      <c r="F41" s="238">
        <v>258.66157638998902</v>
      </c>
      <c r="G41" s="238">
        <v>9.7890913704219804E-2</v>
      </c>
      <c r="H41" s="238">
        <v>2.4472728426054999</v>
      </c>
      <c r="I41" s="238">
        <v>7.2843833096873506E-2</v>
      </c>
      <c r="J41" s="238">
        <v>21.707462262868301</v>
      </c>
      <c r="K41" s="238">
        <v>0</v>
      </c>
      <c r="L41" s="238">
        <v>0</v>
      </c>
      <c r="M41" s="238">
        <v>0</v>
      </c>
      <c r="N41" s="238">
        <v>0</v>
      </c>
      <c r="O41" s="238">
        <v>282.81631149546303</v>
      </c>
    </row>
    <row r="42" spans="1:15" s="237" customFormat="1" ht="12" x14ac:dyDescent="0.2">
      <c r="A42" s="235"/>
      <c r="B42" s="230"/>
      <c r="C42" s="236" t="s">
        <v>756</v>
      </c>
      <c r="F42" s="238">
        <v>9204.6953000852409</v>
      </c>
      <c r="G42" s="238">
        <v>8.6899560295234295</v>
      </c>
      <c r="H42" s="238">
        <v>217.24890073808601</v>
      </c>
      <c r="I42" s="238">
        <v>0.87414556563154999</v>
      </c>
      <c r="J42" s="238">
        <v>260.49537855820199</v>
      </c>
      <c r="K42" s="238">
        <v>0</v>
      </c>
      <c r="L42" s="238">
        <v>0</v>
      </c>
      <c r="M42" s="238">
        <v>0</v>
      </c>
      <c r="N42" s="238">
        <v>0</v>
      </c>
      <c r="O42" s="238">
        <v>9682.4395793815202</v>
      </c>
    </row>
    <row r="43" spans="1:15" s="237" customFormat="1" ht="12" x14ac:dyDescent="0.2">
      <c r="A43" s="235"/>
      <c r="B43" s="230"/>
      <c r="C43" s="253" t="s">
        <v>757</v>
      </c>
      <c r="F43" s="238">
        <v>11650.076424000001</v>
      </c>
      <c r="G43" s="238">
        <v>11.631371759</v>
      </c>
      <c r="H43" s="238">
        <v>290.78429397500003</v>
      </c>
      <c r="I43" s="238">
        <v>0.32021325</v>
      </c>
      <c r="J43" s="238">
        <v>95.423548499999995</v>
      </c>
      <c r="K43" s="238">
        <v>0</v>
      </c>
      <c r="L43" s="238">
        <v>0</v>
      </c>
      <c r="M43" s="238">
        <v>0</v>
      </c>
      <c r="N43" s="238">
        <v>0</v>
      </c>
      <c r="O43" s="238">
        <v>12036.284266475001</v>
      </c>
    </row>
    <row r="44" spans="1:15" s="240" customFormat="1" ht="12.75" x14ac:dyDescent="0.2">
      <c r="A44" s="224" t="s">
        <v>758</v>
      </c>
      <c r="B44" s="225" t="s">
        <v>759</v>
      </c>
      <c r="C44" s="225"/>
      <c r="F44" s="226">
        <v>14879.7247295995</v>
      </c>
      <c r="G44" s="226">
        <v>1968.8783805472001</v>
      </c>
      <c r="H44" s="226">
        <v>49221.959513679998</v>
      </c>
      <c r="I44" s="226">
        <v>0.122537496314054</v>
      </c>
      <c r="J44" s="226">
        <v>36.516173901587997</v>
      </c>
      <c r="K44" s="226">
        <v>0</v>
      </c>
      <c r="L44" s="226">
        <v>0</v>
      </c>
      <c r="M44" s="226">
        <v>0</v>
      </c>
      <c r="N44" s="226">
        <v>0</v>
      </c>
      <c r="O44" s="226">
        <v>64138.200417181099</v>
      </c>
    </row>
    <row r="45" spans="1:15" s="234" customFormat="1" ht="12.75" x14ac:dyDescent="0.2">
      <c r="A45" s="228"/>
      <c r="B45" s="229" t="s">
        <v>760</v>
      </c>
      <c r="C45" s="229"/>
      <c r="F45" s="231">
        <v>0</v>
      </c>
      <c r="G45" s="231">
        <v>91.809548497032793</v>
      </c>
      <c r="H45" s="231">
        <v>2295.2387124258198</v>
      </c>
      <c r="I45" s="231">
        <v>0</v>
      </c>
      <c r="J45" s="231">
        <v>0</v>
      </c>
      <c r="K45" s="231">
        <v>0</v>
      </c>
      <c r="L45" s="231">
        <v>0</v>
      </c>
      <c r="M45" s="231">
        <v>0</v>
      </c>
      <c r="N45" s="231">
        <v>0</v>
      </c>
      <c r="O45" s="231">
        <v>2295.2387124258198</v>
      </c>
    </row>
    <row r="46" spans="1:15" s="234" customFormat="1" ht="12.75" x14ac:dyDescent="0.2">
      <c r="A46" s="228"/>
      <c r="B46" s="229" t="s">
        <v>761</v>
      </c>
      <c r="C46" s="229"/>
      <c r="F46" s="231">
        <v>14879.7247295995</v>
      </c>
      <c r="G46" s="231">
        <v>1877.0688320501699</v>
      </c>
      <c r="H46" s="231">
        <v>46926.720801254203</v>
      </c>
      <c r="I46" s="231">
        <v>0.122537496314054</v>
      </c>
      <c r="J46" s="231">
        <v>36.516173901587997</v>
      </c>
      <c r="K46" s="231">
        <v>0</v>
      </c>
      <c r="L46" s="231">
        <v>0</v>
      </c>
      <c r="M46" s="231">
        <v>0</v>
      </c>
      <c r="N46" s="231">
        <v>0</v>
      </c>
      <c r="O46" s="231">
        <v>61842.961704755202</v>
      </c>
    </row>
    <row r="47" spans="1:15" s="237" customFormat="1" ht="12" x14ac:dyDescent="0.2">
      <c r="A47" s="254"/>
      <c r="B47" s="255"/>
      <c r="C47" s="230" t="s">
        <v>762</v>
      </c>
      <c r="F47" s="238">
        <v>120.867164014837</v>
      </c>
      <c r="G47" s="238">
        <v>238.140786412278</v>
      </c>
      <c r="H47" s="238">
        <v>5953.5196603069398</v>
      </c>
      <c r="I47" s="238">
        <v>0.113</v>
      </c>
      <c r="J47" s="238">
        <v>33.673999999999999</v>
      </c>
      <c r="K47" s="238">
        <v>0</v>
      </c>
      <c r="L47" s="238">
        <v>0</v>
      </c>
      <c r="M47" s="238">
        <v>0</v>
      </c>
      <c r="N47" s="238">
        <v>0</v>
      </c>
      <c r="O47" s="238">
        <v>6108.0608243217703</v>
      </c>
    </row>
    <row r="48" spans="1:15" s="237" customFormat="1" ht="12" x14ac:dyDescent="0.2">
      <c r="A48" s="254"/>
      <c r="B48" s="255"/>
      <c r="C48" s="230" t="s">
        <v>763</v>
      </c>
      <c r="F48" s="238">
        <v>39.413331731286398</v>
      </c>
      <c r="G48" s="238">
        <v>680.95984294443804</v>
      </c>
      <c r="H48" s="238">
        <v>17023.996073611001</v>
      </c>
      <c r="I48" s="238">
        <v>0</v>
      </c>
      <c r="J48" s="238">
        <v>0</v>
      </c>
      <c r="K48" s="238">
        <v>0</v>
      </c>
      <c r="L48" s="238">
        <v>0</v>
      </c>
      <c r="M48" s="238">
        <v>0</v>
      </c>
      <c r="N48" s="238">
        <v>0</v>
      </c>
      <c r="O48" s="238">
        <v>17063.409405342201</v>
      </c>
    </row>
    <row r="49" spans="1:16" s="237" customFormat="1" ht="12" x14ac:dyDescent="0.2">
      <c r="A49" s="256"/>
      <c r="B49" s="257"/>
      <c r="C49" s="258" t="s">
        <v>380</v>
      </c>
      <c r="D49" s="243"/>
      <c r="E49" s="243"/>
      <c r="F49" s="244">
        <v>9579.3942879089609</v>
      </c>
      <c r="G49" s="244">
        <v>950.44547597615303</v>
      </c>
      <c r="H49" s="244">
        <v>23761.136899403798</v>
      </c>
      <c r="I49" s="244">
        <v>0</v>
      </c>
      <c r="J49" s="244">
        <v>0</v>
      </c>
      <c r="K49" s="244">
        <v>0</v>
      </c>
      <c r="L49" s="244">
        <v>0</v>
      </c>
      <c r="M49" s="244">
        <v>0</v>
      </c>
      <c r="N49" s="244">
        <v>0</v>
      </c>
      <c r="O49" s="244">
        <v>33340.531187312801</v>
      </c>
    </row>
    <row r="50" spans="1:16" s="237" customFormat="1" ht="12" x14ac:dyDescent="0.2">
      <c r="A50" s="256"/>
      <c r="B50" s="257"/>
      <c r="C50" s="258" t="s">
        <v>381</v>
      </c>
      <c r="D50" s="243"/>
      <c r="E50" s="243"/>
      <c r="F50" s="244">
        <v>5140.0499459443799</v>
      </c>
      <c r="G50" s="244">
        <v>7.5227267172982</v>
      </c>
      <c r="H50" s="244">
        <v>188.068167932455</v>
      </c>
      <c r="I50" s="244">
        <v>9.5374963140536402E-3</v>
      </c>
      <c r="J50" s="244">
        <v>2.8421739015879899</v>
      </c>
      <c r="K50" s="244">
        <v>0</v>
      </c>
      <c r="L50" s="244">
        <v>0</v>
      </c>
      <c r="M50" s="244">
        <v>0</v>
      </c>
      <c r="N50" s="244">
        <v>0</v>
      </c>
      <c r="O50" s="244">
        <v>5330.96028777842</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36261.641044694799</v>
      </c>
      <c r="G52" s="266">
        <v>4.1006241541725004</v>
      </c>
      <c r="H52" s="266">
        <v>102.515603854312</v>
      </c>
      <c r="I52" s="266">
        <v>38.578906528194601</v>
      </c>
      <c r="J52" s="266">
        <v>11496.514145401999</v>
      </c>
      <c r="K52" s="266">
        <v>458.974856458803</v>
      </c>
      <c r="L52" s="266">
        <v>6349.2200831987702</v>
      </c>
      <c r="M52" s="266">
        <v>2275.1600333750998</v>
      </c>
      <c r="N52" s="266">
        <v>0.28110183599999999</v>
      </c>
      <c r="O52" s="266">
        <v>56944.306868819796</v>
      </c>
    </row>
    <row r="53" spans="1:16" s="240" customFormat="1" ht="12.75" x14ac:dyDescent="0.2">
      <c r="A53" s="224" t="s">
        <v>724</v>
      </c>
      <c r="B53" s="225" t="s">
        <v>767</v>
      </c>
      <c r="C53" s="225"/>
      <c r="D53" s="268"/>
      <c r="E53" s="268"/>
      <c r="F53" s="269">
        <v>9073.6833942474295</v>
      </c>
      <c r="G53" s="269">
        <v>0</v>
      </c>
      <c r="H53" s="269">
        <v>0</v>
      </c>
      <c r="I53" s="269">
        <v>0</v>
      </c>
      <c r="J53" s="269">
        <v>0</v>
      </c>
      <c r="K53" s="269">
        <v>0</v>
      </c>
      <c r="L53" s="269">
        <v>0</v>
      </c>
      <c r="M53" s="269">
        <v>0</v>
      </c>
      <c r="N53" s="269">
        <v>0</v>
      </c>
      <c r="O53" s="269">
        <v>9073.6833942474295</v>
      </c>
    </row>
    <row r="54" spans="1:16" s="273" customFormat="1" ht="12" x14ac:dyDescent="0.2">
      <c r="A54" s="235"/>
      <c r="B54" s="270"/>
      <c r="C54" s="236" t="s">
        <v>560</v>
      </c>
      <c r="D54" s="271"/>
      <c r="E54" s="271"/>
      <c r="F54" s="272">
        <v>6464.3491498585099</v>
      </c>
      <c r="G54" s="272">
        <v>0</v>
      </c>
      <c r="H54" s="272">
        <v>0</v>
      </c>
      <c r="I54" s="272">
        <v>0</v>
      </c>
      <c r="J54" s="272">
        <v>0</v>
      </c>
      <c r="K54" s="272">
        <v>0</v>
      </c>
      <c r="L54" s="272">
        <v>0</v>
      </c>
      <c r="M54" s="272">
        <v>0</v>
      </c>
      <c r="N54" s="272">
        <v>0</v>
      </c>
      <c r="O54" s="272">
        <v>6464.3491498585099</v>
      </c>
      <c r="P54" s="271"/>
    </row>
    <row r="55" spans="1:16" s="273" customFormat="1" ht="12" x14ac:dyDescent="0.2">
      <c r="A55" s="235"/>
      <c r="B55" s="270"/>
      <c r="C55" s="236" t="s">
        <v>191</v>
      </c>
      <c r="D55" s="271"/>
      <c r="E55" s="271"/>
      <c r="F55" s="272">
        <v>1855.2831449610901</v>
      </c>
      <c r="G55" s="272">
        <v>0</v>
      </c>
      <c r="H55" s="272">
        <v>0</v>
      </c>
      <c r="I55" s="272">
        <v>0</v>
      </c>
      <c r="J55" s="272">
        <v>0</v>
      </c>
      <c r="K55" s="272">
        <v>0</v>
      </c>
      <c r="L55" s="272">
        <v>0</v>
      </c>
      <c r="M55" s="272">
        <v>0</v>
      </c>
      <c r="N55" s="272">
        <v>0</v>
      </c>
      <c r="O55" s="272">
        <v>1855.2831449610901</v>
      </c>
      <c r="P55" s="271"/>
    </row>
    <row r="56" spans="1:16" s="273" customFormat="1" ht="12" x14ac:dyDescent="0.2">
      <c r="A56" s="235"/>
      <c r="B56" s="270"/>
      <c r="C56" s="236" t="s">
        <v>768</v>
      </c>
      <c r="D56" s="271"/>
      <c r="E56" s="271"/>
      <c r="F56" s="272">
        <v>754.05109942782997</v>
      </c>
      <c r="G56" s="272">
        <v>0</v>
      </c>
      <c r="H56" s="272">
        <v>0</v>
      </c>
      <c r="I56" s="272">
        <v>0</v>
      </c>
      <c r="J56" s="272">
        <v>0</v>
      </c>
      <c r="K56" s="272">
        <v>0</v>
      </c>
      <c r="L56" s="272">
        <v>0</v>
      </c>
      <c r="M56" s="272">
        <v>0</v>
      </c>
      <c r="N56" s="272">
        <v>0</v>
      </c>
      <c r="O56" s="272">
        <v>754.05109942782997</v>
      </c>
      <c r="P56" s="271"/>
    </row>
    <row r="57" spans="1:16" s="275" customFormat="1" ht="12.75" x14ac:dyDescent="0.2">
      <c r="A57" s="224" t="s">
        <v>737</v>
      </c>
      <c r="B57" s="225" t="s">
        <v>769</v>
      </c>
      <c r="C57" s="225"/>
      <c r="D57" s="274"/>
      <c r="E57" s="274"/>
      <c r="F57" s="269">
        <v>6613.0261286744199</v>
      </c>
      <c r="G57" s="269">
        <v>3.9985296241724999</v>
      </c>
      <c r="H57" s="269">
        <v>99.963240604312503</v>
      </c>
      <c r="I57" s="269">
        <v>37.893162867160598</v>
      </c>
      <c r="J57" s="269">
        <v>11292.162534413799</v>
      </c>
      <c r="K57" s="269">
        <v>0</v>
      </c>
      <c r="L57" s="269">
        <v>0</v>
      </c>
      <c r="M57" s="269">
        <v>0</v>
      </c>
      <c r="N57" s="269">
        <v>0</v>
      </c>
      <c r="O57" s="269">
        <v>18005.1519036926</v>
      </c>
      <c r="P57" s="274"/>
    </row>
    <row r="58" spans="1:16" s="277" customFormat="1" ht="12" x14ac:dyDescent="0.2">
      <c r="A58" s="235"/>
      <c r="B58" s="270"/>
      <c r="C58" s="236" t="s">
        <v>192</v>
      </c>
      <c r="D58" s="276"/>
      <c r="E58" s="276"/>
      <c r="F58" s="272">
        <v>2935.8513287271599</v>
      </c>
      <c r="G58" s="272">
        <v>0</v>
      </c>
      <c r="H58" s="272">
        <v>0</v>
      </c>
      <c r="I58" s="272">
        <v>0</v>
      </c>
      <c r="J58" s="272">
        <v>0</v>
      </c>
      <c r="K58" s="272">
        <v>0</v>
      </c>
      <c r="L58" s="272">
        <v>0</v>
      </c>
      <c r="M58" s="272">
        <v>0</v>
      </c>
      <c r="N58" s="272">
        <v>0</v>
      </c>
      <c r="O58" s="272">
        <v>2935.8513287271599</v>
      </c>
      <c r="P58" s="276"/>
    </row>
    <row r="59" spans="1:16" s="277" customFormat="1" ht="12" x14ac:dyDescent="0.2">
      <c r="A59" s="235"/>
      <c r="B59" s="270"/>
      <c r="C59" s="236" t="s">
        <v>190</v>
      </c>
      <c r="D59" s="276"/>
      <c r="E59" s="276"/>
      <c r="F59" s="272">
        <v>0</v>
      </c>
      <c r="G59" s="272">
        <v>0</v>
      </c>
      <c r="H59" s="272">
        <v>0</v>
      </c>
      <c r="I59" s="272">
        <v>3.23805431108805</v>
      </c>
      <c r="J59" s="272">
        <v>964.94018470423703</v>
      </c>
      <c r="K59" s="272">
        <v>0</v>
      </c>
      <c r="L59" s="272">
        <v>0</v>
      </c>
      <c r="M59" s="272">
        <v>0</v>
      </c>
      <c r="N59" s="272">
        <v>0</v>
      </c>
      <c r="O59" s="272">
        <v>964.94018470423703</v>
      </c>
      <c r="P59" s="276"/>
    </row>
    <row r="60" spans="1:16" s="277" customFormat="1" ht="12" x14ac:dyDescent="0.2">
      <c r="A60" s="235"/>
      <c r="B60" s="270"/>
      <c r="C60" s="236" t="s">
        <v>770</v>
      </c>
      <c r="D60" s="276"/>
      <c r="E60" s="276"/>
      <c r="F60" s="272">
        <v>0</v>
      </c>
      <c r="G60" s="272">
        <v>0</v>
      </c>
      <c r="H60" s="272">
        <v>0</v>
      </c>
      <c r="I60" s="272">
        <v>34.6</v>
      </c>
      <c r="J60" s="272">
        <v>10310.799999999999</v>
      </c>
      <c r="K60" s="272">
        <v>0</v>
      </c>
      <c r="L60" s="272">
        <v>0</v>
      </c>
      <c r="M60" s="272">
        <v>0</v>
      </c>
      <c r="N60" s="272">
        <v>0</v>
      </c>
      <c r="O60" s="272">
        <v>10310.799999999999</v>
      </c>
      <c r="P60" s="276"/>
    </row>
    <row r="61" spans="1:16" s="277" customFormat="1" ht="12" x14ac:dyDescent="0.2">
      <c r="A61" s="235"/>
      <c r="B61" s="270"/>
      <c r="C61" s="236" t="s">
        <v>771</v>
      </c>
      <c r="D61" s="276"/>
      <c r="E61" s="276"/>
      <c r="F61" s="272">
        <v>3677.17479994727</v>
      </c>
      <c r="G61" s="272">
        <v>3.9985296241724999</v>
      </c>
      <c r="H61" s="272">
        <v>99.963240604312503</v>
      </c>
      <c r="I61" s="272">
        <v>5.51085560725161E-2</v>
      </c>
      <c r="J61" s="272">
        <v>16.422349709609801</v>
      </c>
      <c r="K61" s="272">
        <v>0</v>
      </c>
      <c r="L61" s="272">
        <v>0</v>
      </c>
      <c r="M61" s="272">
        <v>0</v>
      </c>
      <c r="N61" s="272">
        <v>0</v>
      </c>
      <c r="O61" s="272">
        <v>3793.5603902611902</v>
      </c>
      <c r="P61" s="276"/>
    </row>
    <row r="62" spans="1:16" s="240" customFormat="1" ht="12.75" x14ac:dyDescent="0.2">
      <c r="A62" s="224" t="s">
        <v>758</v>
      </c>
      <c r="B62" s="225" t="s">
        <v>772</v>
      </c>
      <c r="C62" s="225"/>
      <c r="D62" s="268"/>
      <c r="E62" s="268"/>
      <c r="F62" s="269">
        <v>15107.6185170801</v>
      </c>
      <c r="G62" s="269">
        <v>0.10209453</v>
      </c>
      <c r="H62" s="269">
        <v>2.55236325</v>
      </c>
      <c r="I62" s="269">
        <v>0</v>
      </c>
      <c r="J62" s="269">
        <v>0</v>
      </c>
      <c r="K62" s="269">
        <v>0</v>
      </c>
      <c r="L62" s="269">
        <v>6314.0189534162701</v>
      </c>
      <c r="M62" s="269">
        <v>2068.6200422492102</v>
      </c>
      <c r="N62" s="269">
        <v>0</v>
      </c>
      <c r="O62" s="269">
        <v>23492.809875995601</v>
      </c>
      <c r="P62" s="268"/>
    </row>
    <row r="63" spans="1:16" s="273" customFormat="1" ht="12" x14ac:dyDescent="0.2">
      <c r="A63" s="235"/>
      <c r="B63" s="230"/>
      <c r="C63" s="230" t="s">
        <v>773</v>
      </c>
      <c r="D63" s="271"/>
      <c r="E63" s="271"/>
      <c r="F63" s="272">
        <v>11465.003301853099</v>
      </c>
      <c r="G63" s="272">
        <v>0.10209453</v>
      </c>
      <c r="H63" s="272">
        <v>2.55236325</v>
      </c>
      <c r="I63" s="272">
        <v>0</v>
      </c>
      <c r="J63" s="272">
        <v>0</v>
      </c>
      <c r="K63" s="272">
        <v>0</v>
      </c>
      <c r="L63" s="272">
        <v>0</v>
      </c>
      <c r="M63" s="272">
        <v>0</v>
      </c>
      <c r="N63" s="272">
        <v>0</v>
      </c>
      <c r="O63" s="272">
        <v>11467.5556651031</v>
      </c>
      <c r="P63" s="271"/>
    </row>
    <row r="64" spans="1:16" s="273" customFormat="1" ht="12" x14ac:dyDescent="0.2">
      <c r="A64" s="235"/>
      <c r="B64" s="230"/>
      <c r="C64" s="230" t="s">
        <v>252</v>
      </c>
      <c r="D64" s="271"/>
      <c r="E64" s="271"/>
      <c r="F64" s="272">
        <v>3642.6152152269601</v>
      </c>
      <c r="G64" s="272">
        <v>0</v>
      </c>
      <c r="H64" s="272">
        <v>0</v>
      </c>
      <c r="I64" s="272">
        <v>0</v>
      </c>
      <c r="J64" s="272">
        <v>0</v>
      </c>
      <c r="K64" s="272">
        <v>0</v>
      </c>
      <c r="L64" s="272">
        <v>6314.0189534162701</v>
      </c>
      <c r="M64" s="272">
        <v>56.3553953472803</v>
      </c>
      <c r="N64" s="272">
        <v>0</v>
      </c>
      <c r="O64" s="272">
        <v>10012.989563990501</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2012.2646469019301</v>
      </c>
      <c r="N65" s="272">
        <v>0</v>
      </c>
      <c r="O65" s="272">
        <v>2012.2646469019301</v>
      </c>
      <c r="P65" s="271"/>
    </row>
    <row r="66" spans="1:16" s="234" customFormat="1" x14ac:dyDescent="0.25">
      <c r="A66" s="278" t="s">
        <v>764</v>
      </c>
      <c r="B66" s="279" t="s">
        <v>775</v>
      </c>
      <c r="C66" s="279"/>
      <c r="D66" s="251"/>
      <c r="E66" s="251"/>
      <c r="F66" s="252">
        <v>0</v>
      </c>
      <c r="G66" s="252">
        <v>0</v>
      </c>
      <c r="H66" s="252">
        <v>0</v>
      </c>
      <c r="I66" s="252">
        <v>0</v>
      </c>
      <c r="J66" s="252">
        <v>0</v>
      </c>
      <c r="K66" s="252">
        <v>458.974856458803</v>
      </c>
      <c r="L66" s="252">
        <v>35.174950862499998</v>
      </c>
      <c r="M66" s="252">
        <v>4.3776520400255103</v>
      </c>
      <c r="N66" s="252">
        <v>0.28110183599999999</v>
      </c>
      <c r="O66" s="252">
        <v>498.808561197328</v>
      </c>
      <c r="P66" s="251"/>
    </row>
    <row r="67" spans="1:16" s="234" customFormat="1" ht="12.75" x14ac:dyDescent="0.2">
      <c r="A67" s="278" t="s">
        <v>776</v>
      </c>
      <c r="B67" s="279" t="s">
        <v>777</v>
      </c>
      <c r="C67" s="279"/>
      <c r="D67" s="251"/>
      <c r="E67" s="251"/>
      <c r="F67" s="252">
        <v>5467.31300469285</v>
      </c>
      <c r="G67" s="252">
        <v>0</v>
      </c>
      <c r="H67" s="252">
        <v>0</v>
      </c>
      <c r="I67" s="252">
        <v>0</v>
      </c>
      <c r="J67" s="252">
        <v>0</v>
      </c>
      <c r="K67" s="252">
        <v>0</v>
      </c>
      <c r="L67" s="252">
        <v>0</v>
      </c>
      <c r="M67" s="252">
        <v>0</v>
      </c>
      <c r="N67" s="252">
        <v>0</v>
      </c>
      <c r="O67" s="252">
        <v>5467.31300469285</v>
      </c>
      <c r="P67" s="251"/>
    </row>
    <row r="68" spans="1:16" s="234" customFormat="1" ht="12.75" x14ac:dyDescent="0.2">
      <c r="A68" s="259" t="s">
        <v>778</v>
      </c>
      <c r="B68" s="260" t="s">
        <v>779</v>
      </c>
      <c r="C68" s="260"/>
      <c r="D68" s="280"/>
      <c r="E68" s="280"/>
      <c r="F68" s="281">
        <v>0</v>
      </c>
      <c r="G68" s="281">
        <v>0</v>
      </c>
      <c r="H68" s="281">
        <v>0</v>
      </c>
      <c r="I68" s="281">
        <v>0.68574366103401396</v>
      </c>
      <c r="J68" s="281">
        <v>204.351610988136</v>
      </c>
      <c r="K68" s="281">
        <v>0</v>
      </c>
      <c r="L68" s="281">
        <v>2.6178920000000001E-2</v>
      </c>
      <c r="M68" s="281">
        <v>202.16233908586199</v>
      </c>
      <c r="N68" s="281">
        <v>0</v>
      </c>
      <c r="O68" s="281">
        <v>406.54012899399902</v>
      </c>
      <c r="P68" s="251"/>
    </row>
    <row r="69" spans="1:16" s="267" customFormat="1" ht="12.75" x14ac:dyDescent="0.2">
      <c r="A69" s="282" t="s">
        <v>780</v>
      </c>
      <c r="B69" s="283"/>
      <c r="C69" s="283"/>
      <c r="D69" s="284"/>
      <c r="E69" s="284"/>
      <c r="F69" s="285">
        <v>1500.9635871999999</v>
      </c>
      <c r="G69" s="285">
        <v>1247.7160949550901</v>
      </c>
      <c r="H69" s="285">
        <v>31192.902373877201</v>
      </c>
      <c r="I69" s="285">
        <v>75.4729188456499</v>
      </c>
      <c r="J69" s="285">
        <v>22490.9298160037</v>
      </c>
      <c r="K69" s="285">
        <v>0</v>
      </c>
      <c r="L69" s="285">
        <v>0</v>
      </c>
      <c r="M69" s="285">
        <v>0</v>
      </c>
      <c r="N69" s="285">
        <v>0</v>
      </c>
      <c r="O69" s="285">
        <v>55184.795777080799</v>
      </c>
      <c r="P69" s="265"/>
    </row>
    <row r="70" spans="1:16" s="234" customFormat="1" ht="12.75" x14ac:dyDescent="0.2">
      <c r="A70" s="278" t="s">
        <v>724</v>
      </c>
      <c r="B70" s="279" t="s">
        <v>27</v>
      </c>
      <c r="C70" s="279"/>
      <c r="D70" s="251"/>
      <c r="E70" s="251"/>
      <c r="F70" s="252">
        <v>0</v>
      </c>
      <c r="G70" s="252">
        <v>1091.50989657588</v>
      </c>
      <c r="H70" s="252">
        <v>27287.747414396999</v>
      </c>
      <c r="I70" s="252">
        <v>0</v>
      </c>
      <c r="J70" s="252">
        <v>0</v>
      </c>
      <c r="K70" s="252">
        <v>0</v>
      </c>
      <c r="L70" s="252">
        <v>0</v>
      </c>
      <c r="M70" s="252">
        <v>0</v>
      </c>
      <c r="N70" s="252">
        <v>0</v>
      </c>
      <c r="O70" s="252">
        <v>27287.747414396999</v>
      </c>
      <c r="P70" s="251"/>
    </row>
    <row r="71" spans="1:16" s="234" customFormat="1" ht="12.75" x14ac:dyDescent="0.2">
      <c r="A71" s="278" t="s">
        <v>737</v>
      </c>
      <c r="B71" s="279" t="s">
        <v>28</v>
      </c>
      <c r="C71" s="279"/>
      <c r="D71" s="251"/>
      <c r="E71" s="251"/>
      <c r="F71" s="252">
        <v>0</v>
      </c>
      <c r="G71" s="252">
        <v>150.43562481471099</v>
      </c>
      <c r="H71" s="252">
        <v>3760.8906203677798</v>
      </c>
      <c r="I71" s="252">
        <v>15.963759436126701</v>
      </c>
      <c r="J71" s="252">
        <v>4757.2003119657602</v>
      </c>
      <c r="K71" s="252">
        <v>0</v>
      </c>
      <c r="L71" s="252">
        <v>0</v>
      </c>
      <c r="M71" s="252">
        <v>0</v>
      </c>
      <c r="N71" s="252">
        <v>0</v>
      </c>
      <c r="O71" s="252">
        <v>8518.09093233354</v>
      </c>
      <c r="P71" s="251"/>
    </row>
    <row r="72" spans="1:16" s="234" customFormat="1" ht="12.75" x14ac:dyDescent="0.2">
      <c r="A72" s="224" t="s">
        <v>758</v>
      </c>
      <c r="B72" s="225" t="s">
        <v>781</v>
      </c>
      <c r="C72" s="225"/>
      <c r="F72" s="231">
        <v>0</v>
      </c>
      <c r="G72" s="231">
        <v>0</v>
      </c>
      <c r="H72" s="231">
        <v>0</v>
      </c>
      <c r="I72" s="231">
        <v>59.359551946739998</v>
      </c>
      <c r="J72" s="231">
        <v>17689.1464801285</v>
      </c>
      <c r="K72" s="231">
        <v>0</v>
      </c>
      <c r="L72" s="231">
        <v>0</v>
      </c>
      <c r="M72" s="231">
        <v>0</v>
      </c>
      <c r="N72" s="231">
        <v>0</v>
      </c>
      <c r="O72" s="231">
        <v>17689.1464801285</v>
      </c>
    </row>
    <row r="73" spans="1:16" s="237" customFormat="1" ht="12" x14ac:dyDescent="0.2">
      <c r="A73" s="286"/>
      <c r="B73" s="258"/>
      <c r="C73" s="258" t="s">
        <v>782</v>
      </c>
      <c r="D73" s="243"/>
      <c r="E73" s="243"/>
      <c r="F73" s="244">
        <v>0</v>
      </c>
      <c r="G73" s="244">
        <v>0</v>
      </c>
      <c r="H73" s="244">
        <v>0</v>
      </c>
      <c r="I73" s="244">
        <v>49.178188358680799</v>
      </c>
      <c r="J73" s="244">
        <v>14655.1001308869</v>
      </c>
      <c r="K73" s="244">
        <v>0</v>
      </c>
      <c r="L73" s="244">
        <v>0</v>
      </c>
      <c r="M73" s="244">
        <v>0</v>
      </c>
      <c r="N73" s="244">
        <v>0</v>
      </c>
      <c r="O73" s="244">
        <v>14655.1001308869</v>
      </c>
    </row>
    <row r="74" spans="1:16" s="237" customFormat="1" ht="12" x14ac:dyDescent="0.2">
      <c r="A74" s="286"/>
      <c r="B74" s="258"/>
      <c r="C74" s="258" t="s">
        <v>783</v>
      </c>
      <c r="D74" s="243"/>
      <c r="E74" s="243"/>
      <c r="F74" s="244">
        <v>0</v>
      </c>
      <c r="G74" s="244">
        <v>0</v>
      </c>
      <c r="H74" s="244">
        <v>0</v>
      </c>
      <c r="I74" s="244">
        <v>10.181363588059099</v>
      </c>
      <c r="J74" s="244">
        <v>3034.0463492416202</v>
      </c>
      <c r="K74" s="244">
        <v>0</v>
      </c>
      <c r="L74" s="244">
        <v>0</v>
      </c>
      <c r="M74" s="244">
        <v>0</v>
      </c>
      <c r="N74" s="244">
        <v>0</v>
      </c>
      <c r="O74" s="244">
        <v>3034.0463492416202</v>
      </c>
    </row>
    <row r="75" spans="1:16" s="234" customFormat="1" ht="12.75" x14ac:dyDescent="0.2">
      <c r="A75" s="278" t="s">
        <v>764</v>
      </c>
      <c r="B75" s="279" t="s">
        <v>193</v>
      </c>
      <c r="C75" s="287"/>
      <c r="D75" s="251"/>
      <c r="E75" s="251"/>
      <c r="F75" s="252">
        <v>0</v>
      </c>
      <c r="G75" s="252">
        <v>5.7705735644941099</v>
      </c>
      <c r="H75" s="252">
        <v>144.26433911235301</v>
      </c>
      <c r="I75" s="252">
        <v>0.14960746278318099</v>
      </c>
      <c r="J75" s="252">
        <v>44.583023909387798</v>
      </c>
      <c r="K75" s="252">
        <v>0</v>
      </c>
      <c r="L75" s="252">
        <v>0</v>
      </c>
      <c r="M75" s="252">
        <v>0</v>
      </c>
      <c r="N75" s="252">
        <v>0</v>
      </c>
      <c r="O75" s="252">
        <v>188.84736302174099</v>
      </c>
    </row>
    <row r="76" spans="1:16" s="234" customFormat="1" ht="12.75" x14ac:dyDescent="0.2">
      <c r="A76" s="259" t="s">
        <v>776</v>
      </c>
      <c r="B76" s="260" t="s">
        <v>784</v>
      </c>
      <c r="C76" s="288"/>
      <c r="D76" s="280"/>
      <c r="E76" s="280"/>
      <c r="F76" s="281">
        <v>1500.9635871999999</v>
      </c>
      <c r="G76" s="281">
        <v>0</v>
      </c>
      <c r="H76" s="281">
        <v>0</v>
      </c>
      <c r="I76" s="281">
        <v>0</v>
      </c>
      <c r="J76" s="281">
        <v>0</v>
      </c>
      <c r="K76" s="281">
        <v>0</v>
      </c>
      <c r="L76" s="281">
        <v>0</v>
      </c>
      <c r="M76" s="281">
        <v>0</v>
      </c>
      <c r="N76" s="281">
        <v>0</v>
      </c>
      <c r="O76" s="281">
        <v>1500.9635871999999</v>
      </c>
    </row>
    <row r="77" spans="1:16" s="234" customFormat="1" ht="12.75" x14ac:dyDescent="0.2">
      <c r="A77" s="220" t="s">
        <v>785</v>
      </c>
      <c r="B77" s="289"/>
      <c r="C77" s="289"/>
      <c r="F77" s="223">
        <v>579.83421237000005</v>
      </c>
      <c r="G77" s="223">
        <v>920.80150796999999</v>
      </c>
      <c r="H77" s="223">
        <v>23020.037699249999</v>
      </c>
      <c r="I77" s="223">
        <v>3.8286976799999999</v>
      </c>
      <c r="J77" s="223">
        <v>1140.9519086400001</v>
      </c>
      <c r="K77" s="223">
        <v>0</v>
      </c>
      <c r="L77" s="223">
        <v>0</v>
      </c>
      <c r="M77" s="223">
        <v>0</v>
      </c>
      <c r="N77" s="223">
        <v>0</v>
      </c>
      <c r="O77" s="223">
        <v>24740.823820260001</v>
      </c>
    </row>
    <row r="78" spans="1:16" s="234" customFormat="1" ht="12.75" x14ac:dyDescent="0.2">
      <c r="A78" s="224" t="s">
        <v>724</v>
      </c>
      <c r="B78" s="225" t="s">
        <v>786</v>
      </c>
      <c r="C78" s="225"/>
      <c r="F78" s="231">
        <v>0</v>
      </c>
      <c r="G78" s="231">
        <v>884.05680067000003</v>
      </c>
      <c r="H78" s="231">
        <v>22101.420016749998</v>
      </c>
      <c r="I78" s="231">
        <v>0</v>
      </c>
      <c r="J78" s="231">
        <v>0</v>
      </c>
      <c r="K78" s="231">
        <v>0</v>
      </c>
      <c r="L78" s="231">
        <v>0</v>
      </c>
      <c r="M78" s="231">
        <v>0</v>
      </c>
      <c r="N78" s="231">
        <v>0</v>
      </c>
      <c r="O78" s="231">
        <v>22101.420016749998</v>
      </c>
    </row>
    <row r="79" spans="1:16" s="234" customFormat="1" ht="12.75" x14ac:dyDescent="0.2">
      <c r="A79" s="224" t="s">
        <v>737</v>
      </c>
      <c r="B79" s="225" t="s">
        <v>787</v>
      </c>
      <c r="C79" s="225"/>
      <c r="F79" s="231">
        <v>0</v>
      </c>
      <c r="G79" s="231">
        <v>18.86727028</v>
      </c>
      <c r="H79" s="231">
        <v>471.681757</v>
      </c>
      <c r="I79" s="231">
        <v>1.13203622</v>
      </c>
      <c r="J79" s="231">
        <v>337.34679355999998</v>
      </c>
      <c r="K79" s="231">
        <v>0</v>
      </c>
      <c r="L79" s="231">
        <v>0</v>
      </c>
      <c r="M79" s="231">
        <v>0</v>
      </c>
      <c r="N79" s="231">
        <v>0</v>
      </c>
      <c r="O79" s="231">
        <v>809.02855055999999</v>
      </c>
    </row>
    <row r="80" spans="1:16" s="234" customFormat="1" ht="12.75" x14ac:dyDescent="0.2">
      <c r="A80" s="278" t="s">
        <v>788</v>
      </c>
      <c r="B80" s="279" t="s">
        <v>789</v>
      </c>
      <c r="C80" s="279"/>
      <c r="D80" s="251"/>
      <c r="E80" s="251"/>
      <c r="F80" s="252">
        <v>0</v>
      </c>
      <c r="G80" s="252">
        <v>15.759075770000001</v>
      </c>
      <c r="H80" s="252">
        <v>393.97689424999999</v>
      </c>
      <c r="I80" s="252">
        <v>1.8423239199999999</v>
      </c>
      <c r="J80" s="252">
        <v>549.01252815999999</v>
      </c>
      <c r="K80" s="252">
        <v>0</v>
      </c>
      <c r="L80" s="252">
        <v>0</v>
      </c>
      <c r="M80" s="252">
        <v>0</v>
      </c>
      <c r="N80" s="252">
        <v>0</v>
      </c>
      <c r="O80" s="252">
        <v>942.98942240999997</v>
      </c>
    </row>
    <row r="81" spans="1:30" s="234" customFormat="1" ht="12.75" x14ac:dyDescent="0.2">
      <c r="A81" s="259" t="s">
        <v>764</v>
      </c>
      <c r="B81" s="260" t="s">
        <v>790</v>
      </c>
      <c r="C81" s="260"/>
      <c r="D81" s="280"/>
      <c r="E81" s="280"/>
      <c r="F81" s="281">
        <v>579.83421237000005</v>
      </c>
      <c r="G81" s="281">
        <v>2.11836125</v>
      </c>
      <c r="H81" s="281">
        <v>52.959031250000002</v>
      </c>
      <c r="I81" s="281">
        <v>0.85433753999999995</v>
      </c>
      <c r="J81" s="281">
        <v>254.59258692</v>
      </c>
      <c r="K81" s="281">
        <v>0</v>
      </c>
      <c r="L81" s="281">
        <v>0</v>
      </c>
      <c r="M81" s="281">
        <v>0</v>
      </c>
      <c r="N81" s="281">
        <v>0</v>
      </c>
      <c r="O81" s="281">
        <v>887.38583054000003</v>
      </c>
    </row>
    <row r="82" spans="1:30" s="267" customFormat="1" ht="12.75" x14ac:dyDescent="0.2">
      <c r="A82" s="263" t="s">
        <v>791</v>
      </c>
      <c r="B82" s="264"/>
      <c r="C82" s="264"/>
      <c r="F82" s="223">
        <v>-77633.831097000002</v>
      </c>
      <c r="G82" s="223">
        <v>41.034309999999998</v>
      </c>
      <c r="H82" s="223">
        <v>1025.8577499999999</v>
      </c>
      <c r="I82" s="223">
        <v>1.564343</v>
      </c>
      <c r="J82" s="223">
        <v>466.17421400000001</v>
      </c>
      <c r="K82" s="223">
        <v>0</v>
      </c>
      <c r="L82" s="223">
        <v>0</v>
      </c>
      <c r="M82" s="223">
        <v>0</v>
      </c>
      <c r="N82" s="223">
        <v>0</v>
      </c>
      <c r="O82" s="223">
        <v>-76141.799132999993</v>
      </c>
    </row>
    <row r="83" spans="1:30" s="234" customFormat="1" ht="12.75" x14ac:dyDescent="0.2">
      <c r="A83" s="224" t="s">
        <v>724</v>
      </c>
      <c r="B83" s="225" t="s">
        <v>792</v>
      </c>
      <c r="C83" s="225"/>
      <c r="F83" s="231">
        <v>-241494.995593</v>
      </c>
      <c r="G83" s="231">
        <v>21.577033</v>
      </c>
      <c r="H83" s="231">
        <v>539.42582500000003</v>
      </c>
      <c r="I83" s="231">
        <v>0.863209</v>
      </c>
      <c r="J83" s="231">
        <v>257.23628200000002</v>
      </c>
      <c r="K83" s="231">
        <v>0</v>
      </c>
      <c r="L83" s="231">
        <v>0</v>
      </c>
      <c r="M83" s="231">
        <v>0</v>
      </c>
      <c r="N83" s="231">
        <v>0</v>
      </c>
      <c r="O83" s="231">
        <v>-240698.33348599999</v>
      </c>
    </row>
    <row r="84" spans="1:30" s="234" customFormat="1" ht="12.75" x14ac:dyDescent="0.2">
      <c r="A84" s="224" t="s">
        <v>737</v>
      </c>
      <c r="B84" s="225" t="s">
        <v>793</v>
      </c>
      <c r="C84" s="225"/>
      <c r="F84" s="231">
        <v>1797.144577</v>
      </c>
      <c r="G84" s="231">
        <v>5.9237989999999998</v>
      </c>
      <c r="H84" s="231">
        <v>148.09497500000001</v>
      </c>
      <c r="I84" s="231">
        <v>0.29916700000000002</v>
      </c>
      <c r="J84" s="231">
        <v>89.151765999999995</v>
      </c>
      <c r="K84" s="231">
        <v>0</v>
      </c>
      <c r="L84" s="231">
        <v>0</v>
      </c>
      <c r="M84" s="231">
        <v>0</v>
      </c>
      <c r="N84" s="231">
        <v>0</v>
      </c>
      <c r="O84" s="231">
        <v>2034.391318</v>
      </c>
    </row>
    <row r="85" spans="1:30" s="234" customFormat="1" ht="12.75" x14ac:dyDescent="0.2">
      <c r="A85" s="278" t="s">
        <v>758</v>
      </c>
      <c r="B85" s="279" t="s">
        <v>794</v>
      </c>
      <c r="C85" s="279"/>
      <c r="F85" s="231">
        <v>0</v>
      </c>
      <c r="G85" s="231">
        <v>9.1614699999999996</v>
      </c>
      <c r="H85" s="231">
        <v>229.03675000000001</v>
      </c>
      <c r="I85" s="231">
        <v>0.23751</v>
      </c>
      <c r="J85" s="231">
        <v>70.777979999999999</v>
      </c>
      <c r="K85" s="231">
        <v>0</v>
      </c>
      <c r="L85" s="231">
        <v>0</v>
      </c>
      <c r="M85" s="231">
        <v>0</v>
      </c>
      <c r="N85" s="231">
        <v>0</v>
      </c>
      <c r="O85" s="231">
        <v>299.81473</v>
      </c>
    </row>
    <row r="86" spans="1:30" s="234" customFormat="1" ht="12.75" x14ac:dyDescent="0.2">
      <c r="A86" s="278" t="s">
        <v>764</v>
      </c>
      <c r="B86" s="279" t="s">
        <v>795</v>
      </c>
      <c r="C86" s="279"/>
      <c r="F86" s="231">
        <v>2691.0201059999999</v>
      </c>
      <c r="G86" s="231">
        <v>0.30953199999999997</v>
      </c>
      <c r="H86" s="231">
        <v>7.7382999999999997</v>
      </c>
      <c r="I86" s="231">
        <v>1.8335000000000001E-2</v>
      </c>
      <c r="J86" s="231">
        <v>5.4638299999999997</v>
      </c>
      <c r="K86" s="231">
        <v>0</v>
      </c>
      <c r="L86" s="231">
        <v>0</v>
      </c>
      <c r="M86" s="231">
        <v>0</v>
      </c>
      <c r="N86" s="231">
        <v>0</v>
      </c>
      <c r="O86" s="231">
        <v>2704.2222360000001</v>
      </c>
    </row>
    <row r="87" spans="1:30" s="234" customFormat="1" ht="12.75" x14ac:dyDescent="0.2">
      <c r="A87" s="278" t="s">
        <v>776</v>
      </c>
      <c r="B87" s="279" t="s">
        <v>796</v>
      </c>
      <c r="C87" s="279"/>
      <c r="D87" s="251"/>
      <c r="E87" s="251"/>
      <c r="F87" s="252">
        <v>3258.071962</v>
      </c>
      <c r="G87" s="252">
        <v>4.0624760000000002</v>
      </c>
      <c r="H87" s="252">
        <v>101.56189999999999</v>
      </c>
      <c r="I87" s="252">
        <v>0.146122</v>
      </c>
      <c r="J87" s="252">
        <v>43.544356000000001</v>
      </c>
      <c r="K87" s="252">
        <v>0</v>
      </c>
      <c r="L87" s="252">
        <v>0</v>
      </c>
      <c r="M87" s="252">
        <v>0</v>
      </c>
      <c r="N87" s="252">
        <v>0</v>
      </c>
      <c r="O87" s="252">
        <v>3403.178218</v>
      </c>
    </row>
    <row r="88" spans="1:30" s="234" customFormat="1" ht="12.75" x14ac:dyDescent="0.2">
      <c r="A88" s="259" t="s">
        <v>778</v>
      </c>
      <c r="B88" s="260" t="s">
        <v>797</v>
      </c>
      <c r="C88" s="260"/>
      <c r="D88" s="280"/>
      <c r="E88" s="280"/>
      <c r="F88" s="281">
        <v>156114.92785099999</v>
      </c>
      <c r="G88" s="281">
        <v>0</v>
      </c>
      <c r="H88" s="281">
        <v>0</v>
      </c>
      <c r="I88" s="281">
        <v>0</v>
      </c>
      <c r="J88" s="281">
        <v>0</v>
      </c>
      <c r="K88" s="281">
        <v>0</v>
      </c>
      <c r="L88" s="281">
        <v>0</v>
      </c>
      <c r="M88" s="281">
        <v>0</v>
      </c>
      <c r="N88" s="281">
        <v>0</v>
      </c>
      <c r="O88" s="281">
        <v>156114.92785099999</v>
      </c>
      <c r="P88" s="251"/>
      <c r="Q88" s="251"/>
      <c r="R88" s="251"/>
      <c r="S88" s="251"/>
      <c r="T88" s="251"/>
      <c r="U88" s="251"/>
      <c r="V88" s="251"/>
      <c r="W88" s="251"/>
      <c r="X88" s="280"/>
      <c r="Y88" s="280"/>
      <c r="Z88" s="280"/>
      <c r="AA88" s="280"/>
      <c r="AB88" s="280"/>
      <c r="AC88" s="280"/>
      <c r="AD88" s="280"/>
    </row>
    <row r="89" spans="1:30" s="219" customFormat="1" ht="14.25" x14ac:dyDescent="0.2">
      <c r="F89" s="290"/>
      <c r="G89" s="290"/>
      <c r="H89" s="290"/>
      <c r="I89" s="290"/>
      <c r="J89" s="290"/>
      <c r="K89" s="290"/>
      <c r="L89" s="290"/>
      <c r="M89" s="290"/>
      <c r="N89" s="290"/>
      <c r="O89" s="290"/>
      <c r="P89" s="291"/>
      <c r="Q89" s="291"/>
      <c r="R89" s="291"/>
      <c r="S89" s="291"/>
      <c r="T89" s="291"/>
      <c r="U89" s="291"/>
      <c r="V89" s="291"/>
      <c r="W89" s="291"/>
    </row>
    <row r="90" spans="1:30" x14ac:dyDescent="0.2">
      <c r="A90" s="234" t="s">
        <v>256</v>
      </c>
      <c r="B90" s="292"/>
      <c r="C90" s="292"/>
      <c r="D90" s="292"/>
      <c r="E90" s="292"/>
      <c r="F90" s="292"/>
      <c r="G90" s="292"/>
      <c r="H90" s="292"/>
      <c r="I90" s="292"/>
      <c r="J90" s="292"/>
      <c r="K90" s="292"/>
      <c r="L90" s="292"/>
      <c r="M90" s="292"/>
      <c r="N90" s="292"/>
      <c r="O90" s="292"/>
    </row>
    <row r="91" spans="1:30" s="234" customFormat="1" ht="12.75" x14ac:dyDescent="0.2">
      <c r="A91" s="234" t="s">
        <v>798</v>
      </c>
      <c r="J91" s="293"/>
      <c r="O91" s="293"/>
    </row>
    <row r="92" spans="1:30" s="234" customFormat="1" ht="12.75" x14ac:dyDescent="0.2">
      <c r="A92" s="234" t="s">
        <v>799</v>
      </c>
      <c r="J92" s="293"/>
      <c r="O92" s="293"/>
    </row>
    <row r="93" spans="1:30" s="234" customFormat="1" ht="15.75" x14ac:dyDescent="0.3">
      <c r="A93" s="234" t="s">
        <v>800</v>
      </c>
      <c r="J93" s="293"/>
      <c r="O93" s="293"/>
    </row>
    <row r="94" spans="1:30" s="234" customFormat="1" ht="12.75" x14ac:dyDescent="0.2">
      <c r="A94" s="234" t="s">
        <v>801</v>
      </c>
      <c r="J94" s="293"/>
      <c r="O94" s="293"/>
    </row>
    <row r="95" spans="1:30" s="234" customFormat="1" ht="12.75" x14ac:dyDescent="0.2">
      <c r="A95" s="234" t="s">
        <v>802</v>
      </c>
      <c r="B95" s="234" t="s">
        <v>803</v>
      </c>
      <c r="J95" s="293"/>
      <c r="O95" s="293"/>
    </row>
    <row r="96" spans="1:30"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H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830</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482910.08123152098</v>
      </c>
      <c r="G7" s="218">
        <v>4276.0771479974701</v>
      </c>
      <c r="H7" s="218">
        <v>106901.92869993699</v>
      </c>
      <c r="I7" s="218">
        <v>151.397076076563</v>
      </c>
      <c r="J7" s="218">
        <v>45116.328670815899</v>
      </c>
      <c r="K7" s="218">
        <v>0</v>
      </c>
      <c r="L7" s="218">
        <v>6895.0145421352699</v>
      </c>
      <c r="M7" s="218">
        <v>2441.74421815093</v>
      </c>
      <c r="N7" s="218">
        <v>0.28977229866666698</v>
      </c>
      <c r="O7" s="218">
        <v>644265.38713485806</v>
      </c>
    </row>
    <row r="8" spans="1:16" ht="15.75" thickTop="1" x14ac:dyDescent="0.2">
      <c r="A8" s="220" t="s">
        <v>723</v>
      </c>
      <c r="B8" s="221"/>
      <c r="C8" s="221"/>
      <c r="F8" s="223">
        <v>445890.893768006</v>
      </c>
      <c r="G8" s="223">
        <v>2160.0528542320999</v>
      </c>
      <c r="H8" s="223">
        <v>54001.321355802502</v>
      </c>
      <c r="I8" s="223">
        <v>34.457463575395401</v>
      </c>
      <c r="J8" s="223">
        <v>10268.324145467799</v>
      </c>
      <c r="K8" s="223">
        <v>0</v>
      </c>
      <c r="L8" s="223">
        <v>0</v>
      </c>
      <c r="M8" s="223">
        <v>0</v>
      </c>
      <c r="N8" s="223">
        <v>0</v>
      </c>
      <c r="O8" s="223">
        <v>510160.53926927602</v>
      </c>
    </row>
    <row r="9" spans="1:16" x14ac:dyDescent="0.2">
      <c r="A9" s="224" t="s">
        <v>724</v>
      </c>
      <c r="B9" s="225" t="s">
        <v>725</v>
      </c>
      <c r="C9" s="225"/>
      <c r="F9" s="226">
        <v>281754.24738538201</v>
      </c>
      <c r="G9" s="226">
        <v>268.35164818543501</v>
      </c>
      <c r="H9" s="226">
        <v>6708.7912046358697</v>
      </c>
      <c r="I9" s="226">
        <v>8.10388228223818</v>
      </c>
      <c r="J9" s="226">
        <v>2414.9569201069799</v>
      </c>
      <c r="K9" s="226">
        <v>0</v>
      </c>
      <c r="L9" s="226">
        <v>0</v>
      </c>
      <c r="M9" s="226">
        <v>0</v>
      </c>
      <c r="N9" s="226">
        <v>0</v>
      </c>
      <c r="O9" s="226">
        <v>290877.99551012501</v>
      </c>
      <c r="P9" s="227"/>
    </row>
    <row r="10" spans="1:16" x14ac:dyDescent="0.2">
      <c r="A10" s="228"/>
      <c r="B10" s="229" t="s">
        <v>726</v>
      </c>
      <c r="C10" s="230"/>
      <c r="F10" s="231">
        <v>94740.683191478107</v>
      </c>
      <c r="G10" s="231">
        <v>2.54801372617385</v>
      </c>
      <c r="H10" s="231">
        <v>63.7003431543462</v>
      </c>
      <c r="I10" s="231">
        <v>1.79009242246203</v>
      </c>
      <c r="J10" s="231">
        <v>533.44754189368405</v>
      </c>
      <c r="K10" s="231">
        <v>0</v>
      </c>
      <c r="L10" s="231">
        <v>0</v>
      </c>
      <c r="M10" s="231">
        <v>0</v>
      </c>
      <c r="N10" s="231">
        <v>0</v>
      </c>
      <c r="O10" s="231">
        <v>95337.831076526098</v>
      </c>
    </row>
    <row r="11" spans="1:16" x14ac:dyDescent="0.2">
      <c r="A11" s="228"/>
      <c r="B11" s="232" t="s">
        <v>727</v>
      </c>
      <c r="C11" s="230"/>
      <c r="F11" s="231">
        <v>16092.4207946847</v>
      </c>
      <c r="G11" s="231">
        <v>0.39005181780304499</v>
      </c>
      <c r="H11" s="231">
        <v>9.7512954450761296</v>
      </c>
      <c r="I11" s="231">
        <v>0.16301369249669001</v>
      </c>
      <c r="J11" s="231">
        <v>48.578080364013701</v>
      </c>
      <c r="K11" s="231">
        <v>0</v>
      </c>
      <c r="L11" s="231">
        <v>0</v>
      </c>
      <c r="M11" s="231">
        <v>0</v>
      </c>
      <c r="N11" s="231">
        <v>0</v>
      </c>
      <c r="O11" s="231">
        <v>16150.7501704938</v>
      </c>
    </row>
    <row r="12" spans="1:16" s="234" customFormat="1" ht="12.75" x14ac:dyDescent="0.2">
      <c r="A12" s="228"/>
      <c r="B12" s="232" t="s">
        <v>728</v>
      </c>
      <c r="C12" s="233"/>
      <c r="F12" s="231">
        <v>42530.622623914402</v>
      </c>
      <c r="G12" s="231">
        <v>76.452892050184403</v>
      </c>
      <c r="H12" s="231">
        <v>1911.32230125461</v>
      </c>
      <c r="I12" s="231">
        <v>0.96752092945150203</v>
      </c>
      <c r="J12" s="231">
        <v>288.32123697654799</v>
      </c>
      <c r="K12" s="231">
        <v>0</v>
      </c>
      <c r="L12" s="231">
        <v>0</v>
      </c>
      <c r="M12" s="231">
        <v>0</v>
      </c>
      <c r="N12" s="231">
        <v>0</v>
      </c>
      <c r="O12" s="231">
        <v>44730.266162145497</v>
      </c>
    </row>
    <row r="13" spans="1:16" s="234" customFormat="1" ht="12.75" x14ac:dyDescent="0.2">
      <c r="A13" s="228"/>
      <c r="B13" s="229" t="s">
        <v>729</v>
      </c>
      <c r="C13" s="229"/>
      <c r="F13" s="231">
        <v>53644.201544886302</v>
      </c>
      <c r="G13" s="231">
        <v>2.4775268905702101</v>
      </c>
      <c r="H13" s="231">
        <v>61.938172264255201</v>
      </c>
      <c r="I13" s="231">
        <v>1.86805135125593</v>
      </c>
      <c r="J13" s="231">
        <v>556.67930267426595</v>
      </c>
      <c r="K13" s="231">
        <v>0</v>
      </c>
      <c r="L13" s="231">
        <v>0</v>
      </c>
      <c r="M13" s="231">
        <v>0</v>
      </c>
      <c r="N13" s="231">
        <v>0</v>
      </c>
      <c r="O13" s="231">
        <v>54262.819019824798</v>
      </c>
    </row>
    <row r="14" spans="1:16" s="237" customFormat="1" ht="12" x14ac:dyDescent="0.2">
      <c r="A14" s="235"/>
      <c r="B14" s="230"/>
      <c r="C14" s="236" t="s">
        <v>2</v>
      </c>
      <c r="F14" s="238">
        <v>5971.0379324369596</v>
      </c>
      <c r="G14" s="238">
        <v>0.16861870976520499</v>
      </c>
      <c r="H14" s="238">
        <v>4.2154677441301196</v>
      </c>
      <c r="I14" s="238">
        <v>0.142677347099264</v>
      </c>
      <c r="J14" s="238">
        <v>42.5178494355808</v>
      </c>
      <c r="K14" s="238">
        <v>0</v>
      </c>
      <c r="L14" s="238">
        <v>0</v>
      </c>
      <c r="M14" s="238">
        <v>0</v>
      </c>
      <c r="N14" s="238">
        <v>0</v>
      </c>
      <c r="O14" s="238">
        <v>6017.7712496166696</v>
      </c>
    </row>
    <row r="15" spans="1:16" s="237" customFormat="1" ht="12" x14ac:dyDescent="0.2">
      <c r="A15" s="235"/>
      <c r="B15" s="230"/>
      <c r="C15" s="236" t="s">
        <v>730</v>
      </c>
      <c r="F15" s="238">
        <v>3409.8458092262699</v>
      </c>
      <c r="G15" s="238">
        <v>7.3079060558206899E-2</v>
      </c>
      <c r="H15" s="238">
        <v>1.8269765139551699</v>
      </c>
      <c r="I15" s="238">
        <v>4.9849330919125502E-2</v>
      </c>
      <c r="J15" s="238">
        <v>14.855100613899401</v>
      </c>
      <c r="K15" s="238">
        <v>0</v>
      </c>
      <c r="L15" s="238">
        <v>0</v>
      </c>
      <c r="M15" s="238">
        <v>0</v>
      </c>
      <c r="N15" s="238">
        <v>0</v>
      </c>
      <c r="O15" s="238">
        <v>3426.5278863541198</v>
      </c>
    </row>
    <row r="16" spans="1:16" s="237" customFormat="1" ht="12" x14ac:dyDescent="0.2">
      <c r="A16" s="235"/>
      <c r="B16" s="230"/>
      <c r="C16" s="236" t="s">
        <v>731</v>
      </c>
      <c r="F16" s="238">
        <v>9952.9967677459408</v>
      </c>
      <c r="G16" s="238">
        <v>0.203808618464553</v>
      </c>
      <c r="H16" s="238">
        <v>5.0952154616138303</v>
      </c>
      <c r="I16" s="238">
        <v>0.17274620488633599</v>
      </c>
      <c r="J16" s="238">
        <v>51.478369056128003</v>
      </c>
      <c r="K16" s="238">
        <v>0</v>
      </c>
      <c r="L16" s="238">
        <v>0</v>
      </c>
      <c r="M16" s="238">
        <v>0</v>
      </c>
      <c r="N16" s="238">
        <v>0</v>
      </c>
      <c r="O16" s="238">
        <v>10009.5703522637</v>
      </c>
    </row>
    <row r="17" spans="1:16" s="237" customFormat="1" ht="12" x14ac:dyDescent="0.2">
      <c r="A17" s="235"/>
      <c r="B17" s="230"/>
      <c r="C17" s="236" t="s">
        <v>732</v>
      </c>
      <c r="F17" s="238">
        <v>12566.968691755499</v>
      </c>
      <c r="G17" s="238">
        <v>1.4446896776817599</v>
      </c>
      <c r="H17" s="238">
        <v>36.117241942043997</v>
      </c>
      <c r="I17" s="238">
        <v>1.1205584054467801</v>
      </c>
      <c r="J17" s="238">
        <v>333.92640482314101</v>
      </c>
      <c r="K17" s="238">
        <v>0</v>
      </c>
      <c r="L17" s="238">
        <v>0</v>
      </c>
      <c r="M17" s="238">
        <v>0</v>
      </c>
      <c r="N17" s="238">
        <v>0</v>
      </c>
      <c r="O17" s="238">
        <v>12937.012338520701</v>
      </c>
    </row>
    <row r="18" spans="1:16" s="237" customFormat="1" ht="12" x14ac:dyDescent="0.2">
      <c r="A18" s="235"/>
      <c r="B18" s="230"/>
      <c r="C18" s="236" t="s">
        <v>35</v>
      </c>
      <c r="F18" s="238">
        <v>4053.8566722250398</v>
      </c>
      <c r="G18" s="238">
        <v>0.20354338284983101</v>
      </c>
      <c r="H18" s="238">
        <v>5.0885845712457796</v>
      </c>
      <c r="I18" s="238">
        <v>5.4517153977183701E-2</v>
      </c>
      <c r="J18" s="238">
        <v>16.246111885200701</v>
      </c>
      <c r="K18" s="238">
        <v>0</v>
      </c>
      <c r="L18" s="238">
        <v>0</v>
      </c>
      <c r="M18" s="238">
        <v>0</v>
      </c>
      <c r="N18" s="238">
        <v>0</v>
      </c>
      <c r="O18" s="238">
        <v>4075.1913686814901</v>
      </c>
    </row>
    <row r="19" spans="1:16" s="237" customFormat="1" ht="12" x14ac:dyDescent="0.2">
      <c r="A19" s="235"/>
      <c r="B19" s="230"/>
      <c r="C19" s="236" t="s">
        <v>733</v>
      </c>
      <c r="F19" s="238">
        <v>17689.495671496599</v>
      </c>
      <c r="G19" s="238">
        <v>0.38378744125064801</v>
      </c>
      <c r="H19" s="238">
        <v>9.5946860312662103</v>
      </c>
      <c r="I19" s="238">
        <v>0.32770290892723503</v>
      </c>
      <c r="J19" s="238">
        <v>97.655466860316096</v>
      </c>
      <c r="K19" s="238">
        <v>0</v>
      </c>
      <c r="L19" s="238">
        <v>0</v>
      </c>
      <c r="M19" s="238">
        <v>0</v>
      </c>
      <c r="N19" s="238">
        <v>0</v>
      </c>
      <c r="O19" s="238">
        <v>17796.745824388101</v>
      </c>
    </row>
    <row r="20" spans="1:16" s="234" customFormat="1" ht="12.75" x14ac:dyDescent="0.2">
      <c r="A20" s="228"/>
      <c r="B20" s="229" t="s">
        <v>734</v>
      </c>
      <c r="C20" s="239"/>
      <c r="F20" s="231">
        <v>1385.61177103</v>
      </c>
      <c r="G20" s="231">
        <v>2.3389468260000001E-2</v>
      </c>
      <c r="H20" s="231">
        <v>0.58473670649999998</v>
      </c>
      <c r="I20" s="231">
        <v>3.3569453069999998E-2</v>
      </c>
      <c r="J20" s="231">
        <v>10.00369701486</v>
      </c>
      <c r="K20" s="231">
        <v>0</v>
      </c>
      <c r="L20" s="231">
        <v>0</v>
      </c>
      <c r="M20" s="231">
        <v>0</v>
      </c>
      <c r="N20" s="231">
        <v>0</v>
      </c>
      <c r="O20" s="231">
        <v>1396.2002047513599</v>
      </c>
    </row>
    <row r="21" spans="1:16" s="234" customFormat="1" ht="12.75" x14ac:dyDescent="0.2">
      <c r="A21" s="228"/>
      <c r="B21" s="229" t="s">
        <v>735</v>
      </c>
      <c r="C21" s="229"/>
      <c r="F21" s="231">
        <v>27297.094814303</v>
      </c>
      <c r="G21" s="231">
        <v>0.51830613481380305</v>
      </c>
      <c r="H21" s="231">
        <v>12.957653370345099</v>
      </c>
      <c r="I21" s="231">
        <v>0.58308036014338005</v>
      </c>
      <c r="J21" s="231">
        <v>173.75794732272701</v>
      </c>
      <c r="K21" s="231">
        <v>0</v>
      </c>
      <c r="L21" s="231">
        <v>0</v>
      </c>
      <c r="M21" s="231">
        <v>0</v>
      </c>
      <c r="N21" s="231">
        <v>0</v>
      </c>
      <c r="O21" s="231">
        <v>27483.8104149961</v>
      </c>
    </row>
    <row r="22" spans="1:16" s="234" customFormat="1" ht="12.75" x14ac:dyDescent="0.2">
      <c r="A22" s="228"/>
      <c r="B22" s="229" t="s">
        <v>181</v>
      </c>
      <c r="C22" s="229"/>
      <c r="F22" s="231">
        <v>43538.470879786997</v>
      </c>
      <c r="G22" s="231">
        <v>185.899326184297</v>
      </c>
      <c r="H22" s="231">
        <v>4647.4831546074302</v>
      </c>
      <c r="I22" s="231">
        <v>2.6355449304312502</v>
      </c>
      <c r="J22" s="231">
        <v>785.39238926851203</v>
      </c>
      <c r="K22" s="231">
        <v>0</v>
      </c>
      <c r="L22" s="231">
        <v>0</v>
      </c>
      <c r="M22" s="231">
        <v>0</v>
      </c>
      <c r="N22" s="231">
        <v>0</v>
      </c>
      <c r="O22" s="231">
        <v>48971.346423662901</v>
      </c>
    </row>
    <row r="23" spans="1:16" s="234" customFormat="1" ht="12.75" x14ac:dyDescent="0.2">
      <c r="A23" s="228"/>
      <c r="B23" s="229" t="s">
        <v>736</v>
      </c>
      <c r="C23" s="229"/>
      <c r="F23" s="231">
        <v>2525.1417652986102</v>
      </c>
      <c r="G23" s="231">
        <v>4.2141913332302397E-2</v>
      </c>
      <c r="H23" s="231">
        <v>1.0535478333075601</v>
      </c>
      <c r="I23" s="231">
        <v>6.3009142927404296E-2</v>
      </c>
      <c r="J23" s="231">
        <v>18.776724592366499</v>
      </c>
      <c r="K23" s="231">
        <v>0</v>
      </c>
      <c r="L23" s="231">
        <v>0</v>
      </c>
      <c r="M23" s="231">
        <v>0</v>
      </c>
      <c r="N23" s="231">
        <v>0</v>
      </c>
      <c r="O23" s="231">
        <v>2544.9720377242902</v>
      </c>
    </row>
    <row r="24" spans="1:16" s="240" customFormat="1" ht="14.25" x14ac:dyDescent="0.2">
      <c r="A24" s="224" t="s">
        <v>737</v>
      </c>
      <c r="B24" s="225" t="s">
        <v>738</v>
      </c>
      <c r="C24" s="225"/>
      <c r="F24" s="226">
        <v>149800.90947369899</v>
      </c>
      <c r="G24" s="226">
        <v>34.544048033220903</v>
      </c>
      <c r="H24" s="226">
        <v>863.601200830523</v>
      </c>
      <c r="I24" s="226">
        <v>26.230773366164801</v>
      </c>
      <c r="J24" s="226">
        <v>7816.77046311712</v>
      </c>
      <c r="K24" s="226">
        <v>0</v>
      </c>
      <c r="L24" s="226">
        <v>0</v>
      </c>
      <c r="M24" s="226">
        <v>0</v>
      </c>
      <c r="N24" s="226">
        <v>0</v>
      </c>
      <c r="O24" s="226">
        <v>158481.28113764699</v>
      </c>
      <c r="P24" s="241"/>
    </row>
    <row r="25" spans="1:16" s="234" customFormat="1" ht="12.75" x14ac:dyDescent="0.2">
      <c r="A25" s="228"/>
      <c r="B25" s="232" t="s">
        <v>739</v>
      </c>
      <c r="C25" s="229"/>
      <c r="F25" s="231">
        <v>6188.5878767982304</v>
      </c>
      <c r="G25" s="231">
        <v>0.32129655762852899</v>
      </c>
      <c r="H25" s="231">
        <v>8.03241394071323</v>
      </c>
      <c r="I25" s="231">
        <v>0.188854345016151</v>
      </c>
      <c r="J25" s="231">
        <v>56.278594814812998</v>
      </c>
      <c r="K25" s="231">
        <v>0</v>
      </c>
      <c r="L25" s="231">
        <v>0</v>
      </c>
      <c r="M25" s="231">
        <v>0</v>
      </c>
      <c r="N25" s="231">
        <v>0</v>
      </c>
      <c r="O25" s="231">
        <v>6252.89888555376</v>
      </c>
    </row>
    <row r="26" spans="1:16" s="234" customFormat="1" ht="12.75" x14ac:dyDescent="0.2">
      <c r="A26" s="228"/>
      <c r="B26" s="229" t="s">
        <v>740</v>
      </c>
      <c r="C26" s="229"/>
      <c r="F26" s="231">
        <v>91546.757579513695</v>
      </c>
      <c r="G26" s="231">
        <v>12.1010478889611</v>
      </c>
      <c r="H26" s="231">
        <v>302.52619722402699</v>
      </c>
      <c r="I26" s="231">
        <v>14.2769335468679</v>
      </c>
      <c r="J26" s="231">
        <v>4254.5261969666299</v>
      </c>
      <c r="K26" s="231">
        <v>0</v>
      </c>
      <c r="L26" s="231">
        <v>0</v>
      </c>
      <c r="M26" s="231">
        <v>0</v>
      </c>
      <c r="N26" s="231">
        <v>0</v>
      </c>
      <c r="O26" s="231">
        <v>96103.809973704396</v>
      </c>
    </row>
    <row r="27" spans="1:16" s="237" customFormat="1" ht="12" x14ac:dyDescent="0.2">
      <c r="A27" s="235"/>
      <c r="B27" s="230"/>
      <c r="C27" s="236" t="s">
        <v>741</v>
      </c>
      <c r="F27" s="238">
        <v>41428.208696398098</v>
      </c>
      <c r="G27" s="238">
        <v>6.4344816640784597</v>
      </c>
      <c r="H27" s="238">
        <v>160.86204160196101</v>
      </c>
      <c r="I27" s="238">
        <v>8.4244105627234305</v>
      </c>
      <c r="J27" s="238">
        <v>2510.4743476915801</v>
      </c>
      <c r="K27" s="238">
        <v>0</v>
      </c>
      <c r="L27" s="238">
        <v>0</v>
      </c>
      <c r="M27" s="238">
        <v>0</v>
      </c>
      <c r="N27" s="238">
        <v>0</v>
      </c>
      <c r="O27" s="238">
        <v>44099.545085691701</v>
      </c>
    </row>
    <row r="28" spans="1:16" s="237" customFormat="1" ht="12" x14ac:dyDescent="0.2">
      <c r="A28" s="235"/>
      <c r="B28" s="230"/>
      <c r="C28" s="236" t="s">
        <v>742</v>
      </c>
      <c r="F28" s="238">
        <v>23793.2741692981</v>
      </c>
      <c r="G28" s="238">
        <v>3.0991319202269998</v>
      </c>
      <c r="H28" s="238">
        <v>77.478298005674901</v>
      </c>
      <c r="I28" s="238">
        <v>5.0955045097143898</v>
      </c>
      <c r="J28" s="238">
        <v>1518.46034389489</v>
      </c>
      <c r="K28" s="238">
        <v>0</v>
      </c>
      <c r="L28" s="238">
        <v>0</v>
      </c>
      <c r="M28" s="238">
        <v>0</v>
      </c>
      <c r="N28" s="238">
        <v>0</v>
      </c>
      <c r="O28" s="238">
        <v>25389.2128111987</v>
      </c>
    </row>
    <row r="29" spans="1:16" s="237" customFormat="1" ht="12" x14ac:dyDescent="0.2">
      <c r="A29" s="235"/>
      <c r="B29" s="230"/>
      <c r="C29" s="236" t="s">
        <v>743</v>
      </c>
      <c r="F29" s="238">
        <v>8158.7998288914796</v>
      </c>
      <c r="G29" s="238">
        <v>1.16576004604606</v>
      </c>
      <c r="H29" s="238">
        <v>29.1440011511514</v>
      </c>
      <c r="I29" s="238">
        <v>0.19344533952145301</v>
      </c>
      <c r="J29" s="238">
        <v>57.646711177393001</v>
      </c>
      <c r="K29" s="238">
        <v>0</v>
      </c>
      <c r="L29" s="238">
        <v>0</v>
      </c>
      <c r="M29" s="238">
        <v>0</v>
      </c>
      <c r="N29" s="238">
        <v>0</v>
      </c>
      <c r="O29" s="238">
        <v>8245.5905412200209</v>
      </c>
    </row>
    <row r="30" spans="1:16" s="237" customFormat="1" ht="12" x14ac:dyDescent="0.2">
      <c r="A30" s="235"/>
      <c r="B30" s="230"/>
      <c r="C30" s="236" t="s">
        <v>744</v>
      </c>
      <c r="F30" s="238">
        <v>82.207753950545793</v>
      </c>
      <c r="G30" s="238">
        <v>8.2158695084767502E-2</v>
      </c>
      <c r="H30" s="238">
        <v>2.0539673771191902</v>
      </c>
      <c r="I30" s="238">
        <v>1.7063728979144E-3</v>
      </c>
      <c r="J30" s="238">
        <v>0.50849912357849203</v>
      </c>
      <c r="K30" s="238">
        <v>0</v>
      </c>
      <c r="L30" s="238">
        <v>0</v>
      </c>
      <c r="M30" s="238">
        <v>0</v>
      </c>
      <c r="N30" s="238">
        <v>0</v>
      </c>
      <c r="O30" s="238">
        <v>84.770220451243503</v>
      </c>
      <c r="P30" s="242"/>
    </row>
    <row r="31" spans="1:16" s="237" customFormat="1" ht="12" x14ac:dyDescent="0.2">
      <c r="A31" s="235"/>
      <c r="B31" s="230"/>
      <c r="C31" s="236" t="s">
        <v>745</v>
      </c>
      <c r="F31" s="238">
        <v>414.64601058664903</v>
      </c>
      <c r="G31" s="238">
        <v>1.11964220701764E-2</v>
      </c>
      <c r="H31" s="238">
        <v>0.27991055175441099</v>
      </c>
      <c r="I31" s="238">
        <v>3.1249092558278301E-2</v>
      </c>
      <c r="J31" s="238">
        <v>9.3122295823669408</v>
      </c>
      <c r="K31" s="238">
        <v>0</v>
      </c>
      <c r="L31" s="238">
        <v>0</v>
      </c>
      <c r="M31" s="238">
        <v>0</v>
      </c>
      <c r="N31" s="238">
        <v>0</v>
      </c>
      <c r="O31" s="238">
        <v>424.23815072077002</v>
      </c>
    </row>
    <row r="32" spans="1:16" s="237" customFormat="1" ht="12" x14ac:dyDescent="0.2">
      <c r="A32" s="235"/>
      <c r="B32" s="230"/>
      <c r="C32" s="236" t="s">
        <v>746</v>
      </c>
      <c r="D32" s="243"/>
      <c r="E32" s="243"/>
      <c r="F32" s="244">
        <v>194.972483016182</v>
      </c>
      <c r="G32" s="244">
        <v>5.04816778357164E-3</v>
      </c>
      <c r="H32" s="244">
        <v>0.126204194589291</v>
      </c>
      <c r="I32" s="244">
        <v>1.48250793241189E-2</v>
      </c>
      <c r="J32" s="244">
        <v>4.4178736385874302</v>
      </c>
      <c r="K32" s="244">
        <v>0</v>
      </c>
      <c r="L32" s="244">
        <v>0</v>
      </c>
      <c r="M32" s="244">
        <v>0</v>
      </c>
      <c r="N32" s="244">
        <v>0</v>
      </c>
      <c r="O32" s="244">
        <v>199.516560849359</v>
      </c>
    </row>
    <row r="33" spans="1:15" s="237" customFormat="1" ht="12" x14ac:dyDescent="0.2">
      <c r="A33" s="235"/>
      <c r="B33" s="230"/>
      <c r="C33" s="236" t="s">
        <v>747</v>
      </c>
      <c r="D33" s="243"/>
      <c r="E33" s="243"/>
      <c r="F33" s="244">
        <v>16402.6899890569</v>
      </c>
      <c r="G33" s="244">
        <v>0.83913247831012405</v>
      </c>
      <c r="H33" s="244">
        <v>20.9783119577531</v>
      </c>
      <c r="I33" s="244">
        <v>0.49595115127373401</v>
      </c>
      <c r="J33" s="244">
        <v>147.793443079573</v>
      </c>
      <c r="K33" s="244">
        <v>0</v>
      </c>
      <c r="L33" s="244">
        <v>0</v>
      </c>
      <c r="M33" s="244">
        <v>0</v>
      </c>
      <c r="N33" s="244">
        <v>0</v>
      </c>
      <c r="O33" s="244">
        <v>16571.461744094198</v>
      </c>
    </row>
    <row r="34" spans="1:15" s="237" customFormat="1" ht="12" x14ac:dyDescent="0.2">
      <c r="A34" s="235"/>
      <c r="B34" s="230"/>
      <c r="C34" s="245" t="s">
        <v>748</v>
      </c>
      <c r="D34" s="243"/>
      <c r="E34" s="243"/>
      <c r="F34" s="244">
        <v>1071.95864831577</v>
      </c>
      <c r="G34" s="244">
        <v>0.46413849536093599</v>
      </c>
      <c r="H34" s="244">
        <v>11.6034623840234</v>
      </c>
      <c r="I34" s="244">
        <v>1.98414388545805E-2</v>
      </c>
      <c r="J34" s="244">
        <v>5.9127487786649802</v>
      </c>
      <c r="K34" s="244">
        <v>0</v>
      </c>
      <c r="L34" s="244">
        <v>0</v>
      </c>
      <c r="M34" s="244">
        <v>0</v>
      </c>
      <c r="N34" s="244">
        <v>0</v>
      </c>
      <c r="O34" s="244">
        <v>1089.4748594784501</v>
      </c>
    </row>
    <row r="35" spans="1:15" s="249" customFormat="1" ht="12.75" x14ac:dyDescent="0.2">
      <c r="A35" s="228"/>
      <c r="B35" s="229" t="s">
        <v>749</v>
      </c>
      <c r="C35" s="246"/>
      <c r="D35" s="247"/>
      <c r="E35" s="247"/>
      <c r="F35" s="248">
        <v>6213.0366445</v>
      </c>
      <c r="G35" s="248">
        <v>0.34876153654999997</v>
      </c>
      <c r="H35" s="248">
        <v>8.7190384137500008</v>
      </c>
      <c r="I35" s="248">
        <v>2.4043758910499999</v>
      </c>
      <c r="J35" s="248">
        <v>716.50401553289998</v>
      </c>
      <c r="K35" s="248">
        <v>0</v>
      </c>
      <c r="L35" s="248">
        <v>0</v>
      </c>
      <c r="M35" s="248">
        <v>0</v>
      </c>
      <c r="N35" s="248">
        <v>0</v>
      </c>
      <c r="O35" s="248">
        <v>6938.25969844665</v>
      </c>
    </row>
    <row r="36" spans="1:15" s="249" customFormat="1" ht="12.75" x14ac:dyDescent="0.2">
      <c r="A36" s="228"/>
      <c r="B36" s="232" t="s">
        <v>750</v>
      </c>
      <c r="C36" s="246"/>
      <c r="D36" s="247"/>
      <c r="E36" s="247"/>
      <c r="F36" s="248">
        <v>4354.0163179399997</v>
      </c>
      <c r="G36" s="248">
        <v>0.403087642824</v>
      </c>
      <c r="H36" s="248">
        <v>10.0771910706</v>
      </c>
      <c r="I36" s="248">
        <v>0.115147736352</v>
      </c>
      <c r="J36" s="248">
        <v>34.314025432896003</v>
      </c>
      <c r="K36" s="248">
        <v>0</v>
      </c>
      <c r="L36" s="248">
        <v>0</v>
      </c>
      <c r="M36" s="248">
        <v>0</v>
      </c>
      <c r="N36" s="248">
        <v>0</v>
      </c>
      <c r="O36" s="248">
        <v>4398.4075344434996</v>
      </c>
    </row>
    <row r="37" spans="1:15" s="234" customFormat="1" ht="12.75" x14ac:dyDescent="0.2">
      <c r="A37" s="228"/>
      <c r="B37" s="229" t="s">
        <v>751</v>
      </c>
      <c r="C37" s="250"/>
      <c r="D37" s="251"/>
      <c r="E37" s="251"/>
      <c r="F37" s="252">
        <v>41498.511054947201</v>
      </c>
      <c r="G37" s="252">
        <v>21.3698544072573</v>
      </c>
      <c r="H37" s="252">
        <v>534.24636018143303</v>
      </c>
      <c r="I37" s="252">
        <v>9.2454618468787899</v>
      </c>
      <c r="J37" s="252">
        <v>2755.1476303698801</v>
      </c>
      <c r="K37" s="252">
        <v>0</v>
      </c>
      <c r="L37" s="252">
        <v>0</v>
      </c>
      <c r="M37" s="252">
        <v>0</v>
      </c>
      <c r="N37" s="252">
        <v>0</v>
      </c>
      <c r="O37" s="252">
        <v>44787.905045498497</v>
      </c>
    </row>
    <row r="38" spans="1:15" s="237" customFormat="1" ht="12" x14ac:dyDescent="0.2">
      <c r="A38" s="235"/>
      <c r="B38" s="230"/>
      <c r="C38" s="236" t="s">
        <v>752</v>
      </c>
      <c r="F38" s="238">
        <v>10698.926400878699</v>
      </c>
      <c r="G38" s="238">
        <v>0.61690574492377304</v>
      </c>
      <c r="H38" s="238">
        <v>15.4226436230943</v>
      </c>
      <c r="I38" s="238">
        <v>4.1349979457213903</v>
      </c>
      <c r="J38" s="238">
        <v>1232.22938782498</v>
      </c>
      <c r="K38" s="238">
        <v>0</v>
      </c>
      <c r="L38" s="238">
        <v>0</v>
      </c>
      <c r="M38" s="238">
        <v>0</v>
      </c>
      <c r="N38" s="238">
        <v>0</v>
      </c>
      <c r="O38" s="238">
        <v>11946.5784323267</v>
      </c>
    </row>
    <row r="39" spans="1:15" s="237" customFormat="1" ht="12" x14ac:dyDescent="0.2">
      <c r="A39" s="235"/>
      <c r="B39" s="230"/>
      <c r="C39" s="236" t="s">
        <v>753</v>
      </c>
      <c r="F39" s="238">
        <v>1464.7697793687801</v>
      </c>
      <c r="G39" s="238">
        <v>0.79369750658512905</v>
      </c>
      <c r="H39" s="238">
        <v>19.8424376646282</v>
      </c>
      <c r="I39" s="238">
        <v>0.45530735872426498</v>
      </c>
      <c r="J39" s="238">
        <v>135.681592899831</v>
      </c>
      <c r="K39" s="238">
        <v>0</v>
      </c>
      <c r="L39" s="238">
        <v>0</v>
      </c>
      <c r="M39" s="238">
        <v>0</v>
      </c>
      <c r="N39" s="238">
        <v>0</v>
      </c>
      <c r="O39" s="238">
        <v>1620.29380993324</v>
      </c>
    </row>
    <row r="40" spans="1:15" s="237" customFormat="1" ht="12" x14ac:dyDescent="0.2">
      <c r="A40" s="235"/>
      <c r="B40" s="230"/>
      <c r="C40" s="236" t="s">
        <v>754</v>
      </c>
      <c r="F40" s="238">
        <v>9487.2896115269396</v>
      </c>
      <c r="G40" s="238">
        <v>0.78681121451915603</v>
      </c>
      <c r="H40" s="238">
        <v>19.6702803629789</v>
      </c>
      <c r="I40" s="238">
        <v>3.4337349719499999</v>
      </c>
      <c r="J40" s="238">
        <v>1023.2530216411</v>
      </c>
      <c r="K40" s="238">
        <v>0</v>
      </c>
      <c r="L40" s="238">
        <v>0</v>
      </c>
      <c r="M40" s="238">
        <v>0</v>
      </c>
      <c r="N40" s="238">
        <v>0</v>
      </c>
      <c r="O40" s="238">
        <v>10530.212913531001</v>
      </c>
    </row>
    <row r="41" spans="1:15" s="237" customFormat="1" ht="12" x14ac:dyDescent="0.2">
      <c r="A41" s="235"/>
      <c r="B41" s="230"/>
      <c r="C41" s="236" t="s">
        <v>755</v>
      </c>
      <c r="F41" s="238">
        <v>228.38415926281101</v>
      </c>
      <c r="G41" s="238">
        <v>7.5456502702437006E-2</v>
      </c>
      <c r="H41" s="238">
        <v>1.88641256756093</v>
      </c>
      <c r="I41" s="238">
        <v>6.7944514734994299E-2</v>
      </c>
      <c r="J41" s="238">
        <v>20.2474653910283</v>
      </c>
      <c r="K41" s="238">
        <v>0</v>
      </c>
      <c r="L41" s="238">
        <v>0</v>
      </c>
      <c r="M41" s="238">
        <v>0</v>
      </c>
      <c r="N41" s="238">
        <v>0</v>
      </c>
      <c r="O41" s="238">
        <v>250.51803722139999</v>
      </c>
    </row>
    <row r="42" spans="1:15" s="237" customFormat="1" ht="12" x14ac:dyDescent="0.2">
      <c r="A42" s="235"/>
      <c r="B42" s="230"/>
      <c r="C42" s="236" t="s">
        <v>756</v>
      </c>
      <c r="F42" s="238">
        <v>9149.1016033000105</v>
      </c>
      <c r="G42" s="238">
        <v>8.6441028675268097</v>
      </c>
      <c r="H42" s="238">
        <v>216.10257168817</v>
      </c>
      <c r="I42" s="238">
        <v>0.86665850724813598</v>
      </c>
      <c r="J42" s="238">
        <v>258.26423515994401</v>
      </c>
      <c r="K42" s="238">
        <v>0</v>
      </c>
      <c r="L42" s="238">
        <v>0</v>
      </c>
      <c r="M42" s="238">
        <v>0</v>
      </c>
      <c r="N42" s="238">
        <v>0</v>
      </c>
      <c r="O42" s="238">
        <v>9623.4684101481307</v>
      </c>
    </row>
    <row r="43" spans="1:15" s="237" customFormat="1" ht="12" x14ac:dyDescent="0.2">
      <c r="A43" s="235"/>
      <c r="B43" s="230"/>
      <c r="C43" s="253" t="s">
        <v>757</v>
      </c>
      <c r="F43" s="238">
        <v>10470.039500610001</v>
      </c>
      <c r="G43" s="238">
        <v>10.452880571</v>
      </c>
      <c r="H43" s="238">
        <v>261.32201427500002</v>
      </c>
      <c r="I43" s="238">
        <v>0.28681854849999999</v>
      </c>
      <c r="J43" s="238">
        <v>85.471927453000006</v>
      </c>
      <c r="K43" s="238">
        <v>0</v>
      </c>
      <c r="L43" s="238">
        <v>0</v>
      </c>
      <c r="M43" s="238">
        <v>0</v>
      </c>
      <c r="N43" s="238">
        <v>0</v>
      </c>
      <c r="O43" s="238">
        <v>10816.833442338</v>
      </c>
    </row>
    <row r="44" spans="1:15" s="240" customFormat="1" ht="12.75" x14ac:dyDescent="0.2">
      <c r="A44" s="224" t="s">
        <v>758</v>
      </c>
      <c r="B44" s="225" t="s">
        <v>759</v>
      </c>
      <c r="C44" s="225"/>
      <c r="F44" s="226">
        <v>14335.7369089245</v>
      </c>
      <c r="G44" s="226">
        <v>1857.15715801345</v>
      </c>
      <c r="H44" s="226">
        <v>46428.9289503361</v>
      </c>
      <c r="I44" s="226">
        <v>0.12280792699238401</v>
      </c>
      <c r="J44" s="226">
        <v>36.596762243730403</v>
      </c>
      <c r="K44" s="226">
        <v>0</v>
      </c>
      <c r="L44" s="226">
        <v>0</v>
      </c>
      <c r="M44" s="226">
        <v>0</v>
      </c>
      <c r="N44" s="226">
        <v>0</v>
      </c>
      <c r="O44" s="226">
        <v>60801.262621504298</v>
      </c>
    </row>
    <row r="45" spans="1:15" s="234" customFormat="1" ht="12.75" x14ac:dyDescent="0.2">
      <c r="A45" s="228"/>
      <c r="B45" s="229" t="s">
        <v>760</v>
      </c>
      <c r="C45" s="229"/>
      <c r="F45" s="231">
        <v>0</v>
      </c>
      <c r="G45" s="231">
        <v>100.255304309111</v>
      </c>
      <c r="H45" s="231">
        <v>2506.3826077277799</v>
      </c>
      <c r="I45" s="231">
        <v>0</v>
      </c>
      <c r="J45" s="231">
        <v>0</v>
      </c>
      <c r="K45" s="231">
        <v>0</v>
      </c>
      <c r="L45" s="231">
        <v>0</v>
      </c>
      <c r="M45" s="231">
        <v>0</v>
      </c>
      <c r="N45" s="231">
        <v>0</v>
      </c>
      <c r="O45" s="231">
        <v>2506.3826077277799</v>
      </c>
    </row>
    <row r="46" spans="1:15" s="234" customFormat="1" ht="12.75" x14ac:dyDescent="0.2">
      <c r="A46" s="228"/>
      <c r="B46" s="229" t="s">
        <v>761</v>
      </c>
      <c r="C46" s="229"/>
      <c r="F46" s="231">
        <v>14335.7369089245</v>
      </c>
      <c r="G46" s="231">
        <v>1756.9018537043301</v>
      </c>
      <c r="H46" s="231">
        <v>43922.546342608402</v>
      </c>
      <c r="I46" s="231">
        <v>0.12280792699238401</v>
      </c>
      <c r="J46" s="231">
        <v>36.596762243730403</v>
      </c>
      <c r="K46" s="231">
        <v>0</v>
      </c>
      <c r="L46" s="231">
        <v>0</v>
      </c>
      <c r="M46" s="231">
        <v>0</v>
      </c>
      <c r="N46" s="231">
        <v>0</v>
      </c>
      <c r="O46" s="231">
        <v>58294.880013776601</v>
      </c>
    </row>
    <row r="47" spans="1:15" s="237" customFormat="1" ht="12" x14ac:dyDescent="0.2">
      <c r="A47" s="254"/>
      <c r="B47" s="255"/>
      <c r="C47" s="230" t="s">
        <v>762</v>
      </c>
      <c r="F47" s="238">
        <v>113.987295926336</v>
      </c>
      <c r="G47" s="238">
        <v>220.87318407286699</v>
      </c>
      <c r="H47" s="238">
        <v>5521.8296018216697</v>
      </c>
      <c r="I47" s="238">
        <v>0.112</v>
      </c>
      <c r="J47" s="238">
        <v>33.375999999999998</v>
      </c>
      <c r="K47" s="238">
        <v>0</v>
      </c>
      <c r="L47" s="238">
        <v>0</v>
      </c>
      <c r="M47" s="238">
        <v>0</v>
      </c>
      <c r="N47" s="238">
        <v>0</v>
      </c>
      <c r="O47" s="238">
        <v>5669.1928977480102</v>
      </c>
    </row>
    <row r="48" spans="1:15" s="237" customFormat="1" ht="12" x14ac:dyDescent="0.2">
      <c r="A48" s="254"/>
      <c r="B48" s="255"/>
      <c r="C48" s="230" t="s">
        <v>763</v>
      </c>
      <c r="F48" s="238">
        <v>36.4641982998969</v>
      </c>
      <c r="G48" s="238">
        <v>652.27465885175002</v>
      </c>
      <c r="H48" s="238">
        <v>16306.866471293801</v>
      </c>
      <c r="I48" s="238">
        <v>0</v>
      </c>
      <c r="J48" s="238">
        <v>0</v>
      </c>
      <c r="K48" s="238">
        <v>0</v>
      </c>
      <c r="L48" s="238">
        <v>0</v>
      </c>
      <c r="M48" s="238">
        <v>0</v>
      </c>
      <c r="N48" s="238">
        <v>0</v>
      </c>
      <c r="O48" s="238">
        <v>16343.330669593701</v>
      </c>
    </row>
    <row r="49" spans="1:16" s="237" customFormat="1" ht="12" x14ac:dyDescent="0.2">
      <c r="A49" s="256"/>
      <c r="B49" s="257"/>
      <c r="C49" s="258" t="s">
        <v>380</v>
      </c>
      <c r="D49" s="243"/>
      <c r="E49" s="243"/>
      <c r="F49" s="244">
        <v>9306.1803372602808</v>
      </c>
      <c r="G49" s="244">
        <v>876.49144350613301</v>
      </c>
      <c r="H49" s="244">
        <v>21912.286087653301</v>
      </c>
      <c r="I49" s="244">
        <v>0</v>
      </c>
      <c r="J49" s="244">
        <v>0</v>
      </c>
      <c r="K49" s="244">
        <v>0</v>
      </c>
      <c r="L49" s="244">
        <v>0</v>
      </c>
      <c r="M49" s="244">
        <v>0</v>
      </c>
      <c r="N49" s="244">
        <v>0</v>
      </c>
      <c r="O49" s="244">
        <v>31218.4664249136</v>
      </c>
    </row>
    <row r="50" spans="1:16" s="237" customFormat="1" ht="12" x14ac:dyDescent="0.2">
      <c r="A50" s="256"/>
      <c r="B50" s="257"/>
      <c r="C50" s="258" t="s">
        <v>381</v>
      </c>
      <c r="D50" s="243"/>
      <c r="E50" s="243"/>
      <c r="F50" s="244">
        <v>4879.1050774379401</v>
      </c>
      <c r="G50" s="244">
        <v>7.2625672735840396</v>
      </c>
      <c r="H50" s="244">
        <v>181.56418183960099</v>
      </c>
      <c r="I50" s="244">
        <v>1.0807926992383801E-2</v>
      </c>
      <c r="J50" s="244">
        <v>3.22076224373038</v>
      </c>
      <c r="K50" s="244">
        <v>0</v>
      </c>
      <c r="L50" s="244">
        <v>0</v>
      </c>
      <c r="M50" s="244">
        <v>0</v>
      </c>
      <c r="N50" s="244">
        <v>0</v>
      </c>
      <c r="O50" s="244">
        <v>5063.8900215212698</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35093.001885031401</v>
      </c>
      <c r="G52" s="266">
        <v>4.21543318360398</v>
      </c>
      <c r="H52" s="266">
        <v>105.38582959009899</v>
      </c>
      <c r="I52" s="266">
        <v>39.088639310462</v>
      </c>
      <c r="J52" s="266">
        <v>11648.414514517701</v>
      </c>
      <c r="K52" s="266">
        <v>0</v>
      </c>
      <c r="L52" s="266">
        <v>6895.0145421352699</v>
      </c>
      <c r="M52" s="266">
        <v>2441.74421815093</v>
      </c>
      <c r="N52" s="266">
        <v>0.28977229866666698</v>
      </c>
      <c r="O52" s="266">
        <v>56183.850761724003</v>
      </c>
    </row>
    <row r="53" spans="1:16" s="240" customFormat="1" ht="12.75" x14ac:dyDescent="0.2">
      <c r="A53" s="224" t="s">
        <v>724</v>
      </c>
      <c r="B53" s="225" t="s">
        <v>767</v>
      </c>
      <c r="C53" s="225"/>
      <c r="D53" s="268"/>
      <c r="E53" s="268"/>
      <c r="F53" s="269">
        <v>8407.9351635943603</v>
      </c>
      <c r="G53" s="269">
        <v>0</v>
      </c>
      <c r="H53" s="269">
        <v>0</v>
      </c>
      <c r="I53" s="269">
        <v>0</v>
      </c>
      <c r="J53" s="269">
        <v>0</v>
      </c>
      <c r="K53" s="269">
        <v>0</v>
      </c>
      <c r="L53" s="269">
        <v>0</v>
      </c>
      <c r="M53" s="269">
        <v>0</v>
      </c>
      <c r="N53" s="269">
        <v>0</v>
      </c>
      <c r="O53" s="269">
        <v>8407.9351635943603</v>
      </c>
    </row>
    <row r="54" spans="1:16" s="273" customFormat="1" ht="12" x14ac:dyDescent="0.2">
      <c r="A54" s="235"/>
      <c r="B54" s="270"/>
      <c r="C54" s="236" t="s">
        <v>560</v>
      </c>
      <c r="D54" s="271"/>
      <c r="E54" s="271"/>
      <c r="F54" s="272">
        <v>5711.9142870457599</v>
      </c>
      <c r="G54" s="272">
        <v>0</v>
      </c>
      <c r="H54" s="272">
        <v>0</v>
      </c>
      <c r="I54" s="272">
        <v>0</v>
      </c>
      <c r="J54" s="272">
        <v>0</v>
      </c>
      <c r="K54" s="272">
        <v>0</v>
      </c>
      <c r="L54" s="272">
        <v>0</v>
      </c>
      <c r="M54" s="272">
        <v>0</v>
      </c>
      <c r="N54" s="272">
        <v>0</v>
      </c>
      <c r="O54" s="272">
        <v>5711.9142870457599</v>
      </c>
      <c r="P54" s="271"/>
    </row>
    <row r="55" spans="1:16" s="273" customFormat="1" ht="12" x14ac:dyDescent="0.2">
      <c r="A55" s="235"/>
      <c r="B55" s="270"/>
      <c r="C55" s="236" t="s">
        <v>191</v>
      </c>
      <c r="D55" s="271"/>
      <c r="E55" s="271"/>
      <c r="F55" s="272">
        <v>1847.91046617033</v>
      </c>
      <c r="G55" s="272">
        <v>0</v>
      </c>
      <c r="H55" s="272">
        <v>0</v>
      </c>
      <c r="I55" s="272">
        <v>0</v>
      </c>
      <c r="J55" s="272">
        <v>0</v>
      </c>
      <c r="K55" s="272">
        <v>0</v>
      </c>
      <c r="L55" s="272">
        <v>0</v>
      </c>
      <c r="M55" s="272">
        <v>0</v>
      </c>
      <c r="N55" s="272">
        <v>0</v>
      </c>
      <c r="O55" s="272">
        <v>1847.91046617033</v>
      </c>
      <c r="P55" s="271"/>
    </row>
    <row r="56" spans="1:16" s="273" customFormat="1" ht="12" x14ac:dyDescent="0.2">
      <c r="A56" s="235"/>
      <c r="B56" s="270"/>
      <c r="C56" s="236" t="s">
        <v>768</v>
      </c>
      <c r="D56" s="271"/>
      <c r="E56" s="271"/>
      <c r="F56" s="272">
        <v>848.11041037827704</v>
      </c>
      <c r="G56" s="272">
        <v>0</v>
      </c>
      <c r="H56" s="272">
        <v>0</v>
      </c>
      <c r="I56" s="272">
        <v>0</v>
      </c>
      <c r="J56" s="272">
        <v>0</v>
      </c>
      <c r="K56" s="272">
        <v>0</v>
      </c>
      <c r="L56" s="272">
        <v>0</v>
      </c>
      <c r="M56" s="272">
        <v>0</v>
      </c>
      <c r="N56" s="272">
        <v>0</v>
      </c>
      <c r="O56" s="272">
        <v>848.11041037827704</v>
      </c>
      <c r="P56" s="271"/>
    </row>
    <row r="57" spans="1:16" s="275" customFormat="1" ht="12.75" x14ac:dyDescent="0.2">
      <c r="A57" s="224" t="s">
        <v>737</v>
      </c>
      <c r="B57" s="225" t="s">
        <v>769</v>
      </c>
      <c r="C57" s="225"/>
      <c r="D57" s="274"/>
      <c r="E57" s="274"/>
      <c r="F57" s="269">
        <v>6755.7843402095696</v>
      </c>
      <c r="G57" s="269">
        <v>4.1175626878039804</v>
      </c>
      <c r="H57" s="269">
        <v>102.939067195099</v>
      </c>
      <c r="I57" s="269">
        <v>38.5228403905164</v>
      </c>
      <c r="J57" s="269">
        <v>11479.806436373899</v>
      </c>
      <c r="K57" s="269">
        <v>0</v>
      </c>
      <c r="L57" s="269">
        <v>0</v>
      </c>
      <c r="M57" s="269">
        <v>0</v>
      </c>
      <c r="N57" s="269">
        <v>0</v>
      </c>
      <c r="O57" s="269">
        <v>18338.5298437786</v>
      </c>
      <c r="P57" s="274"/>
    </row>
    <row r="58" spans="1:16" s="277" customFormat="1" ht="12" x14ac:dyDescent="0.2">
      <c r="A58" s="235"/>
      <c r="B58" s="270"/>
      <c r="C58" s="236" t="s">
        <v>192</v>
      </c>
      <c r="D58" s="276"/>
      <c r="E58" s="276"/>
      <c r="F58" s="272">
        <v>3032.4483394480199</v>
      </c>
      <c r="G58" s="272">
        <v>0</v>
      </c>
      <c r="H58" s="272">
        <v>0</v>
      </c>
      <c r="I58" s="272">
        <v>0</v>
      </c>
      <c r="J58" s="272">
        <v>0</v>
      </c>
      <c r="K58" s="272">
        <v>0</v>
      </c>
      <c r="L58" s="272">
        <v>0</v>
      </c>
      <c r="M58" s="272">
        <v>0</v>
      </c>
      <c r="N58" s="272">
        <v>0</v>
      </c>
      <c r="O58" s="272">
        <v>3032.4483394480199</v>
      </c>
      <c r="P58" s="276"/>
    </row>
    <row r="59" spans="1:16" s="277" customFormat="1" ht="12" x14ac:dyDescent="0.2">
      <c r="A59" s="235"/>
      <c r="B59" s="270"/>
      <c r="C59" s="236" t="s">
        <v>190</v>
      </c>
      <c r="D59" s="276"/>
      <c r="E59" s="276"/>
      <c r="F59" s="272">
        <v>0</v>
      </c>
      <c r="G59" s="272">
        <v>0</v>
      </c>
      <c r="H59" s="272">
        <v>0</v>
      </c>
      <c r="I59" s="272">
        <v>3.0849935002475499</v>
      </c>
      <c r="J59" s="272">
        <v>919.32806307376904</v>
      </c>
      <c r="K59" s="272">
        <v>0</v>
      </c>
      <c r="L59" s="272">
        <v>0</v>
      </c>
      <c r="M59" s="272">
        <v>0</v>
      </c>
      <c r="N59" s="272">
        <v>0</v>
      </c>
      <c r="O59" s="272">
        <v>919.32806307376904</v>
      </c>
      <c r="P59" s="276"/>
    </row>
    <row r="60" spans="1:16" s="277" customFormat="1" ht="12" x14ac:dyDescent="0.2">
      <c r="A60" s="235"/>
      <c r="B60" s="270"/>
      <c r="C60" s="236" t="s">
        <v>770</v>
      </c>
      <c r="D60" s="276"/>
      <c r="E60" s="276"/>
      <c r="F60" s="272">
        <v>0</v>
      </c>
      <c r="G60" s="272">
        <v>0</v>
      </c>
      <c r="H60" s="272">
        <v>0</v>
      </c>
      <c r="I60" s="272">
        <v>35.381</v>
      </c>
      <c r="J60" s="272">
        <v>10543.538</v>
      </c>
      <c r="K60" s="272">
        <v>0</v>
      </c>
      <c r="L60" s="272">
        <v>0</v>
      </c>
      <c r="M60" s="272">
        <v>0</v>
      </c>
      <c r="N60" s="272">
        <v>0</v>
      </c>
      <c r="O60" s="272">
        <v>10543.538</v>
      </c>
      <c r="P60" s="276"/>
    </row>
    <row r="61" spans="1:16" s="277" customFormat="1" ht="12" x14ac:dyDescent="0.2">
      <c r="A61" s="235"/>
      <c r="B61" s="270"/>
      <c r="C61" s="236" t="s">
        <v>771</v>
      </c>
      <c r="D61" s="276"/>
      <c r="E61" s="276"/>
      <c r="F61" s="272">
        <v>3723.3360007615402</v>
      </c>
      <c r="G61" s="272">
        <v>4.1175626878039804</v>
      </c>
      <c r="H61" s="272">
        <v>102.939067195099</v>
      </c>
      <c r="I61" s="272">
        <v>5.6846890268872498E-2</v>
      </c>
      <c r="J61" s="272">
        <v>16.940373300124001</v>
      </c>
      <c r="K61" s="272">
        <v>0</v>
      </c>
      <c r="L61" s="272">
        <v>0</v>
      </c>
      <c r="M61" s="272">
        <v>0</v>
      </c>
      <c r="N61" s="272">
        <v>0</v>
      </c>
      <c r="O61" s="272">
        <v>3843.2154412567702</v>
      </c>
      <c r="P61" s="276"/>
    </row>
    <row r="62" spans="1:16" s="240" customFormat="1" ht="12.75" x14ac:dyDescent="0.2">
      <c r="A62" s="224" t="s">
        <v>758</v>
      </c>
      <c r="B62" s="225" t="s">
        <v>772</v>
      </c>
      <c r="C62" s="225"/>
      <c r="D62" s="268"/>
      <c r="E62" s="268"/>
      <c r="F62" s="269">
        <v>14744.761098274101</v>
      </c>
      <c r="G62" s="269">
        <v>9.7870495799999999E-2</v>
      </c>
      <c r="H62" s="269">
        <v>2.4467623949999999</v>
      </c>
      <c r="I62" s="269">
        <v>0</v>
      </c>
      <c r="J62" s="269">
        <v>0</v>
      </c>
      <c r="K62" s="269">
        <v>0</v>
      </c>
      <c r="L62" s="269">
        <v>6894.9662558752698</v>
      </c>
      <c r="M62" s="269">
        <v>2235.2042270250399</v>
      </c>
      <c r="N62" s="269">
        <v>0</v>
      </c>
      <c r="O62" s="269">
        <v>23877.378343569399</v>
      </c>
      <c r="P62" s="268"/>
    </row>
    <row r="63" spans="1:16" s="273" customFormat="1" ht="12" x14ac:dyDescent="0.2">
      <c r="A63" s="235"/>
      <c r="B63" s="230"/>
      <c r="C63" s="230" t="s">
        <v>773</v>
      </c>
      <c r="D63" s="271"/>
      <c r="E63" s="271"/>
      <c r="F63" s="272">
        <v>10973.370138807401</v>
      </c>
      <c r="G63" s="272">
        <v>9.7870495799999999E-2</v>
      </c>
      <c r="H63" s="272">
        <v>2.4467623949999999</v>
      </c>
      <c r="I63" s="272">
        <v>0</v>
      </c>
      <c r="J63" s="272">
        <v>0</v>
      </c>
      <c r="K63" s="272">
        <v>0</v>
      </c>
      <c r="L63" s="272">
        <v>0</v>
      </c>
      <c r="M63" s="272">
        <v>0</v>
      </c>
      <c r="N63" s="272">
        <v>0</v>
      </c>
      <c r="O63" s="272">
        <v>10975.816901202399</v>
      </c>
      <c r="P63" s="271"/>
    </row>
    <row r="64" spans="1:16" s="273" customFormat="1" ht="12" x14ac:dyDescent="0.2">
      <c r="A64" s="235"/>
      <c r="B64" s="230"/>
      <c r="C64" s="230" t="s">
        <v>252</v>
      </c>
      <c r="D64" s="271"/>
      <c r="E64" s="271"/>
      <c r="F64" s="272">
        <v>3771.3909594666702</v>
      </c>
      <c r="G64" s="272">
        <v>0</v>
      </c>
      <c r="H64" s="272">
        <v>0</v>
      </c>
      <c r="I64" s="272">
        <v>0</v>
      </c>
      <c r="J64" s="272">
        <v>0</v>
      </c>
      <c r="K64" s="272">
        <v>0</v>
      </c>
      <c r="L64" s="272">
        <v>6894.9662558752698</v>
      </c>
      <c r="M64" s="272">
        <v>56.3408033472803</v>
      </c>
      <c r="N64" s="272">
        <v>0</v>
      </c>
      <c r="O64" s="272">
        <v>10722.6980186892</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2178.8634236777598</v>
      </c>
      <c r="N65" s="272">
        <v>0</v>
      </c>
      <c r="O65" s="272">
        <v>2178.8634236777598</v>
      </c>
      <c r="P65" s="271"/>
    </row>
    <row r="66" spans="1:16" s="234" customFormat="1" x14ac:dyDescent="0.25">
      <c r="A66" s="278" t="s">
        <v>764</v>
      </c>
      <c r="B66" s="279" t="s">
        <v>775</v>
      </c>
      <c r="C66" s="279"/>
      <c r="D66" s="251"/>
      <c r="E66" s="251"/>
      <c r="F66" s="252">
        <v>0</v>
      </c>
      <c r="G66" s="252">
        <v>0</v>
      </c>
      <c r="H66" s="252">
        <v>0</v>
      </c>
      <c r="I66" s="252">
        <v>0</v>
      </c>
      <c r="J66" s="252">
        <v>0</v>
      </c>
      <c r="K66" s="252">
        <v>0</v>
      </c>
      <c r="L66" s="252">
        <v>4.8286259999999998E-2</v>
      </c>
      <c r="M66" s="252">
        <v>4.3776520400255103</v>
      </c>
      <c r="N66" s="252">
        <v>0.28977229866666698</v>
      </c>
      <c r="O66" s="252">
        <v>4.7157105986921799</v>
      </c>
      <c r="P66" s="251"/>
    </row>
    <row r="67" spans="1:16" s="234" customFormat="1" ht="12.75" x14ac:dyDescent="0.2">
      <c r="A67" s="278" t="s">
        <v>776</v>
      </c>
      <c r="B67" s="279" t="s">
        <v>777</v>
      </c>
      <c r="C67" s="279"/>
      <c r="D67" s="251"/>
      <c r="E67" s="251"/>
      <c r="F67" s="252">
        <v>5184.5212829533602</v>
      </c>
      <c r="G67" s="252">
        <v>0</v>
      </c>
      <c r="H67" s="252">
        <v>0</v>
      </c>
      <c r="I67" s="252">
        <v>0</v>
      </c>
      <c r="J67" s="252">
        <v>0</v>
      </c>
      <c r="K67" s="252">
        <v>0</v>
      </c>
      <c r="L67" s="252">
        <v>0</v>
      </c>
      <c r="M67" s="252">
        <v>0</v>
      </c>
      <c r="N67" s="252">
        <v>0</v>
      </c>
      <c r="O67" s="252">
        <v>5184.5212829533602</v>
      </c>
      <c r="P67" s="251"/>
    </row>
    <row r="68" spans="1:16" s="234" customFormat="1" ht="12.75" x14ac:dyDescent="0.2">
      <c r="A68" s="259" t="s">
        <v>778</v>
      </c>
      <c r="B68" s="260" t="s">
        <v>779</v>
      </c>
      <c r="C68" s="260"/>
      <c r="D68" s="280"/>
      <c r="E68" s="280"/>
      <c r="F68" s="281">
        <v>0</v>
      </c>
      <c r="G68" s="281">
        <v>0</v>
      </c>
      <c r="H68" s="281">
        <v>0</v>
      </c>
      <c r="I68" s="281">
        <v>0.56579891994557796</v>
      </c>
      <c r="J68" s="281">
        <v>168.608078143782</v>
      </c>
      <c r="K68" s="281">
        <v>0</v>
      </c>
      <c r="L68" s="281">
        <v>0</v>
      </c>
      <c r="M68" s="281">
        <v>202.16233908586199</v>
      </c>
      <c r="N68" s="281">
        <v>0</v>
      </c>
      <c r="O68" s="281">
        <v>370.77041722964498</v>
      </c>
      <c r="P68" s="251"/>
    </row>
    <row r="69" spans="1:16" s="267" customFormat="1" ht="12.75" x14ac:dyDescent="0.2">
      <c r="A69" s="282" t="s">
        <v>780</v>
      </c>
      <c r="B69" s="283"/>
      <c r="C69" s="283"/>
      <c r="D69" s="284"/>
      <c r="E69" s="284"/>
      <c r="F69" s="285">
        <v>1376.94028853333</v>
      </c>
      <c r="G69" s="285">
        <v>1186.90042299176</v>
      </c>
      <c r="H69" s="285">
        <v>29672.510574794</v>
      </c>
      <c r="I69" s="285">
        <v>74.180398420705998</v>
      </c>
      <c r="J69" s="285">
        <v>22105.758729370398</v>
      </c>
      <c r="K69" s="285">
        <v>0</v>
      </c>
      <c r="L69" s="285">
        <v>0</v>
      </c>
      <c r="M69" s="285">
        <v>0</v>
      </c>
      <c r="N69" s="285">
        <v>0</v>
      </c>
      <c r="O69" s="285">
        <v>53155.209592697698</v>
      </c>
      <c r="P69" s="265"/>
    </row>
    <row r="70" spans="1:16" s="234" customFormat="1" ht="12.75" x14ac:dyDescent="0.2">
      <c r="A70" s="278" t="s">
        <v>724</v>
      </c>
      <c r="B70" s="279" t="s">
        <v>27</v>
      </c>
      <c r="C70" s="279"/>
      <c r="D70" s="251"/>
      <c r="E70" s="251"/>
      <c r="F70" s="252">
        <v>0</v>
      </c>
      <c r="G70" s="252">
        <v>1037.69621795694</v>
      </c>
      <c r="H70" s="252">
        <v>25942.405448923499</v>
      </c>
      <c r="I70" s="252">
        <v>0</v>
      </c>
      <c r="J70" s="252">
        <v>0</v>
      </c>
      <c r="K70" s="252">
        <v>0</v>
      </c>
      <c r="L70" s="252">
        <v>0</v>
      </c>
      <c r="M70" s="252">
        <v>0</v>
      </c>
      <c r="N70" s="252">
        <v>0</v>
      </c>
      <c r="O70" s="252">
        <v>25942.405448923499</v>
      </c>
      <c r="P70" s="251"/>
    </row>
    <row r="71" spans="1:16" s="234" customFormat="1" ht="12.75" x14ac:dyDescent="0.2">
      <c r="A71" s="278" t="s">
        <v>737</v>
      </c>
      <c r="B71" s="279" t="s">
        <v>28</v>
      </c>
      <c r="C71" s="279"/>
      <c r="D71" s="251"/>
      <c r="E71" s="251"/>
      <c r="F71" s="252">
        <v>0</v>
      </c>
      <c r="G71" s="252">
        <v>143.623484178924</v>
      </c>
      <c r="H71" s="252">
        <v>3590.5871044731098</v>
      </c>
      <c r="I71" s="252">
        <v>15.2549340977976</v>
      </c>
      <c r="J71" s="252">
        <v>4545.9703611436898</v>
      </c>
      <c r="K71" s="252">
        <v>0</v>
      </c>
      <c r="L71" s="252">
        <v>0</v>
      </c>
      <c r="M71" s="252">
        <v>0</v>
      </c>
      <c r="N71" s="252">
        <v>0</v>
      </c>
      <c r="O71" s="252">
        <v>8136.5574656168001</v>
      </c>
      <c r="P71" s="251"/>
    </row>
    <row r="72" spans="1:16" s="234" customFormat="1" ht="12.75" x14ac:dyDescent="0.2">
      <c r="A72" s="224" t="s">
        <v>758</v>
      </c>
      <c r="B72" s="225" t="s">
        <v>781</v>
      </c>
      <c r="C72" s="225"/>
      <c r="F72" s="231">
        <v>0</v>
      </c>
      <c r="G72" s="231">
        <v>0</v>
      </c>
      <c r="H72" s="231">
        <v>0</v>
      </c>
      <c r="I72" s="231">
        <v>58.780778967385103</v>
      </c>
      <c r="J72" s="231">
        <v>17516.672132280801</v>
      </c>
      <c r="K72" s="231">
        <v>0</v>
      </c>
      <c r="L72" s="231">
        <v>0</v>
      </c>
      <c r="M72" s="231">
        <v>0</v>
      </c>
      <c r="N72" s="231">
        <v>0</v>
      </c>
      <c r="O72" s="231">
        <v>17516.672132280801</v>
      </c>
    </row>
    <row r="73" spans="1:16" s="237" customFormat="1" ht="12" x14ac:dyDescent="0.2">
      <c r="A73" s="286"/>
      <c r="B73" s="258"/>
      <c r="C73" s="258" t="s">
        <v>782</v>
      </c>
      <c r="D73" s="243"/>
      <c r="E73" s="243"/>
      <c r="F73" s="244">
        <v>0</v>
      </c>
      <c r="G73" s="244">
        <v>0</v>
      </c>
      <c r="H73" s="244">
        <v>0</v>
      </c>
      <c r="I73" s="244">
        <v>48.827962114223801</v>
      </c>
      <c r="J73" s="244">
        <v>14550.732710038699</v>
      </c>
      <c r="K73" s="244">
        <v>0</v>
      </c>
      <c r="L73" s="244">
        <v>0</v>
      </c>
      <c r="M73" s="244">
        <v>0</v>
      </c>
      <c r="N73" s="244">
        <v>0</v>
      </c>
      <c r="O73" s="244">
        <v>14550.732710038699</v>
      </c>
    </row>
    <row r="74" spans="1:16" s="237" customFormat="1" ht="12" x14ac:dyDescent="0.2">
      <c r="A74" s="286"/>
      <c r="B74" s="258"/>
      <c r="C74" s="258" t="s">
        <v>783</v>
      </c>
      <c r="D74" s="243"/>
      <c r="E74" s="243"/>
      <c r="F74" s="244">
        <v>0</v>
      </c>
      <c r="G74" s="244">
        <v>0</v>
      </c>
      <c r="H74" s="244">
        <v>0</v>
      </c>
      <c r="I74" s="244">
        <v>9.9528168531613304</v>
      </c>
      <c r="J74" s="244">
        <v>2965.9394222420701</v>
      </c>
      <c r="K74" s="244">
        <v>0</v>
      </c>
      <c r="L74" s="244">
        <v>0</v>
      </c>
      <c r="M74" s="244">
        <v>0</v>
      </c>
      <c r="N74" s="244">
        <v>0</v>
      </c>
      <c r="O74" s="244">
        <v>2965.9394222420701</v>
      </c>
    </row>
    <row r="75" spans="1:16" s="234" customFormat="1" ht="12.75" x14ac:dyDescent="0.2">
      <c r="A75" s="278" t="s">
        <v>764</v>
      </c>
      <c r="B75" s="279" t="s">
        <v>193</v>
      </c>
      <c r="C75" s="287"/>
      <c r="D75" s="251"/>
      <c r="E75" s="251"/>
      <c r="F75" s="252">
        <v>0</v>
      </c>
      <c r="G75" s="252">
        <v>5.5807208558981296</v>
      </c>
      <c r="H75" s="252">
        <v>139.518021397453</v>
      </c>
      <c r="I75" s="252">
        <v>0.14468535552328499</v>
      </c>
      <c r="J75" s="252">
        <v>43.116235945938797</v>
      </c>
      <c r="K75" s="252">
        <v>0</v>
      </c>
      <c r="L75" s="252">
        <v>0</v>
      </c>
      <c r="M75" s="252">
        <v>0</v>
      </c>
      <c r="N75" s="252">
        <v>0</v>
      </c>
      <c r="O75" s="252">
        <v>182.63425734339199</v>
      </c>
    </row>
    <row r="76" spans="1:16" s="234" customFormat="1" ht="12.75" x14ac:dyDescent="0.2">
      <c r="A76" s="259" t="s">
        <v>776</v>
      </c>
      <c r="B76" s="260" t="s">
        <v>784</v>
      </c>
      <c r="C76" s="288"/>
      <c r="D76" s="280"/>
      <c r="E76" s="280"/>
      <c r="F76" s="281">
        <v>1376.94028853333</v>
      </c>
      <c r="G76" s="281">
        <v>0</v>
      </c>
      <c r="H76" s="281">
        <v>0</v>
      </c>
      <c r="I76" s="281">
        <v>0</v>
      </c>
      <c r="J76" s="281">
        <v>0</v>
      </c>
      <c r="K76" s="281">
        <v>0</v>
      </c>
      <c r="L76" s="281">
        <v>0</v>
      </c>
      <c r="M76" s="281">
        <v>0</v>
      </c>
      <c r="N76" s="281">
        <v>0</v>
      </c>
      <c r="O76" s="281">
        <v>1376.94028853333</v>
      </c>
    </row>
    <row r="77" spans="1:16" s="234" customFormat="1" ht="12.75" x14ac:dyDescent="0.2">
      <c r="A77" s="220" t="s">
        <v>785</v>
      </c>
      <c r="B77" s="289"/>
      <c r="C77" s="289"/>
      <c r="F77" s="223">
        <v>549.24528995000003</v>
      </c>
      <c r="G77" s="223">
        <v>924.90843758999995</v>
      </c>
      <c r="H77" s="223">
        <v>23122.710939749999</v>
      </c>
      <c r="I77" s="223">
        <v>3.67057477</v>
      </c>
      <c r="J77" s="223">
        <v>1093.8312814599999</v>
      </c>
      <c r="K77" s="223">
        <v>0</v>
      </c>
      <c r="L77" s="223">
        <v>0</v>
      </c>
      <c r="M77" s="223">
        <v>0</v>
      </c>
      <c r="N77" s="223">
        <v>0</v>
      </c>
      <c r="O77" s="223">
        <v>24765.787511160001</v>
      </c>
    </row>
    <row r="78" spans="1:16" s="234" customFormat="1" ht="12.75" x14ac:dyDescent="0.2">
      <c r="A78" s="224" t="s">
        <v>724</v>
      </c>
      <c r="B78" s="225" t="s">
        <v>786</v>
      </c>
      <c r="C78" s="225"/>
      <c r="F78" s="231">
        <v>0</v>
      </c>
      <c r="G78" s="231">
        <v>889.11314300000004</v>
      </c>
      <c r="H78" s="231">
        <v>22227.828575</v>
      </c>
      <c r="I78" s="231">
        <v>0</v>
      </c>
      <c r="J78" s="231">
        <v>0</v>
      </c>
      <c r="K78" s="231">
        <v>0</v>
      </c>
      <c r="L78" s="231">
        <v>0</v>
      </c>
      <c r="M78" s="231">
        <v>0</v>
      </c>
      <c r="N78" s="231">
        <v>0</v>
      </c>
      <c r="O78" s="231">
        <v>22227.828575</v>
      </c>
    </row>
    <row r="79" spans="1:16" s="234" customFormat="1" ht="12.75" x14ac:dyDescent="0.2">
      <c r="A79" s="224" t="s">
        <v>737</v>
      </c>
      <c r="B79" s="225" t="s">
        <v>787</v>
      </c>
      <c r="C79" s="225"/>
      <c r="F79" s="231">
        <v>0</v>
      </c>
      <c r="G79" s="231">
        <v>18.269399620000002</v>
      </c>
      <c r="H79" s="231">
        <v>456.73499049999998</v>
      </c>
      <c r="I79" s="231">
        <v>1.09616398</v>
      </c>
      <c r="J79" s="231">
        <v>326.65686604000001</v>
      </c>
      <c r="K79" s="231">
        <v>0</v>
      </c>
      <c r="L79" s="231">
        <v>0</v>
      </c>
      <c r="M79" s="231">
        <v>0</v>
      </c>
      <c r="N79" s="231">
        <v>0</v>
      </c>
      <c r="O79" s="231">
        <v>783.39185654000005</v>
      </c>
    </row>
    <row r="80" spans="1:16" s="234" customFormat="1" ht="12.75" x14ac:dyDescent="0.2">
      <c r="A80" s="278" t="s">
        <v>788</v>
      </c>
      <c r="B80" s="279" t="s">
        <v>789</v>
      </c>
      <c r="C80" s="279"/>
      <c r="D80" s="251"/>
      <c r="E80" s="251"/>
      <c r="F80" s="252">
        <v>0</v>
      </c>
      <c r="G80" s="252">
        <v>15.626537799999999</v>
      </c>
      <c r="H80" s="252">
        <v>390.66344500000002</v>
      </c>
      <c r="I80" s="252">
        <v>1.8055441800000001</v>
      </c>
      <c r="J80" s="252">
        <v>538.05216564</v>
      </c>
      <c r="K80" s="252">
        <v>0</v>
      </c>
      <c r="L80" s="252">
        <v>0</v>
      </c>
      <c r="M80" s="252">
        <v>0</v>
      </c>
      <c r="N80" s="252">
        <v>0</v>
      </c>
      <c r="O80" s="252">
        <v>928.71561064000002</v>
      </c>
    </row>
    <row r="81" spans="1:34" s="234" customFormat="1" ht="12.75" x14ac:dyDescent="0.2">
      <c r="A81" s="259" t="s">
        <v>764</v>
      </c>
      <c r="B81" s="260" t="s">
        <v>790</v>
      </c>
      <c r="C81" s="260"/>
      <c r="D81" s="280"/>
      <c r="E81" s="280"/>
      <c r="F81" s="281">
        <v>549.24528995000003</v>
      </c>
      <c r="G81" s="281">
        <v>1.89935717</v>
      </c>
      <c r="H81" s="281">
        <v>47.483929250000003</v>
      </c>
      <c r="I81" s="281">
        <v>0.76886661000000001</v>
      </c>
      <c r="J81" s="281">
        <v>229.12224978</v>
      </c>
      <c r="K81" s="281">
        <v>0</v>
      </c>
      <c r="L81" s="281">
        <v>0</v>
      </c>
      <c r="M81" s="281">
        <v>0</v>
      </c>
      <c r="N81" s="281">
        <v>0</v>
      </c>
      <c r="O81" s="281">
        <v>825.85146898000005</v>
      </c>
    </row>
    <row r="82" spans="1:34" s="267" customFormat="1" ht="12.75" x14ac:dyDescent="0.2">
      <c r="A82" s="263" t="s">
        <v>791</v>
      </c>
      <c r="B82" s="264"/>
      <c r="C82" s="264"/>
      <c r="F82" s="223">
        <v>-90383.338803000006</v>
      </c>
      <c r="G82" s="223">
        <v>64.093250999999995</v>
      </c>
      <c r="H82" s="223">
        <v>1602.331275</v>
      </c>
      <c r="I82" s="223">
        <v>2.2222010000000001</v>
      </c>
      <c r="J82" s="223">
        <v>662.21589800000004</v>
      </c>
      <c r="K82" s="223">
        <v>0</v>
      </c>
      <c r="L82" s="223">
        <v>0</v>
      </c>
      <c r="M82" s="223">
        <v>0</v>
      </c>
      <c r="N82" s="223">
        <v>0</v>
      </c>
      <c r="O82" s="223">
        <v>-88118.791630000007</v>
      </c>
    </row>
    <row r="83" spans="1:34" s="234" customFormat="1" ht="12.75" x14ac:dyDescent="0.2">
      <c r="A83" s="224" t="s">
        <v>724</v>
      </c>
      <c r="B83" s="225" t="s">
        <v>792</v>
      </c>
      <c r="C83" s="225"/>
      <c r="F83" s="231">
        <v>-251804.36605899999</v>
      </c>
      <c r="G83" s="231">
        <v>22.709821000000002</v>
      </c>
      <c r="H83" s="231">
        <v>567.74552500000004</v>
      </c>
      <c r="I83" s="231">
        <v>0.92696299999999998</v>
      </c>
      <c r="J83" s="231">
        <v>276.23497400000002</v>
      </c>
      <c r="K83" s="231">
        <v>0</v>
      </c>
      <c r="L83" s="231">
        <v>0</v>
      </c>
      <c r="M83" s="231">
        <v>0</v>
      </c>
      <c r="N83" s="231">
        <v>0</v>
      </c>
      <c r="O83" s="231">
        <v>-250960.38556</v>
      </c>
    </row>
    <row r="84" spans="1:34" s="234" customFormat="1" ht="12.75" x14ac:dyDescent="0.2">
      <c r="A84" s="224" t="s">
        <v>737</v>
      </c>
      <c r="B84" s="225" t="s">
        <v>793</v>
      </c>
      <c r="C84" s="225"/>
      <c r="F84" s="231">
        <v>3191.5335180000002</v>
      </c>
      <c r="G84" s="231">
        <v>7.4256760000000002</v>
      </c>
      <c r="H84" s="231">
        <v>185.64189999999999</v>
      </c>
      <c r="I84" s="231">
        <v>0.36525000000000002</v>
      </c>
      <c r="J84" s="231">
        <v>108.8445</v>
      </c>
      <c r="K84" s="231">
        <v>0</v>
      </c>
      <c r="L84" s="231">
        <v>0</v>
      </c>
      <c r="M84" s="231">
        <v>0</v>
      </c>
      <c r="N84" s="231">
        <v>0</v>
      </c>
      <c r="O84" s="231">
        <v>3486.019918</v>
      </c>
    </row>
    <row r="85" spans="1:34" s="234" customFormat="1" ht="12.75" x14ac:dyDescent="0.2">
      <c r="A85" s="278" t="s">
        <v>758</v>
      </c>
      <c r="B85" s="279" t="s">
        <v>794</v>
      </c>
      <c r="C85" s="279"/>
      <c r="F85" s="231">
        <v>0</v>
      </c>
      <c r="G85" s="231">
        <v>29.423349999999999</v>
      </c>
      <c r="H85" s="231">
        <v>735.58375000000001</v>
      </c>
      <c r="I85" s="231">
        <v>0.76280999999999999</v>
      </c>
      <c r="J85" s="231">
        <v>227.31738000000001</v>
      </c>
      <c r="K85" s="231">
        <v>0</v>
      </c>
      <c r="L85" s="231">
        <v>0</v>
      </c>
      <c r="M85" s="231">
        <v>0</v>
      </c>
      <c r="N85" s="231">
        <v>0</v>
      </c>
      <c r="O85" s="231">
        <v>962.90112999999997</v>
      </c>
    </row>
    <row r="86" spans="1:34" s="234" customFormat="1" ht="12.75" x14ac:dyDescent="0.2">
      <c r="A86" s="278" t="s">
        <v>764</v>
      </c>
      <c r="B86" s="279" t="s">
        <v>795</v>
      </c>
      <c r="C86" s="279"/>
      <c r="F86" s="231">
        <v>2793.6636659999999</v>
      </c>
      <c r="G86" s="231">
        <v>0.28436699999999998</v>
      </c>
      <c r="H86" s="231">
        <v>7.1091749999999996</v>
      </c>
      <c r="I86" s="231">
        <v>1.7191999999999999E-2</v>
      </c>
      <c r="J86" s="231">
        <v>5.1232160000000002</v>
      </c>
      <c r="K86" s="231">
        <v>0</v>
      </c>
      <c r="L86" s="231">
        <v>0</v>
      </c>
      <c r="M86" s="231">
        <v>0</v>
      </c>
      <c r="N86" s="231">
        <v>0</v>
      </c>
      <c r="O86" s="231">
        <v>2805.8960569999999</v>
      </c>
    </row>
    <row r="87" spans="1:34" s="234" customFormat="1" ht="12.75" x14ac:dyDescent="0.2">
      <c r="A87" s="278" t="s">
        <v>776</v>
      </c>
      <c r="B87" s="279" t="s">
        <v>796</v>
      </c>
      <c r="C87" s="279"/>
      <c r="D87" s="251"/>
      <c r="E87" s="251"/>
      <c r="F87" s="252">
        <v>3390.6836699999999</v>
      </c>
      <c r="G87" s="252">
        <v>4.2500369999999998</v>
      </c>
      <c r="H87" s="252">
        <v>106.250925</v>
      </c>
      <c r="I87" s="252">
        <v>0.14998600000000001</v>
      </c>
      <c r="J87" s="252">
        <v>44.695827999999999</v>
      </c>
      <c r="K87" s="252">
        <v>0</v>
      </c>
      <c r="L87" s="252">
        <v>0</v>
      </c>
      <c r="M87" s="252">
        <v>0</v>
      </c>
      <c r="N87" s="252">
        <v>0</v>
      </c>
      <c r="O87" s="252">
        <v>3541.6304230000001</v>
      </c>
    </row>
    <row r="88" spans="1:34" s="234" customFormat="1" ht="12.75" x14ac:dyDescent="0.2">
      <c r="A88" s="259" t="s">
        <v>778</v>
      </c>
      <c r="B88" s="260" t="s">
        <v>797</v>
      </c>
      <c r="C88" s="260"/>
      <c r="D88" s="280"/>
      <c r="E88" s="280"/>
      <c r="F88" s="281">
        <v>152045.14640200001</v>
      </c>
      <c r="G88" s="281">
        <v>0</v>
      </c>
      <c r="H88" s="281">
        <v>0</v>
      </c>
      <c r="I88" s="281">
        <v>0</v>
      </c>
      <c r="J88" s="281">
        <v>0</v>
      </c>
      <c r="K88" s="281">
        <v>0</v>
      </c>
      <c r="L88" s="281">
        <v>0</v>
      </c>
      <c r="M88" s="281">
        <v>0</v>
      </c>
      <c r="N88" s="281">
        <v>0</v>
      </c>
      <c r="O88" s="281">
        <v>152045.14640200001</v>
      </c>
      <c r="P88" s="251"/>
      <c r="Q88" s="251"/>
      <c r="R88" s="251"/>
      <c r="S88" s="251"/>
      <c r="T88" s="251"/>
      <c r="U88" s="251"/>
      <c r="V88" s="251"/>
      <c r="W88" s="251"/>
      <c r="X88" s="251"/>
      <c r="Y88" s="251"/>
      <c r="Z88" s="251"/>
      <c r="AA88" s="251"/>
      <c r="AB88" s="251"/>
      <c r="AC88" s="251"/>
      <c r="AD88" s="251"/>
      <c r="AE88" s="251"/>
      <c r="AF88" s="251"/>
      <c r="AG88" s="251"/>
      <c r="AH88" s="251"/>
    </row>
    <row r="89" spans="1:34"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row>
    <row r="90" spans="1:34" x14ac:dyDescent="0.2">
      <c r="A90" s="234" t="s">
        <v>256</v>
      </c>
      <c r="B90" s="292"/>
      <c r="C90" s="292"/>
      <c r="D90" s="292"/>
      <c r="E90" s="292"/>
      <c r="F90" s="292"/>
      <c r="G90" s="292"/>
      <c r="H90" s="292"/>
      <c r="I90" s="292"/>
      <c r="J90" s="292"/>
      <c r="K90" s="292"/>
      <c r="L90" s="292"/>
      <c r="M90" s="292"/>
      <c r="N90" s="292"/>
      <c r="O90" s="292"/>
    </row>
    <row r="91" spans="1:34" s="234" customFormat="1" ht="12.75" x14ac:dyDescent="0.2">
      <c r="A91" s="234" t="s">
        <v>798</v>
      </c>
      <c r="J91" s="293"/>
      <c r="O91" s="293"/>
    </row>
    <row r="92" spans="1:34" s="234" customFormat="1" ht="12.75" x14ac:dyDescent="0.2">
      <c r="A92" s="234" t="s">
        <v>799</v>
      </c>
      <c r="J92" s="293"/>
      <c r="O92" s="293"/>
    </row>
    <row r="93" spans="1:34" s="234" customFormat="1" ht="15.75" x14ac:dyDescent="0.3">
      <c r="A93" s="234" t="s">
        <v>800</v>
      </c>
      <c r="J93" s="293"/>
      <c r="O93" s="293"/>
    </row>
    <row r="94" spans="1:34" s="234" customFormat="1" ht="12.75" x14ac:dyDescent="0.2">
      <c r="A94" s="234" t="s">
        <v>801</v>
      </c>
      <c r="J94" s="293"/>
      <c r="O94" s="293"/>
    </row>
    <row r="95" spans="1:34" s="234" customFormat="1" ht="12.75" x14ac:dyDescent="0.2">
      <c r="A95" s="234" t="s">
        <v>802</v>
      </c>
      <c r="B95" s="234" t="s">
        <v>803</v>
      </c>
      <c r="J95" s="293"/>
      <c r="O95" s="293"/>
    </row>
    <row r="96" spans="1:34"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P99"/>
  <sheetViews>
    <sheetView zoomScale="70" zoomScaleNormal="70" zoomScalePageLayoutView="70" workbookViewId="0">
      <pane xSplit="5" ySplit="7" topLeftCell="I6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831</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467716.471538732</v>
      </c>
      <c r="G7" s="218">
        <v>4131.5813242222603</v>
      </c>
      <c r="H7" s="218">
        <v>103289.533105557</v>
      </c>
      <c r="I7" s="218">
        <v>141.12572702252299</v>
      </c>
      <c r="J7" s="218">
        <v>42055.466652711802</v>
      </c>
      <c r="K7" s="218">
        <v>0</v>
      </c>
      <c r="L7" s="218">
        <v>7455.5834357561498</v>
      </c>
      <c r="M7" s="218">
        <v>2373.5474573054298</v>
      </c>
      <c r="N7" s="218">
        <v>0.29844276133333297</v>
      </c>
      <c r="O7" s="218">
        <v>622890.900632823</v>
      </c>
    </row>
    <row r="8" spans="1:16" ht="15.75" thickTop="1" x14ac:dyDescent="0.2">
      <c r="A8" s="220" t="s">
        <v>723</v>
      </c>
      <c r="B8" s="221"/>
      <c r="C8" s="221"/>
      <c r="F8" s="223">
        <v>431490.89526231901</v>
      </c>
      <c r="G8" s="223">
        <v>2062.0175575092499</v>
      </c>
      <c r="H8" s="223">
        <v>51550.438937731298</v>
      </c>
      <c r="I8" s="223">
        <v>32.776223570091702</v>
      </c>
      <c r="J8" s="223">
        <v>9767.3146238873196</v>
      </c>
      <c r="K8" s="223">
        <v>0</v>
      </c>
      <c r="L8" s="223">
        <v>0</v>
      </c>
      <c r="M8" s="223">
        <v>0</v>
      </c>
      <c r="N8" s="223">
        <v>0</v>
      </c>
      <c r="O8" s="223">
        <v>492808.64882393798</v>
      </c>
    </row>
    <row r="9" spans="1:16" x14ac:dyDescent="0.2">
      <c r="A9" s="224" t="s">
        <v>724</v>
      </c>
      <c r="B9" s="225" t="s">
        <v>725</v>
      </c>
      <c r="C9" s="225"/>
      <c r="F9" s="226">
        <v>275830.654047683</v>
      </c>
      <c r="G9" s="226">
        <v>260.72869736028599</v>
      </c>
      <c r="H9" s="226">
        <v>6518.2174340071397</v>
      </c>
      <c r="I9" s="226">
        <v>7.7648270077224897</v>
      </c>
      <c r="J9" s="226">
        <v>2313.9184483013</v>
      </c>
      <c r="K9" s="226">
        <v>0</v>
      </c>
      <c r="L9" s="226">
        <v>0</v>
      </c>
      <c r="M9" s="226">
        <v>0</v>
      </c>
      <c r="N9" s="226">
        <v>0</v>
      </c>
      <c r="O9" s="226">
        <v>284662.789929992</v>
      </c>
      <c r="P9" s="227"/>
    </row>
    <row r="10" spans="1:16" x14ac:dyDescent="0.2">
      <c r="A10" s="228"/>
      <c r="B10" s="229" t="s">
        <v>726</v>
      </c>
      <c r="C10" s="230"/>
      <c r="F10" s="231">
        <v>92482.232730756907</v>
      </c>
      <c r="G10" s="231">
        <v>2.4842259872309498</v>
      </c>
      <c r="H10" s="231">
        <v>62.105649680773702</v>
      </c>
      <c r="I10" s="231">
        <v>1.74338701999741</v>
      </c>
      <c r="J10" s="231">
        <v>519.52933195922901</v>
      </c>
      <c r="K10" s="231">
        <v>0</v>
      </c>
      <c r="L10" s="231">
        <v>0</v>
      </c>
      <c r="M10" s="231">
        <v>0</v>
      </c>
      <c r="N10" s="231">
        <v>0</v>
      </c>
      <c r="O10" s="231">
        <v>93063.867712396896</v>
      </c>
    </row>
    <row r="11" spans="1:16" x14ac:dyDescent="0.2">
      <c r="A11" s="228"/>
      <c r="B11" s="232" t="s">
        <v>727</v>
      </c>
      <c r="C11" s="230"/>
      <c r="F11" s="231">
        <v>17093.952649447801</v>
      </c>
      <c r="G11" s="231">
        <v>0.430055366583321</v>
      </c>
      <c r="H11" s="231">
        <v>10.751384164583</v>
      </c>
      <c r="I11" s="231">
        <v>0.178274448629368</v>
      </c>
      <c r="J11" s="231">
        <v>53.125785691551698</v>
      </c>
      <c r="K11" s="231">
        <v>0</v>
      </c>
      <c r="L11" s="231">
        <v>0</v>
      </c>
      <c r="M11" s="231">
        <v>0</v>
      </c>
      <c r="N11" s="231">
        <v>0</v>
      </c>
      <c r="O11" s="231">
        <v>17157.829819303901</v>
      </c>
    </row>
    <row r="12" spans="1:16" s="234" customFormat="1" ht="12.75" x14ac:dyDescent="0.2">
      <c r="A12" s="228"/>
      <c r="B12" s="232" t="s">
        <v>728</v>
      </c>
      <c r="C12" s="233"/>
      <c r="F12" s="231">
        <v>40892.312732832303</v>
      </c>
      <c r="G12" s="231">
        <v>72.617198888146802</v>
      </c>
      <c r="H12" s="231">
        <v>1815.4299722036701</v>
      </c>
      <c r="I12" s="231">
        <v>0.92490634073344102</v>
      </c>
      <c r="J12" s="231">
        <v>275.62208953856498</v>
      </c>
      <c r="K12" s="231">
        <v>0</v>
      </c>
      <c r="L12" s="231">
        <v>0</v>
      </c>
      <c r="M12" s="231">
        <v>0</v>
      </c>
      <c r="N12" s="231">
        <v>0</v>
      </c>
      <c r="O12" s="231">
        <v>42983.364794574598</v>
      </c>
    </row>
    <row r="13" spans="1:16" s="234" customFormat="1" ht="12.75" x14ac:dyDescent="0.2">
      <c r="A13" s="228"/>
      <c r="B13" s="229" t="s">
        <v>729</v>
      </c>
      <c r="C13" s="229"/>
      <c r="F13" s="231">
        <v>50269.123526636897</v>
      </c>
      <c r="G13" s="231">
        <v>2.1358365988864998</v>
      </c>
      <c r="H13" s="231">
        <v>53.395914972162402</v>
      </c>
      <c r="I13" s="231">
        <v>1.6812471282419099</v>
      </c>
      <c r="J13" s="231">
        <v>501.01164421609002</v>
      </c>
      <c r="K13" s="231">
        <v>0</v>
      </c>
      <c r="L13" s="231">
        <v>0</v>
      </c>
      <c r="M13" s="231">
        <v>0</v>
      </c>
      <c r="N13" s="231">
        <v>0</v>
      </c>
      <c r="O13" s="231">
        <v>50823.531085825198</v>
      </c>
    </row>
    <row r="14" spans="1:16" s="237" customFormat="1" ht="12" x14ac:dyDescent="0.2">
      <c r="A14" s="235"/>
      <c r="B14" s="230"/>
      <c r="C14" s="236" t="s">
        <v>2</v>
      </c>
      <c r="F14" s="238">
        <v>5351.9136199304403</v>
      </c>
      <c r="G14" s="238">
        <v>0.15324591073767799</v>
      </c>
      <c r="H14" s="238">
        <v>3.8311477684419399</v>
      </c>
      <c r="I14" s="238">
        <v>0.12900781020249899</v>
      </c>
      <c r="J14" s="238">
        <v>38.4443274403448</v>
      </c>
      <c r="K14" s="238">
        <v>0</v>
      </c>
      <c r="L14" s="238">
        <v>0</v>
      </c>
      <c r="M14" s="238">
        <v>0</v>
      </c>
      <c r="N14" s="238">
        <v>0</v>
      </c>
      <c r="O14" s="238">
        <v>5394.1890951392297</v>
      </c>
    </row>
    <row r="15" spans="1:16" s="237" customFormat="1" ht="12" x14ac:dyDescent="0.2">
      <c r="A15" s="235"/>
      <c r="B15" s="230"/>
      <c r="C15" s="236" t="s">
        <v>730</v>
      </c>
      <c r="F15" s="238">
        <v>2816.8354009332802</v>
      </c>
      <c r="G15" s="238">
        <v>5.8927286743047397E-2</v>
      </c>
      <c r="H15" s="238">
        <v>1.4731821685761901</v>
      </c>
      <c r="I15" s="238">
        <v>3.9767116393525002E-2</v>
      </c>
      <c r="J15" s="238">
        <v>11.8506006852704</v>
      </c>
      <c r="K15" s="238">
        <v>0</v>
      </c>
      <c r="L15" s="238">
        <v>0</v>
      </c>
      <c r="M15" s="238">
        <v>0</v>
      </c>
      <c r="N15" s="238">
        <v>0</v>
      </c>
      <c r="O15" s="238">
        <v>2830.1591837871301</v>
      </c>
    </row>
    <row r="16" spans="1:16" s="237" customFormat="1" ht="12" x14ac:dyDescent="0.2">
      <c r="A16" s="235"/>
      <c r="B16" s="230"/>
      <c r="C16" s="236" t="s">
        <v>731</v>
      </c>
      <c r="F16" s="238">
        <v>8479.93910027928</v>
      </c>
      <c r="G16" s="238">
        <v>0.17307817236892001</v>
      </c>
      <c r="H16" s="238">
        <v>4.3269543092230096</v>
      </c>
      <c r="I16" s="238">
        <v>0.14716632395302101</v>
      </c>
      <c r="J16" s="238">
        <v>43.855564538000102</v>
      </c>
      <c r="K16" s="238">
        <v>0</v>
      </c>
      <c r="L16" s="238">
        <v>0</v>
      </c>
      <c r="M16" s="238">
        <v>0</v>
      </c>
      <c r="N16" s="238">
        <v>0</v>
      </c>
      <c r="O16" s="238">
        <v>8528.1216191264994</v>
      </c>
    </row>
    <row r="17" spans="1:16" s="237" customFormat="1" ht="12" x14ac:dyDescent="0.2">
      <c r="A17" s="235"/>
      <c r="B17" s="230"/>
      <c r="C17" s="236" t="s">
        <v>732</v>
      </c>
      <c r="F17" s="238">
        <v>12694.9824646539</v>
      </c>
      <c r="G17" s="238">
        <v>1.24526161542034</v>
      </c>
      <c r="H17" s="238">
        <v>31.1315403855086</v>
      </c>
      <c r="I17" s="238">
        <v>0.964993442585795</v>
      </c>
      <c r="J17" s="238">
        <v>287.56804589056702</v>
      </c>
      <c r="K17" s="238">
        <v>0</v>
      </c>
      <c r="L17" s="238">
        <v>0</v>
      </c>
      <c r="M17" s="238">
        <v>0</v>
      </c>
      <c r="N17" s="238">
        <v>0</v>
      </c>
      <c r="O17" s="238">
        <v>13013.6820509299</v>
      </c>
    </row>
    <row r="18" spans="1:16" s="237" customFormat="1" ht="12" x14ac:dyDescent="0.2">
      <c r="A18" s="235"/>
      <c r="B18" s="230"/>
      <c r="C18" s="236" t="s">
        <v>35</v>
      </c>
      <c r="F18" s="238">
        <v>3456.9706461568899</v>
      </c>
      <c r="G18" s="238">
        <v>0.12667497335625699</v>
      </c>
      <c r="H18" s="238">
        <v>3.1668743339064198</v>
      </c>
      <c r="I18" s="238">
        <v>4.0896228958358198E-2</v>
      </c>
      <c r="J18" s="238">
        <v>12.1870762295907</v>
      </c>
      <c r="K18" s="238">
        <v>0</v>
      </c>
      <c r="L18" s="238">
        <v>0</v>
      </c>
      <c r="M18" s="238">
        <v>0</v>
      </c>
      <c r="N18" s="238">
        <v>0</v>
      </c>
      <c r="O18" s="238">
        <v>3472.3245967203902</v>
      </c>
    </row>
    <row r="19" spans="1:16" s="237" customFormat="1" ht="12" x14ac:dyDescent="0.2">
      <c r="A19" s="235"/>
      <c r="B19" s="230"/>
      <c r="C19" s="236" t="s">
        <v>733</v>
      </c>
      <c r="F19" s="238">
        <v>17468.482294683199</v>
      </c>
      <c r="G19" s="238">
        <v>0.37864864026025002</v>
      </c>
      <c r="H19" s="238">
        <v>9.4662160065062508</v>
      </c>
      <c r="I19" s="238">
        <v>0.359416206148714</v>
      </c>
      <c r="J19" s="238">
        <v>107.106029432317</v>
      </c>
      <c r="K19" s="238">
        <v>0</v>
      </c>
      <c r="L19" s="238">
        <v>0</v>
      </c>
      <c r="M19" s="238">
        <v>0</v>
      </c>
      <c r="N19" s="238">
        <v>0</v>
      </c>
      <c r="O19" s="238">
        <v>17585.054540122001</v>
      </c>
    </row>
    <row r="20" spans="1:16" s="234" customFormat="1" ht="12.75" x14ac:dyDescent="0.2">
      <c r="A20" s="228"/>
      <c r="B20" s="229" t="s">
        <v>734</v>
      </c>
      <c r="C20" s="239"/>
      <c r="F20" s="231">
        <v>1375.51409371</v>
      </c>
      <c r="G20" s="231">
        <v>2.347274102E-2</v>
      </c>
      <c r="H20" s="231">
        <v>0.58681852550000002</v>
      </c>
      <c r="I20" s="231">
        <v>3.3909574989999997E-2</v>
      </c>
      <c r="J20" s="231">
        <v>10.10505334702</v>
      </c>
      <c r="K20" s="231">
        <v>0</v>
      </c>
      <c r="L20" s="231">
        <v>0</v>
      </c>
      <c r="M20" s="231">
        <v>0</v>
      </c>
      <c r="N20" s="231">
        <v>0</v>
      </c>
      <c r="O20" s="231">
        <v>1386.2059655825201</v>
      </c>
    </row>
    <row r="21" spans="1:16" s="234" customFormat="1" ht="12.75" x14ac:dyDescent="0.2">
      <c r="A21" s="228"/>
      <c r="B21" s="229" t="s">
        <v>735</v>
      </c>
      <c r="C21" s="229"/>
      <c r="F21" s="231">
        <v>27935.136541787</v>
      </c>
      <c r="G21" s="231">
        <v>0.50642009125655496</v>
      </c>
      <c r="H21" s="231">
        <v>12.660502281413899</v>
      </c>
      <c r="I21" s="231">
        <v>0.55955145265065598</v>
      </c>
      <c r="J21" s="231">
        <v>166.746332889895</v>
      </c>
      <c r="K21" s="231">
        <v>0</v>
      </c>
      <c r="L21" s="231">
        <v>0</v>
      </c>
      <c r="M21" s="231">
        <v>0</v>
      </c>
      <c r="N21" s="231">
        <v>0</v>
      </c>
      <c r="O21" s="231">
        <v>28114.5433769583</v>
      </c>
    </row>
    <row r="22" spans="1:16" s="234" customFormat="1" ht="12.75" x14ac:dyDescent="0.2">
      <c r="A22" s="228"/>
      <c r="B22" s="229" t="s">
        <v>181</v>
      </c>
      <c r="C22" s="229"/>
      <c r="F22" s="231">
        <v>42759.233849980003</v>
      </c>
      <c r="G22" s="231">
        <v>182.48119637502501</v>
      </c>
      <c r="H22" s="231">
        <v>4562.0299093756303</v>
      </c>
      <c r="I22" s="231">
        <v>2.5718749464835402</v>
      </c>
      <c r="J22" s="231">
        <v>766.41873405209503</v>
      </c>
      <c r="K22" s="231">
        <v>0</v>
      </c>
      <c r="L22" s="231">
        <v>0</v>
      </c>
      <c r="M22" s="231">
        <v>0</v>
      </c>
      <c r="N22" s="231">
        <v>0</v>
      </c>
      <c r="O22" s="231">
        <v>48087.682493407701</v>
      </c>
    </row>
    <row r="23" spans="1:16" s="234" customFormat="1" ht="12.75" x14ac:dyDescent="0.2">
      <c r="A23" s="228"/>
      <c r="B23" s="229" t="s">
        <v>736</v>
      </c>
      <c r="C23" s="229"/>
      <c r="F23" s="231">
        <v>3023.1479225322901</v>
      </c>
      <c r="G23" s="231">
        <v>5.0291312136267599E-2</v>
      </c>
      <c r="H23" s="231">
        <v>1.2572828034066901</v>
      </c>
      <c r="I23" s="231">
        <v>7.1676095996154099E-2</v>
      </c>
      <c r="J23" s="231">
        <v>21.359476606853899</v>
      </c>
      <c r="K23" s="231">
        <v>0</v>
      </c>
      <c r="L23" s="231">
        <v>0</v>
      </c>
      <c r="M23" s="231">
        <v>0</v>
      </c>
      <c r="N23" s="231">
        <v>0</v>
      </c>
      <c r="O23" s="231">
        <v>3045.7646819425499</v>
      </c>
    </row>
    <row r="24" spans="1:16" s="240" customFormat="1" ht="14.25" x14ac:dyDescent="0.2">
      <c r="A24" s="224" t="s">
        <v>737</v>
      </c>
      <c r="B24" s="225" t="s">
        <v>738</v>
      </c>
      <c r="C24" s="225"/>
      <c r="F24" s="226">
        <v>142832.29405819299</v>
      </c>
      <c r="G24" s="226">
        <v>34.261694549177001</v>
      </c>
      <c r="H24" s="226">
        <v>856.54236372942398</v>
      </c>
      <c r="I24" s="226">
        <v>24.9017730415027</v>
      </c>
      <c r="J24" s="226">
        <v>7420.7283663677899</v>
      </c>
      <c r="K24" s="226">
        <v>0</v>
      </c>
      <c r="L24" s="226">
        <v>0</v>
      </c>
      <c r="M24" s="226">
        <v>0</v>
      </c>
      <c r="N24" s="226">
        <v>0</v>
      </c>
      <c r="O24" s="226">
        <v>151109.56478829001</v>
      </c>
      <c r="P24" s="241"/>
    </row>
    <row r="25" spans="1:16" s="234" customFormat="1" ht="12.75" x14ac:dyDescent="0.2">
      <c r="A25" s="228"/>
      <c r="B25" s="232" t="s">
        <v>739</v>
      </c>
      <c r="C25" s="229"/>
      <c r="F25" s="231">
        <v>5920.3106099265797</v>
      </c>
      <c r="G25" s="231">
        <v>0.32597839327142503</v>
      </c>
      <c r="H25" s="231">
        <v>8.1494598317856308</v>
      </c>
      <c r="I25" s="231">
        <v>0.18163479766531099</v>
      </c>
      <c r="J25" s="231">
        <v>54.127169704262698</v>
      </c>
      <c r="K25" s="231">
        <v>0</v>
      </c>
      <c r="L25" s="231">
        <v>0</v>
      </c>
      <c r="M25" s="231">
        <v>0</v>
      </c>
      <c r="N25" s="231">
        <v>0</v>
      </c>
      <c r="O25" s="231">
        <v>5982.5872394626203</v>
      </c>
    </row>
    <row r="26" spans="1:16" s="234" customFormat="1" ht="12.75" x14ac:dyDescent="0.2">
      <c r="A26" s="228"/>
      <c r="B26" s="229" t="s">
        <v>740</v>
      </c>
      <c r="C26" s="229"/>
      <c r="F26" s="231">
        <v>85914.509601663405</v>
      </c>
      <c r="G26" s="231">
        <v>11.923006662368699</v>
      </c>
      <c r="H26" s="231">
        <v>298.07516655921899</v>
      </c>
      <c r="I26" s="231">
        <v>13.3541262597657</v>
      </c>
      <c r="J26" s="231">
        <v>3979.52962541018</v>
      </c>
      <c r="K26" s="231">
        <v>0</v>
      </c>
      <c r="L26" s="231">
        <v>0</v>
      </c>
      <c r="M26" s="231">
        <v>0</v>
      </c>
      <c r="N26" s="231">
        <v>0</v>
      </c>
      <c r="O26" s="231">
        <v>90192.114393632801</v>
      </c>
    </row>
    <row r="27" spans="1:16" s="237" customFormat="1" ht="12" x14ac:dyDescent="0.2">
      <c r="A27" s="235"/>
      <c r="B27" s="230"/>
      <c r="C27" s="236" t="s">
        <v>741</v>
      </c>
      <c r="F27" s="238">
        <v>41773.569520359</v>
      </c>
      <c r="G27" s="238">
        <v>6.6821565409991601</v>
      </c>
      <c r="H27" s="238">
        <v>167.05391352497901</v>
      </c>
      <c r="I27" s="238">
        <v>8.0875510894051406</v>
      </c>
      <c r="J27" s="238">
        <v>2410.0902246427299</v>
      </c>
      <c r="K27" s="238">
        <v>0</v>
      </c>
      <c r="L27" s="238">
        <v>0</v>
      </c>
      <c r="M27" s="238">
        <v>0</v>
      </c>
      <c r="N27" s="238">
        <v>0</v>
      </c>
      <c r="O27" s="238">
        <v>44350.7136585267</v>
      </c>
    </row>
    <row r="28" spans="1:16" s="237" customFormat="1" ht="12" x14ac:dyDescent="0.2">
      <c r="A28" s="235"/>
      <c r="B28" s="230"/>
      <c r="C28" s="236" t="s">
        <v>742</v>
      </c>
      <c r="F28" s="238">
        <v>22590.914354550401</v>
      </c>
      <c r="G28" s="238">
        <v>3.0585143642028099</v>
      </c>
      <c r="H28" s="238">
        <v>76.462859105070194</v>
      </c>
      <c r="I28" s="238">
        <v>4.6292345352733202</v>
      </c>
      <c r="J28" s="238">
        <v>1379.5118915114499</v>
      </c>
      <c r="K28" s="238">
        <v>0</v>
      </c>
      <c r="L28" s="238">
        <v>0</v>
      </c>
      <c r="M28" s="238">
        <v>0</v>
      </c>
      <c r="N28" s="238">
        <v>0</v>
      </c>
      <c r="O28" s="238">
        <v>24046.889105167</v>
      </c>
    </row>
    <row r="29" spans="1:16" s="237" customFormat="1" ht="12" x14ac:dyDescent="0.2">
      <c r="A29" s="235"/>
      <c r="B29" s="230"/>
      <c r="C29" s="236" t="s">
        <v>743</v>
      </c>
      <c r="F29" s="238">
        <v>6640.3517950444502</v>
      </c>
      <c r="G29" s="238">
        <v>1.03232726904453</v>
      </c>
      <c r="H29" s="238">
        <v>25.8081817261133</v>
      </c>
      <c r="I29" s="238">
        <v>0.17305452324390999</v>
      </c>
      <c r="J29" s="238">
        <v>51.570247926685298</v>
      </c>
      <c r="K29" s="238">
        <v>0</v>
      </c>
      <c r="L29" s="238">
        <v>0</v>
      </c>
      <c r="M29" s="238">
        <v>0</v>
      </c>
      <c r="N29" s="238">
        <v>0</v>
      </c>
      <c r="O29" s="238">
        <v>6717.7302246972504</v>
      </c>
    </row>
    <row r="30" spans="1:16" s="237" customFormat="1" ht="12" x14ac:dyDescent="0.2">
      <c r="A30" s="235"/>
      <c r="B30" s="230"/>
      <c r="C30" s="236" t="s">
        <v>744</v>
      </c>
      <c r="F30" s="238">
        <v>86.163670340791796</v>
      </c>
      <c r="G30" s="238">
        <v>8.6105473696500207E-2</v>
      </c>
      <c r="H30" s="238">
        <v>2.1526368424125102</v>
      </c>
      <c r="I30" s="238">
        <v>1.78834445369655E-3</v>
      </c>
      <c r="J30" s="238">
        <v>0.53292664720157001</v>
      </c>
      <c r="K30" s="238">
        <v>0</v>
      </c>
      <c r="L30" s="238">
        <v>0</v>
      </c>
      <c r="M30" s="238">
        <v>0</v>
      </c>
      <c r="N30" s="238">
        <v>0</v>
      </c>
      <c r="O30" s="238">
        <v>88.849233830405893</v>
      </c>
      <c r="P30" s="242"/>
    </row>
    <row r="31" spans="1:16" s="237" customFormat="1" ht="12" x14ac:dyDescent="0.2">
      <c r="A31" s="235"/>
      <c r="B31" s="230"/>
      <c r="C31" s="236" t="s">
        <v>745</v>
      </c>
      <c r="F31" s="238">
        <v>446.071490583029</v>
      </c>
      <c r="G31" s="238">
        <v>1.2197476548751701E-2</v>
      </c>
      <c r="H31" s="238">
        <v>0.304936913718793</v>
      </c>
      <c r="I31" s="238">
        <v>3.3411107440238202E-2</v>
      </c>
      <c r="J31" s="238">
        <v>9.9565100171909702</v>
      </c>
      <c r="K31" s="238">
        <v>0</v>
      </c>
      <c r="L31" s="238">
        <v>0</v>
      </c>
      <c r="M31" s="238">
        <v>0</v>
      </c>
      <c r="N31" s="238">
        <v>0</v>
      </c>
      <c r="O31" s="238">
        <v>456.33293751393899</v>
      </c>
    </row>
    <row r="32" spans="1:16" s="237" customFormat="1" ht="12" x14ac:dyDescent="0.2">
      <c r="A32" s="235"/>
      <c r="B32" s="230"/>
      <c r="C32" s="236" t="s">
        <v>746</v>
      </c>
      <c r="D32" s="243"/>
      <c r="E32" s="243"/>
      <c r="F32" s="244">
        <v>177.024236514899</v>
      </c>
      <c r="G32" s="244">
        <v>4.6282632364914901E-3</v>
      </c>
      <c r="H32" s="244">
        <v>0.115706580912287</v>
      </c>
      <c r="I32" s="244">
        <v>1.3339112864040799E-2</v>
      </c>
      <c r="J32" s="244">
        <v>3.9750556334841698</v>
      </c>
      <c r="K32" s="244">
        <v>0</v>
      </c>
      <c r="L32" s="244">
        <v>0</v>
      </c>
      <c r="M32" s="244">
        <v>0</v>
      </c>
      <c r="N32" s="244">
        <v>0</v>
      </c>
      <c r="O32" s="244">
        <v>181.11499872929599</v>
      </c>
    </row>
    <row r="33" spans="1:15" s="237" customFormat="1" ht="12" x14ac:dyDescent="0.2">
      <c r="A33" s="235"/>
      <c r="B33" s="230"/>
      <c r="C33" s="236" t="s">
        <v>747</v>
      </c>
      <c r="D33" s="243"/>
      <c r="E33" s="243"/>
      <c r="F33" s="244">
        <v>13391.4875856216</v>
      </c>
      <c r="G33" s="244">
        <v>0.69512718213464897</v>
      </c>
      <c r="H33" s="244">
        <v>17.378179553366198</v>
      </c>
      <c r="I33" s="244">
        <v>0.40076940818440998</v>
      </c>
      <c r="J33" s="244">
        <v>119.429283638954</v>
      </c>
      <c r="K33" s="244">
        <v>0</v>
      </c>
      <c r="L33" s="244">
        <v>0</v>
      </c>
      <c r="M33" s="244">
        <v>0</v>
      </c>
      <c r="N33" s="244">
        <v>0</v>
      </c>
      <c r="O33" s="244">
        <v>13528.295048814</v>
      </c>
    </row>
    <row r="34" spans="1:15" s="237" customFormat="1" ht="12" x14ac:dyDescent="0.2">
      <c r="A34" s="235"/>
      <c r="B34" s="230"/>
      <c r="C34" s="245" t="s">
        <v>748</v>
      </c>
      <c r="D34" s="243"/>
      <c r="E34" s="243"/>
      <c r="F34" s="244">
        <v>808.92694864909902</v>
      </c>
      <c r="G34" s="244">
        <v>0.35195009250585502</v>
      </c>
      <c r="H34" s="244">
        <v>8.7987523126463696</v>
      </c>
      <c r="I34" s="244">
        <v>1.4978138900954599E-2</v>
      </c>
      <c r="J34" s="244">
        <v>4.4634853924844604</v>
      </c>
      <c r="K34" s="244">
        <v>0</v>
      </c>
      <c r="L34" s="244">
        <v>0</v>
      </c>
      <c r="M34" s="244">
        <v>0</v>
      </c>
      <c r="N34" s="244">
        <v>0</v>
      </c>
      <c r="O34" s="244">
        <v>822.18918635422904</v>
      </c>
    </row>
    <row r="35" spans="1:15" s="249" customFormat="1" ht="12.75" x14ac:dyDescent="0.2">
      <c r="A35" s="228"/>
      <c r="B35" s="229" t="s">
        <v>749</v>
      </c>
      <c r="C35" s="246"/>
      <c r="D35" s="247"/>
      <c r="E35" s="247"/>
      <c r="F35" s="248">
        <v>6005.5836562000004</v>
      </c>
      <c r="G35" s="248">
        <v>0.33711640597999998</v>
      </c>
      <c r="H35" s="248">
        <v>8.4279101495000006</v>
      </c>
      <c r="I35" s="248">
        <v>2.3240938981800001</v>
      </c>
      <c r="J35" s="248">
        <v>692.57998165764002</v>
      </c>
      <c r="K35" s="248">
        <v>0</v>
      </c>
      <c r="L35" s="248">
        <v>0</v>
      </c>
      <c r="M35" s="248">
        <v>0</v>
      </c>
      <c r="N35" s="248">
        <v>0</v>
      </c>
      <c r="O35" s="248">
        <v>6706.5915480071399</v>
      </c>
    </row>
    <row r="36" spans="1:15" s="249" customFormat="1" ht="12.75" x14ac:dyDescent="0.2">
      <c r="A36" s="228"/>
      <c r="B36" s="232" t="s">
        <v>750</v>
      </c>
      <c r="C36" s="246"/>
      <c r="D36" s="247"/>
      <c r="E36" s="247"/>
      <c r="F36" s="248">
        <v>4192.0396662000003</v>
      </c>
      <c r="G36" s="248">
        <v>0.38755735289999999</v>
      </c>
      <c r="H36" s="248">
        <v>9.6889338224999992</v>
      </c>
      <c r="I36" s="248">
        <v>0.110715267344</v>
      </c>
      <c r="J36" s="248">
        <v>32.993149668511997</v>
      </c>
      <c r="K36" s="248">
        <v>0</v>
      </c>
      <c r="L36" s="248">
        <v>0</v>
      </c>
      <c r="M36" s="248">
        <v>0</v>
      </c>
      <c r="N36" s="248">
        <v>0</v>
      </c>
      <c r="O36" s="248">
        <v>4234.7217496910098</v>
      </c>
    </row>
    <row r="37" spans="1:15" s="234" customFormat="1" ht="12.75" x14ac:dyDescent="0.2">
      <c r="A37" s="228"/>
      <c r="B37" s="229" t="s">
        <v>751</v>
      </c>
      <c r="C37" s="250"/>
      <c r="D37" s="251"/>
      <c r="E37" s="251"/>
      <c r="F37" s="252">
        <v>40799.8505242026</v>
      </c>
      <c r="G37" s="252">
        <v>21.288035734656798</v>
      </c>
      <c r="H37" s="252">
        <v>532.20089336642002</v>
      </c>
      <c r="I37" s="252">
        <v>8.9312028185476393</v>
      </c>
      <c r="J37" s="252">
        <v>2661.4984399271998</v>
      </c>
      <c r="K37" s="252">
        <v>0</v>
      </c>
      <c r="L37" s="252">
        <v>0</v>
      </c>
      <c r="M37" s="252">
        <v>0</v>
      </c>
      <c r="N37" s="252">
        <v>0</v>
      </c>
      <c r="O37" s="252">
        <v>43993.549857496197</v>
      </c>
    </row>
    <row r="38" spans="1:15" s="237" customFormat="1" ht="12" x14ac:dyDescent="0.2">
      <c r="A38" s="235"/>
      <c r="B38" s="230"/>
      <c r="C38" s="236" t="s">
        <v>752</v>
      </c>
      <c r="F38" s="238">
        <v>10202.7223843558</v>
      </c>
      <c r="G38" s="238">
        <v>0.588140938238495</v>
      </c>
      <c r="H38" s="238">
        <v>14.703523455962401</v>
      </c>
      <c r="I38" s="238">
        <v>3.94327074693014</v>
      </c>
      <c r="J38" s="238">
        <v>1175.09468258518</v>
      </c>
      <c r="K38" s="238">
        <v>0</v>
      </c>
      <c r="L38" s="238">
        <v>0</v>
      </c>
      <c r="M38" s="238">
        <v>0</v>
      </c>
      <c r="N38" s="238">
        <v>0</v>
      </c>
      <c r="O38" s="238">
        <v>11392.5205903969</v>
      </c>
    </row>
    <row r="39" spans="1:15" s="237" customFormat="1" ht="12" x14ac:dyDescent="0.2">
      <c r="A39" s="235"/>
      <c r="B39" s="230"/>
      <c r="C39" s="236" t="s">
        <v>753</v>
      </c>
      <c r="F39" s="238">
        <v>1444.7277395772801</v>
      </c>
      <c r="G39" s="238">
        <v>0.78486588105910504</v>
      </c>
      <c r="H39" s="238">
        <v>19.6216470264776</v>
      </c>
      <c r="I39" s="238">
        <v>0.44234581363064901</v>
      </c>
      <c r="J39" s="238">
        <v>131.81905246193301</v>
      </c>
      <c r="K39" s="238">
        <v>0</v>
      </c>
      <c r="L39" s="238">
        <v>0</v>
      </c>
      <c r="M39" s="238">
        <v>0</v>
      </c>
      <c r="N39" s="238">
        <v>0</v>
      </c>
      <c r="O39" s="238">
        <v>1596.1684390656901</v>
      </c>
    </row>
    <row r="40" spans="1:15" s="237" customFormat="1" ht="12" x14ac:dyDescent="0.2">
      <c r="A40" s="235"/>
      <c r="B40" s="230"/>
      <c r="C40" s="236" t="s">
        <v>754</v>
      </c>
      <c r="F40" s="238">
        <v>9544.2971684345794</v>
      </c>
      <c r="G40" s="238">
        <v>0.91910097708218297</v>
      </c>
      <c r="H40" s="238">
        <v>22.9775244270546</v>
      </c>
      <c r="I40" s="238">
        <v>3.3266733959483399</v>
      </c>
      <c r="J40" s="238">
        <v>991.348671992606</v>
      </c>
      <c r="K40" s="238">
        <v>0</v>
      </c>
      <c r="L40" s="238">
        <v>0</v>
      </c>
      <c r="M40" s="238">
        <v>0</v>
      </c>
      <c r="N40" s="238">
        <v>0</v>
      </c>
      <c r="O40" s="238">
        <v>10558.6233648542</v>
      </c>
    </row>
    <row r="41" spans="1:15" s="237" customFormat="1" ht="12" x14ac:dyDescent="0.2">
      <c r="A41" s="235"/>
      <c r="B41" s="230"/>
      <c r="C41" s="236" t="s">
        <v>755</v>
      </c>
      <c r="F41" s="238">
        <v>216.518527035684</v>
      </c>
      <c r="G41" s="238">
        <v>6.2808944379461398E-2</v>
      </c>
      <c r="H41" s="238">
        <v>1.5702236094865301</v>
      </c>
      <c r="I41" s="238">
        <v>6.7282199935205497E-2</v>
      </c>
      <c r="J41" s="238">
        <v>20.050095580691199</v>
      </c>
      <c r="K41" s="238">
        <v>0</v>
      </c>
      <c r="L41" s="238">
        <v>0</v>
      </c>
      <c r="M41" s="238">
        <v>0</v>
      </c>
      <c r="N41" s="238">
        <v>0</v>
      </c>
      <c r="O41" s="238">
        <v>238.13884622586099</v>
      </c>
    </row>
    <row r="42" spans="1:15" s="237" customFormat="1" ht="12" x14ac:dyDescent="0.2">
      <c r="A42" s="235"/>
      <c r="B42" s="230"/>
      <c r="C42" s="236" t="s">
        <v>756</v>
      </c>
      <c r="F42" s="238">
        <v>9344.0894633392909</v>
      </c>
      <c r="G42" s="238">
        <v>8.8318247968975392</v>
      </c>
      <c r="H42" s="238">
        <v>220.79561992243899</v>
      </c>
      <c r="I42" s="238">
        <v>0.88254988310330995</v>
      </c>
      <c r="J42" s="238">
        <v>262.99986516478702</v>
      </c>
      <c r="K42" s="238">
        <v>0</v>
      </c>
      <c r="L42" s="238">
        <v>0</v>
      </c>
      <c r="M42" s="238">
        <v>0</v>
      </c>
      <c r="N42" s="238">
        <v>0</v>
      </c>
      <c r="O42" s="238">
        <v>9827.8849484265102</v>
      </c>
    </row>
    <row r="43" spans="1:15" s="237" customFormat="1" ht="12" x14ac:dyDescent="0.2">
      <c r="A43" s="235"/>
      <c r="B43" s="230"/>
      <c r="C43" s="253" t="s">
        <v>757</v>
      </c>
      <c r="F43" s="238">
        <v>10047.495241459999</v>
      </c>
      <c r="G43" s="238">
        <v>10.101294197</v>
      </c>
      <c r="H43" s="238">
        <v>252.53235492499999</v>
      </c>
      <c r="I43" s="238">
        <v>0.26908077899999999</v>
      </c>
      <c r="J43" s="238">
        <v>80.186072142</v>
      </c>
      <c r="K43" s="238">
        <v>0</v>
      </c>
      <c r="L43" s="238">
        <v>0</v>
      </c>
      <c r="M43" s="238">
        <v>0</v>
      </c>
      <c r="N43" s="238">
        <v>0</v>
      </c>
      <c r="O43" s="238">
        <v>10380.213668527</v>
      </c>
    </row>
    <row r="44" spans="1:15" s="240" customFormat="1" ht="12.75" x14ac:dyDescent="0.2">
      <c r="A44" s="224" t="s">
        <v>758</v>
      </c>
      <c r="B44" s="225" t="s">
        <v>759</v>
      </c>
      <c r="C44" s="225"/>
      <c r="F44" s="226">
        <v>12827.947156443601</v>
      </c>
      <c r="G44" s="226">
        <v>1767.0271655997899</v>
      </c>
      <c r="H44" s="226">
        <v>44175.679139994798</v>
      </c>
      <c r="I44" s="226">
        <v>0.109623520866531</v>
      </c>
      <c r="J44" s="226">
        <v>32.667809218226203</v>
      </c>
      <c r="K44" s="226">
        <v>0</v>
      </c>
      <c r="L44" s="226">
        <v>0</v>
      </c>
      <c r="M44" s="226">
        <v>0</v>
      </c>
      <c r="N44" s="226">
        <v>0</v>
      </c>
      <c r="O44" s="226">
        <v>57036.294105656503</v>
      </c>
    </row>
    <row r="45" spans="1:15" s="234" customFormat="1" ht="12.75" x14ac:dyDescent="0.2">
      <c r="A45" s="228"/>
      <c r="B45" s="229" t="s">
        <v>760</v>
      </c>
      <c r="C45" s="229"/>
      <c r="F45" s="231">
        <v>0</v>
      </c>
      <c r="G45" s="231">
        <v>101.621817277677</v>
      </c>
      <c r="H45" s="231">
        <v>2540.54543194193</v>
      </c>
      <c r="I45" s="231">
        <v>0</v>
      </c>
      <c r="J45" s="231">
        <v>0</v>
      </c>
      <c r="K45" s="231">
        <v>0</v>
      </c>
      <c r="L45" s="231">
        <v>0</v>
      </c>
      <c r="M45" s="231">
        <v>0</v>
      </c>
      <c r="N45" s="231">
        <v>0</v>
      </c>
      <c r="O45" s="231">
        <v>2540.54543194193</v>
      </c>
    </row>
    <row r="46" spans="1:15" s="234" customFormat="1" ht="12.75" x14ac:dyDescent="0.2">
      <c r="A46" s="228"/>
      <c r="B46" s="229" t="s">
        <v>761</v>
      </c>
      <c r="C46" s="229"/>
      <c r="F46" s="231">
        <v>12827.947156443601</v>
      </c>
      <c r="G46" s="231">
        <v>1665.4053483221101</v>
      </c>
      <c r="H46" s="231">
        <v>41635.133708052803</v>
      </c>
      <c r="I46" s="231">
        <v>0.109623520866531</v>
      </c>
      <c r="J46" s="231">
        <v>32.667809218226203</v>
      </c>
      <c r="K46" s="231">
        <v>0</v>
      </c>
      <c r="L46" s="231">
        <v>0</v>
      </c>
      <c r="M46" s="231">
        <v>0</v>
      </c>
      <c r="N46" s="231">
        <v>0</v>
      </c>
      <c r="O46" s="231">
        <v>54495.748673714603</v>
      </c>
    </row>
    <row r="47" spans="1:15" s="237" customFormat="1" ht="12" x14ac:dyDescent="0.2">
      <c r="A47" s="254"/>
      <c r="B47" s="255"/>
      <c r="C47" s="230" t="s">
        <v>762</v>
      </c>
      <c r="F47" s="238">
        <v>110.35974465207801</v>
      </c>
      <c r="G47" s="238">
        <v>216.963884468575</v>
      </c>
      <c r="H47" s="238">
        <v>5424.0971117143799</v>
      </c>
      <c r="I47" s="238">
        <v>0.1</v>
      </c>
      <c r="J47" s="238">
        <v>29.8</v>
      </c>
      <c r="K47" s="238">
        <v>0</v>
      </c>
      <c r="L47" s="238">
        <v>0</v>
      </c>
      <c r="M47" s="238">
        <v>0</v>
      </c>
      <c r="N47" s="238">
        <v>0</v>
      </c>
      <c r="O47" s="238">
        <v>5564.2568563664599</v>
      </c>
    </row>
    <row r="48" spans="1:15" s="237" customFormat="1" ht="12" x14ac:dyDescent="0.2">
      <c r="A48" s="254"/>
      <c r="B48" s="255"/>
      <c r="C48" s="230" t="s">
        <v>763</v>
      </c>
      <c r="F48" s="238">
        <v>33.758973142433199</v>
      </c>
      <c r="G48" s="238">
        <v>614.32222679942402</v>
      </c>
      <c r="H48" s="238">
        <v>15358.055669985601</v>
      </c>
      <c r="I48" s="238">
        <v>0</v>
      </c>
      <c r="J48" s="238">
        <v>0</v>
      </c>
      <c r="K48" s="238">
        <v>0</v>
      </c>
      <c r="L48" s="238">
        <v>0</v>
      </c>
      <c r="M48" s="238">
        <v>0</v>
      </c>
      <c r="N48" s="238">
        <v>0</v>
      </c>
      <c r="O48" s="238">
        <v>15391.814643128</v>
      </c>
    </row>
    <row r="49" spans="1:16" s="237" customFormat="1" ht="12" x14ac:dyDescent="0.2">
      <c r="A49" s="256"/>
      <c r="B49" s="257"/>
      <c r="C49" s="258" t="s">
        <v>380</v>
      </c>
      <c r="D49" s="243"/>
      <c r="E49" s="243"/>
      <c r="F49" s="244">
        <v>8013.3849554154203</v>
      </c>
      <c r="G49" s="244">
        <v>827.28954674272495</v>
      </c>
      <c r="H49" s="244">
        <v>20682.238668568101</v>
      </c>
      <c r="I49" s="244">
        <v>0</v>
      </c>
      <c r="J49" s="244">
        <v>0</v>
      </c>
      <c r="K49" s="244">
        <v>0</v>
      </c>
      <c r="L49" s="244">
        <v>0</v>
      </c>
      <c r="M49" s="244">
        <v>0</v>
      </c>
      <c r="N49" s="244">
        <v>0</v>
      </c>
      <c r="O49" s="244">
        <v>28695.6236239836</v>
      </c>
    </row>
    <row r="50" spans="1:16" s="237" customFormat="1" ht="12" x14ac:dyDescent="0.2">
      <c r="A50" s="256"/>
      <c r="B50" s="257"/>
      <c r="C50" s="258" t="s">
        <v>381</v>
      </c>
      <c r="D50" s="243"/>
      <c r="E50" s="243"/>
      <c r="F50" s="244">
        <v>4670.4434832336201</v>
      </c>
      <c r="G50" s="244">
        <v>6.82969031138893</v>
      </c>
      <c r="H50" s="244">
        <v>170.74225778472299</v>
      </c>
      <c r="I50" s="244">
        <v>9.6235208665307707E-3</v>
      </c>
      <c r="J50" s="244">
        <v>2.8678092182261699</v>
      </c>
      <c r="K50" s="244">
        <v>0</v>
      </c>
      <c r="L50" s="244">
        <v>0</v>
      </c>
      <c r="M50" s="244">
        <v>0</v>
      </c>
      <c r="N50" s="244">
        <v>0</v>
      </c>
      <c r="O50" s="244">
        <v>4844.0535502365701</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34505.190030036203</v>
      </c>
      <c r="G52" s="266">
        <v>4.1333170914811204</v>
      </c>
      <c r="H52" s="266">
        <v>103.332927287028</v>
      </c>
      <c r="I52" s="266">
        <v>33.255715936305499</v>
      </c>
      <c r="J52" s="266">
        <v>9910.2033490190406</v>
      </c>
      <c r="K52" s="266">
        <v>0</v>
      </c>
      <c r="L52" s="266">
        <v>7455.5834357561498</v>
      </c>
      <c r="M52" s="266">
        <v>2373.5474573054298</v>
      </c>
      <c r="N52" s="266">
        <v>0.29844276133333297</v>
      </c>
      <c r="O52" s="266">
        <v>54348.155642165199</v>
      </c>
    </row>
    <row r="53" spans="1:16" s="240" customFormat="1" ht="12.75" x14ac:dyDescent="0.2">
      <c r="A53" s="224" t="s">
        <v>724</v>
      </c>
      <c r="B53" s="225" t="s">
        <v>767</v>
      </c>
      <c r="C53" s="225"/>
      <c r="D53" s="268"/>
      <c r="E53" s="268"/>
      <c r="F53" s="269">
        <v>7343.8566520296899</v>
      </c>
      <c r="G53" s="269">
        <v>0</v>
      </c>
      <c r="H53" s="269">
        <v>0</v>
      </c>
      <c r="I53" s="269">
        <v>0</v>
      </c>
      <c r="J53" s="269">
        <v>0</v>
      </c>
      <c r="K53" s="269">
        <v>0</v>
      </c>
      <c r="L53" s="269">
        <v>0</v>
      </c>
      <c r="M53" s="269">
        <v>0</v>
      </c>
      <c r="N53" s="269">
        <v>0</v>
      </c>
      <c r="O53" s="269">
        <v>7343.8566520296899</v>
      </c>
    </row>
    <row r="54" spans="1:16" s="273" customFormat="1" ht="12" x14ac:dyDescent="0.2">
      <c r="A54" s="235"/>
      <c r="B54" s="270"/>
      <c r="C54" s="236" t="s">
        <v>560</v>
      </c>
      <c r="D54" s="271"/>
      <c r="E54" s="271"/>
      <c r="F54" s="272">
        <v>4844.1426934368801</v>
      </c>
      <c r="G54" s="272">
        <v>0</v>
      </c>
      <c r="H54" s="272">
        <v>0</v>
      </c>
      <c r="I54" s="272">
        <v>0</v>
      </c>
      <c r="J54" s="272">
        <v>0</v>
      </c>
      <c r="K54" s="272">
        <v>0</v>
      </c>
      <c r="L54" s="272">
        <v>0</v>
      </c>
      <c r="M54" s="272">
        <v>0</v>
      </c>
      <c r="N54" s="272">
        <v>0</v>
      </c>
      <c r="O54" s="272">
        <v>4844.1426934368801</v>
      </c>
      <c r="P54" s="271"/>
    </row>
    <row r="55" spans="1:16" s="273" customFormat="1" ht="12" x14ac:dyDescent="0.2">
      <c r="A55" s="235"/>
      <c r="B55" s="270"/>
      <c r="C55" s="236" t="s">
        <v>191</v>
      </c>
      <c r="D55" s="271"/>
      <c r="E55" s="271"/>
      <c r="F55" s="272">
        <v>1795.26488783794</v>
      </c>
      <c r="G55" s="272">
        <v>0</v>
      </c>
      <c r="H55" s="272">
        <v>0</v>
      </c>
      <c r="I55" s="272">
        <v>0</v>
      </c>
      <c r="J55" s="272">
        <v>0</v>
      </c>
      <c r="K55" s="272">
        <v>0</v>
      </c>
      <c r="L55" s="272">
        <v>0</v>
      </c>
      <c r="M55" s="272">
        <v>0</v>
      </c>
      <c r="N55" s="272">
        <v>0</v>
      </c>
      <c r="O55" s="272">
        <v>1795.26488783794</v>
      </c>
      <c r="P55" s="271"/>
    </row>
    <row r="56" spans="1:16" s="273" customFormat="1" ht="12" x14ac:dyDescent="0.2">
      <c r="A56" s="235"/>
      <c r="B56" s="270"/>
      <c r="C56" s="236" t="s">
        <v>768</v>
      </c>
      <c r="D56" s="271"/>
      <c r="E56" s="271"/>
      <c r="F56" s="272">
        <v>704.44907075486799</v>
      </c>
      <c r="G56" s="272">
        <v>0</v>
      </c>
      <c r="H56" s="272">
        <v>0</v>
      </c>
      <c r="I56" s="272">
        <v>0</v>
      </c>
      <c r="J56" s="272">
        <v>0</v>
      </c>
      <c r="K56" s="272">
        <v>0</v>
      </c>
      <c r="L56" s="272">
        <v>0</v>
      </c>
      <c r="M56" s="272">
        <v>0</v>
      </c>
      <c r="N56" s="272">
        <v>0</v>
      </c>
      <c r="O56" s="272">
        <v>704.44907075486799</v>
      </c>
      <c r="P56" s="271"/>
    </row>
    <row r="57" spans="1:16" s="275" customFormat="1" ht="12.75" x14ac:dyDescent="0.2">
      <c r="A57" s="224" t="s">
        <v>737</v>
      </c>
      <c r="B57" s="225" t="s">
        <v>769</v>
      </c>
      <c r="C57" s="225"/>
      <c r="D57" s="274"/>
      <c r="E57" s="274"/>
      <c r="F57" s="269">
        <v>6261.6517499636202</v>
      </c>
      <c r="G57" s="269">
        <v>4.0273509759811201</v>
      </c>
      <c r="H57" s="269">
        <v>100.68377439952801</v>
      </c>
      <c r="I57" s="269">
        <v>32.741525815666101</v>
      </c>
      <c r="J57" s="269">
        <v>9756.9746930684905</v>
      </c>
      <c r="K57" s="269">
        <v>0</v>
      </c>
      <c r="L57" s="269">
        <v>0</v>
      </c>
      <c r="M57" s="269">
        <v>0</v>
      </c>
      <c r="N57" s="269">
        <v>0</v>
      </c>
      <c r="O57" s="269">
        <v>16119.310217431601</v>
      </c>
      <c r="P57" s="274"/>
    </row>
    <row r="58" spans="1:16" s="277" customFormat="1" ht="12" x14ac:dyDescent="0.2">
      <c r="A58" s="235"/>
      <c r="B58" s="270"/>
      <c r="C58" s="236" t="s">
        <v>192</v>
      </c>
      <c r="D58" s="276"/>
      <c r="E58" s="276"/>
      <c r="F58" s="272">
        <v>2922.3518927493301</v>
      </c>
      <c r="G58" s="272">
        <v>0</v>
      </c>
      <c r="H58" s="272">
        <v>0</v>
      </c>
      <c r="I58" s="272">
        <v>0</v>
      </c>
      <c r="J58" s="272">
        <v>0</v>
      </c>
      <c r="K58" s="272">
        <v>0</v>
      </c>
      <c r="L58" s="272">
        <v>0</v>
      </c>
      <c r="M58" s="272">
        <v>0</v>
      </c>
      <c r="N58" s="272">
        <v>0</v>
      </c>
      <c r="O58" s="272">
        <v>2922.3518927493301</v>
      </c>
      <c r="P58" s="276"/>
    </row>
    <row r="59" spans="1:16" s="277" customFormat="1" ht="12" x14ac:dyDescent="0.2">
      <c r="A59" s="235"/>
      <c r="B59" s="270"/>
      <c r="C59" s="236" t="s">
        <v>190</v>
      </c>
      <c r="D59" s="276"/>
      <c r="E59" s="276"/>
      <c r="F59" s="272">
        <v>0</v>
      </c>
      <c r="G59" s="272">
        <v>0</v>
      </c>
      <c r="H59" s="272">
        <v>0</v>
      </c>
      <c r="I59" s="272">
        <v>3.39931007869402</v>
      </c>
      <c r="J59" s="272">
        <v>1012.99440345082</v>
      </c>
      <c r="K59" s="272">
        <v>0</v>
      </c>
      <c r="L59" s="272">
        <v>0</v>
      </c>
      <c r="M59" s="272">
        <v>0</v>
      </c>
      <c r="N59" s="272">
        <v>0</v>
      </c>
      <c r="O59" s="272">
        <v>1012.99440345082</v>
      </c>
      <c r="P59" s="276"/>
    </row>
    <row r="60" spans="1:16" s="277" customFormat="1" ht="12" x14ac:dyDescent="0.2">
      <c r="A60" s="235"/>
      <c r="B60" s="270"/>
      <c r="C60" s="236" t="s">
        <v>770</v>
      </c>
      <c r="D60" s="276"/>
      <c r="E60" s="276"/>
      <c r="F60" s="272">
        <v>0</v>
      </c>
      <c r="G60" s="272">
        <v>0</v>
      </c>
      <c r="H60" s="272">
        <v>0</v>
      </c>
      <c r="I60" s="272">
        <v>29.29</v>
      </c>
      <c r="J60" s="272">
        <v>8728.42</v>
      </c>
      <c r="K60" s="272">
        <v>0</v>
      </c>
      <c r="L60" s="272">
        <v>0</v>
      </c>
      <c r="M60" s="272">
        <v>0</v>
      </c>
      <c r="N60" s="272">
        <v>0</v>
      </c>
      <c r="O60" s="272">
        <v>8728.42</v>
      </c>
      <c r="P60" s="276"/>
    </row>
    <row r="61" spans="1:16" s="277" customFormat="1" ht="12" x14ac:dyDescent="0.2">
      <c r="A61" s="235"/>
      <c r="B61" s="270"/>
      <c r="C61" s="236" t="s">
        <v>771</v>
      </c>
      <c r="D61" s="276"/>
      <c r="E61" s="276"/>
      <c r="F61" s="272">
        <v>3339.2998572142801</v>
      </c>
      <c r="G61" s="272">
        <v>4.0273509759811201</v>
      </c>
      <c r="H61" s="272">
        <v>100.68377439952801</v>
      </c>
      <c r="I61" s="272">
        <v>5.2215736972046803E-2</v>
      </c>
      <c r="J61" s="272">
        <v>15.5602896176699</v>
      </c>
      <c r="K61" s="272">
        <v>0</v>
      </c>
      <c r="L61" s="272">
        <v>0</v>
      </c>
      <c r="M61" s="272">
        <v>0</v>
      </c>
      <c r="N61" s="272">
        <v>0</v>
      </c>
      <c r="O61" s="272">
        <v>3455.54392123148</v>
      </c>
      <c r="P61" s="276"/>
    </row>
    <row r="62" spans="1:16" s="240" customFormat="1" ht="12.75" x14ac:dyDescent="0.2">
      <c r="A62" s="224" t="s">
        <v>758</v>
      </c>
      <c r="B62" s="225" t="s">
        <v>772</v>
      </c>
      <c r="C62" s="225"/>
      <c r="D62" s="268"/>
      <c r="E62" s="268"/>
      <c r="F62" s="269">
        <v>15772.017580785199</v>
      </c>
      <c r="G62" s="269">
        <v>0.1059661155</v>
      </c>
      <c r="H62" s="269">
        <v>2.6491528875000001</v>
      </c>
      <c r="I62" s="269">
        <v>0</v>
      </c>
      <c r="J62" s="269">
        <v>0</v>
      </c>
      <c r="K62" s="269">
        <v>0</v>
      </c>
      <c r="L62" s="269">
        <v>7455.5325057236496</v>
      </c>
      <c r="M62" s="269">
        <v>2167.0074661795402</v>
      </c>
      <c r="N62" s="269">
        <v>0</v>
      </c>
      <c r="O62" s="269">
        <v>25397.2067055759</v>
      </c>
      <c r="P62" s="268"/>
    </row>
    <row r="63" spans="1:16" s="273" customFormat="1" ht="12" x14ac:dyDescent="0.2">
      <c r="A63" s="235"/>
      <c r="B63" s="230"/>
      <c r="C63" s="230" t="s">
        <v>773</v>
      </c>
      <c r="D63" s="271"/>
      <c r="E63" s="271"/>
      <c r="F63" s="272">
        <v>11863.758160118499</v>
      </c>
      <c r="G63" s="272">
        <v>0.1059661155</v>
      </c>
      <c r="H63" s="272">
        <v>2.6491528875000001</v>
      </c>
      <c r="I63" s="272">
        <v>0</v>
      </c>
      <c r="J63" s="272">
        <v>0</v>
      </c>
      <c r="K63" s="272">
        <v>0</v>
      </c>
      <c r="L63" s="272">
        <v>0</v>
      </c>
      <c r="M63" s="272">
        <v>0</v>
      </c>
      <c r="N63" s="272">
        <v>0</v>
      </c>
      <c r="O63" s="272">
        <v>11866.407313006001</v>
      </c>
      <c r="P63" s="271"/>
    </row>
    <row r="64" spans="1:16" s="273" customFormat="1" ht="12" x14ac:dyDescent="0.2">
      <c r="A64" s="235"/>
      <c r="B64" s="230"/>
      <c r="C64" s="230" t="s">
        <v>252</v>
      </c>
      <c r="D64" s="271"/>
      <c r="E64" s="271"/>
      <c r="F64" s="272">
        <v>3908.2594206666699</v>
      </c>
      <c r="G64" s="272">
        <v>0</v>
      </c>
      <c r="H64" s="272">
        <v>0</v>
      </c>
      <c r="I64" s="272">
        <v>0</v>
      </c>
      <c r="J64" s="272">
        <v>0</v>
      </c>
      <c r="K64" s="272">
        <v>0</v>
      </c>
      <c r="L64" s="272">
        <v>7455.5325057236496</v>
      </c>
      <c r="M64" s="272">
        <v>56.3408033472803</v>
      </c>
      <c r="N64" s="272">
        <v>0</v>
      </c>
      <c r="O64" s="272">
        <v>11420.132729737599</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2110.66666283226</v>
      </c>
      <c r="N65" s="272">
        <v>0</v>
      </c>
      <c r="O65" s="272">
        <v>2110.66666283226</v>
      </c>
      <c r="P65" s="271"/>
    </row>
    <row r="66" spans="1:16" s="234" customFormat="1" x14ac:dyDescent="0.25">
      <c r="A66" s="278" t="s">
        <v>764</v>
      </c>
      <c r="B66" s="279" t="s">
        <v>775</v>
      </c>
      <c r="C66" s="279"/>
      <c r="D66" s="251"/>
      <c r="E66" s="251"/>
      <c r="F66" s="252">
        <v>0</v>
      </c>
      <c r="G66" s="252">
        <v>0</v>
      </c>
      <c r="H66" s="252">
        <v>0</v>
      </c>
      <c r="I66" s="252">
        <v>0</v>
      </c>
      <c r="J66" s="252">
        <v>0</v>
      </c>
      <c r="K66" s="252">
        <v>0</v>
      </c>
      <c r="L66" s="252">
        <v>5.09300325E-2</v>
      </c>
      <c r="M66" s="252">
        <v>4.3776520400255103</v>
      </c>
      <c r="N66" s="252">
        <v>0.29844276133333297</v>
      </c>
      <c r="O66" s="252">
        <v>4.7270248338588496</v>
      </c>
      <c r="P66" s="251"/>
    </row>
    <row r="67" spans="1:16" s="234" customFormat="1" ht="12.75" x14ac:dyDescent="0.2">
      <c r="A67" s="278" t="s">
        <v>776</v>
      </c>
      <c r="B67" s="279" t="s">
        <v>777</v>
      </c>
      <c r="C67" s="279"/>
      <c r="D67" s="251"/>
      <c r="E67" s="251"/>
      <c r="F67" s="252">
        <v>5127.6640472576701</v>
      </c>
      <c r="G67" s="252">
        <v>0</v>
      </c>
      <c r="H67" s="252">
        <v>0</v>
      </c>
      <c r="I67" s="252">
        <v>0</v>
      </c>
      <c r="J67" s="252">
        <v>0</v>
      </c>
      <c r="K67" s="252">
        <v>0</v>
      </c>
      <c r="L67" s="252">
        <v>0</v>
      </c>
      <c r="M67" s="252">
        <v>0</v>
      </c>
      <c r="N67" s="252">
        <v>0</v>
      </c>
      <c r="O67" s="252">
        <v>5127.6640472576701</v>
      </c>
      <c r="P67" s="251"/>
    </row>
    <row r="68" spans="1:16" s="234" customFormat="1" ht="12.75" x14ac:dyDescent="0.2">
      <c r="A68" s="259" t="s">
        <v>778</v>
      </c>
      <c r="B68" s="260" t="s">
        <v>779</v>
      </c>
      <c r="C68" s="260"/>
      <c r="D68" s="280"/>
      <c r="E68" s="280"/>
      <c r="F68" s="281">
        <v>0</v>
      </c>
      <c r="G68" s="281">
        <v>0</v>
      </c>
      <c r="H68" s="281">
        <v>0</v>
      </c>
      <c r="I68" s="281">
        <v>0.51419012063945602</v>
      </c>
      <c r="J68" s="281">
        <v>153.22865595055799</v>
      </c>
      <c r="K68" s="281">
        <v>0</v>
      </c>
      <c r="L68" s="281">
        <v>0</v>
      </c>
      <c r="M68" s="281">
        <v>202.16233908586199</v>
      </c>
      <c r="N68" s="281">
        <v>0</v>
      </c>
      <c r="O68" s="281">
        <v>355.39099503642001</v>
      </c>
      <c r="P68" s="251"/>
    </row>
    <row r="69" spans="1:16" s="267" customFormat="1" ht="12.75" x14ac:dyDescent="0.2">
      <c r="A69" s="282" t="s">
        <v>780</v>
      </c>
      <c r="B69" s="283"/>
      <c r="C69" s="283"/>
      <c r="D69" s="284"/>
      <c r="E69" s="284"/>
      <c r="F69" s="285">
        <v>1192.56827946667</v>
      </c>
      <c r="G69" s="285">
        <v>1140.71745007153</v>
      </c>
      <c r="H69" s="285">
        <v>28517.936251788102</v>
      </c>
      <c r="I69" s="285">
        <v>71.567678846125503</v>
      </c>
      <c r="J69" s="285">
        <v>21327.168296145399</v>
      </c>
      <c r="K69" s="285">
        <v>0</v>
      </c>
      <c r="L69" s="285">
        <v>0</v>
      </c>
      <c r="M69" s="285">
        <v>0</v>
      </c>
      <c r="N69" s="285">
        <v>0</v>
      </c>
      <c r="O69" s="285">
        <v>51037.672827400202</v>
      </c>
      <c r="P69" s="265"/>
    </row>
    <row r="70" spans="1:16" s="234" customFormat="1" ht="12.75" x14ac:dyDescent="0.2">
      <c r="A70" s="278" t="s">
        <v>724</v>
      </c>
      <c r="B70" s="279" t="s">
        <v>27</v>
      </c>
      <c r="C70" s="279"/>
      <c r="D70" s="251"/>
      <c r="E70" s="251"/>
      <c r="F70" s="252">
        <v>0</v>
      </c>
      <c r="G70" s="252">
        <v>994.06847233644703</v>
      </c>
      <c r="H70" s="252">
        <v>24851.711808411201</v>
      </c>
      <c r="I70" s="252">
        <v>0</v>
      </c>
      <c r="J70" s="252">
        <v>0</v>
      </c>
      <c r="K70" s="252">
        <v>0</v>
      </c>
      <c r="L70" s="252">
        <v>0</v>
      </c>
      <c r="M70" s="252">
        <v>0</v>
      </c>
      <c r="N70" s="252">
        <v>0</v>
      </c>
      <c r="O70" s="252">
        <v>24851.711808411201</v>
      </c>
      <c r="P70" s="251"/>
    </row>
    <row r="71" spans="1:16" s="234" customFormat="1" ht="12.75" x14ac:dyDescent="0.2">
      <c r="A71" s="278" t="s">
        <v>737</v>
      </c>
      <c r="B71" s="279" t="s">
        <v>28</v>
      </c>
      <c r="C71" s="279"/>
      <c r="D71" s="251"/>
      <c r="E71" s="251"/>
      <c r="F71" s="252">
        <v>0</v>
      </c>
      <c r="G71" s="252">
        <v>141.30927634444001</v>
      </c>
      <c r="H71" s="252">
        <v>3532.7319086110001</v>
      </c>
      <c r="I71" s="252">
        <v>14.6859861820496</v>
      </c>
      <c r="J71" s="252">
        <v>4376.4238822507696</v>
      </c>
      <c r="K71" s="252">
        <v>0</v>
      </c>
      <c r="L71" s="252">
        <v>0</v>
      </c>
      <c r="M71" s="252">
        <v>0</v>
      </c>
      <c r="N71" s="252">
        <v>0</v>
      </c>
      <c r="O71" s="252">
        <v>7909.1557908617697</v>
      </c>
      <c r="P71" s="251"/>
    </row>
    <row r="72" spans="1:16" s="234" customFormat="1" ht="12.75" x14ac:dyDescent="0.2">
      <c r="A72" s="224" t="s">
        <v>758</v>
      </c>
      <c r="B72" s="225" t="s">
        <v>781</v>
      </c>
      <c r="C72" s="225"/>
      <c r="F72" s="231">
        <v>0</v>
      </c>
      <c r="G72" s="231">
        <v>0</v>
      </c>
      <c r="H72" s="231">
        <v>0</v>
      </c>
      <c r="I72" s="231">
        <v>56.7432559613557</v>
      </c>
      <c r="J72" s="231">
        <v>16909.490276484001</v>
      </c>
      <c r="K72" s="231">
        <v>0</v>
      </c>
      <c r="L72" s="231">
        <v>0</v>
      </c>
      <c r="M72" s="231">
        <v>0</v>
      </c>
      <c r="N72" s="231">
        <v>0</v>
      </c>
      <c r="O72" s="231">
        <v>16909.490276484001</v>
      </c>
    </row>
    <row r="73" spans="1:16" s="237" customFormat="1" ht="12" x14ac:dyDescent="0.2">
      <c r="A73" s="286"/>
      <c r="B73" s="258"/>
      <c r="C73" s="258" t="s">
        <v>782</v>
      </c>
      <c r="D73" s="243"/>
      <c r="E73" s="243"/>
      <c r="F73" s="244">
        <v>0</v>
      </c>
      <c r="G73" s="244">
        <v>0</v>
      </c>
      <c r="H73" s="244">
        <v>0</v>
      </c>
      <c r="I73" s="244">
        <v>47.239166592047503</v>
      </c>
      <c r="J73" s="244">
        <v>14077.2716444302</v>
      </c>
      <c r="K73" s="244">
        <v>0</v>
      </c>
      <c r="L73" s="244">
        <v>0</v>
      </c>
      <c r="M73" s="244">
        <v>0</v>
      </c>
      <c r="N73" s="244">
        <v>0</v>
      </c>
      <c r="O73" s="244">
        <v>14077.2716444302</v>
      </c>
    </row>
    <row r="74" spans="1:16" s="237" customFormat="1" ht="12" x14ac:dyDescent="0.2">
      <c r="A74" s="286"/>
      <c r="B74" s="258"/>
      <c r="C74" s="258" t="s">
        <v>783</v>
      </c>
      <c r="D74" s="243"/>
      <c r="E74" s="243"/>
      <c r="F74" s="244">
        <v>0</v>
      </c>
      <c r="G74" s="244">
        <v>0</v>
      </c>
      <c r="H74" s="244">
        <v>0</v>
      </c>
      <c r="I74" s="244">
        <v>9.5040893693081205</v>
      </c>
      <c r="J74" s="244">
        <v>2832.2186320538199</v>
      </c>
      <c r="K74" s="244">
        <v>0</v>
      </c>
      <c r="L74" s="244">
        <v>0</v>
      </c>
      <c r="M74" s="244">
        <v>0</v>
      </c>
      <c r="N74" s="244">
        <v>0</v>
      </c>
      <c r="O74" s="244">
        <v>2832.2186320538199</v>
      </c>
    </row>
    <row r="75" spans="1:16" s="234" customFormat="1" ht="12.75" x14ac:dyDescent="0.2">
      <c r="A75" s="278" t="s">
        <v>764</v>
      </c>
      <c r="B75" s="279" t="s">
        <v>193</v>
      </c>
      <c r="C75" s="287"/>
      <c r="D75" s="251"/>
      <c r="E75" s="251"/>
      <c r="F75" s="252">
        <v>0</v>
      </c>
      <c r="G75" s="252">
        <v>5.3397013906388402</v>
      </c>
      <c r="H75" s="252">
        <v>133.49253476597099</v>
      </c>
      <c r="I75" s="252">
        <v>0.13843670272026601</v>
      </c>
      <c r="J75" s="252">
        <v>41.254137410639302</v>
      </c>
      <c r="K75" s="252">
        <v>0</v>
      </c>
      <c r="L75" s="252">
        <v>0</v>
      </c>
      <c r="M75" s="252">
        <v>0</v>
      </c>
      <c r="N75" s="252">
        <v>0</v>
      </c>
      <c r="O75" s="252">
        <v>174.74667217660999</v>
      </c>
    </row>
    <row r="76" spans="1:16" s="234" customFormat="1" ht="12.75" x14ac:dyDescent="0.2">
      <c r="A76" s="259" t="s">
        <v>776</v>
      </c>
      <c r="B76" s="260" t="s">
        <v>784</v>
      </c>
      <c r="C76" s="288"/>
      <c r="D76" s="280"/>
      <c r="E76" s="280"/>
      <c r="F76" s="281">
        <v>1192.56827946667</v>
      </c>
      <c r="G76" s="281">
        <v>0</v>
      </c>
      <c r="H76" s="281">
        <v>0</v>
      </c>
      <c r="I76" s="281">
        <v>0</v>
      </c>
      <c r="J76" s="281">
        <v>0</v>
      </c>
      <c r="K76" s="281">
        <v>0</v>
      </c>
      <c r="L76" s="281">
        <v>0</v>
      </c>
      <c r="M76" s="281">
        <v>0</v>
      </c>
      <c r="N76" s="281">
        <v>0</v>
      </c>
      <c r="O76" s="281">
        <v>1192.56827946667</v>
      </c>
    </row>
    <row r="77" spans="1:16" s="234" customFormat="1" ht="12.75" x14ac:dyDescent="0.2">
      <c r="A77" s="220" t="s">
        <v>785</v>
      </c>
      <c r="B77" s="289"/>
      <c r="C77" s="289"/>
      <c r="F77" s="223">
        <v>527.81796691</v>
      </c>
      <c r="G77" s="223">
        <v>924.71299954999995</v>
      </c>
      <c r="H77" s="223">
        <v>23117.824988749999</v>
      </c>
      <c r="I77" s="223">
        <v>3.5261086700000002</v>
      </c>
      <c r="J77" s="223">
        <v>1050.7803836600001</v>
      </c>
      <c r="K77" s="223">
        <v>0</v>
      </c>
      <c r="L77" s="223">
        <v>0</v>
      </c>
      <c r="M77" s="223">
        <v>0</v>
      </c>
      <c r="N77" s="223">
        <v>0</v>
      </c>
      <c r="O77" s="223">
        <v>24696.423339320001</v>
      </c>
    </row>
    <row r="78" spans="1:16" s="234" customFormat="1" ht="12.75" x14ac:dyDescent="0.2">
      <c r="A78" s="224" t="s">
        <v>724</v>
      </c>
      <c r="B78" s="225" t="s">
        <v>786</v>
      </c>
      <c r="C78" s="225"/>
      <c r="F78" s="231">
        <v>0</v>
      </c>
      <c r="G78" s="231">
        <v>890.00855148999995</v>
      </c>
      <c r="H78" s="231">
        <v>22250.213787249999</v>
      </c>
      <c r="I78" s="231">
        <v>0</v>
      </c>
      <c r="J78" s="231">
        <v>0</v>
      </c>
      <c r="K78" s="231">
        <v>0</v>
      </c>
      <c r="L78" s="231">
        <v>0</v>
      </c>
      <c r="M78" s="231">
        <v>0</v>
      </c>
      <c r="N78" s="231">
        <v>0</v>
      </c>
      <c r="O78" s="231">
        <v>22250.213787249999</v>
      </c>
    </row>
    <row r="79" spans="1:16" s="234" customFormat="1" ht="12.75" x14ac:dyDescent="0.2">
      <c r="A79" s="224" t="s">
        <v>737</v>
      </c>
      <c r="B79" s="225" t="s">
        <v>787</v>
      </c>
      <c r="C79" s="225"/>
      <c r="F79" s="231">
        <v>0</v>
      </c>
      <c r="G79" s="231">
        <v>17.304363599999999</v>
      </c>
      <c r="H79" s="231">
        <v>432.60908999999998</v>
      </c>
      <c r="I79" s="231">
        <v>1.03826182</v>
      </c>
      <c r="J79" s="231">
        <v>309.40202235999999</v>
      </c>
      <c r="K79" s="231">
        <v>0</v>
      </c>
      <c r="L79" s="231">
        <v>0</v>
      </c>
      <c r="M79" s="231">
        <v>0</v>
      </c>
      <c r="N79" s="231">
        <v>0</v>
      </c>
      <c r="O79" s="231">
        <v>742.01111235999997</v>
      </c>
    </row>
    <row r="80" spans="1:16" s="234" customFormat="1" ht="12.75" x14ac:dyDescent="0.2">
      <c r="A80" s="278" t="s">
        <v>788</v>
      </c>
      <c r="B80" s="279" t="s">
        <v>789</v>
      </c>
      <c r="C80" s="279"/>
      <c r="D80" s="251"/>
      <c r="E80" s="251"/>
      <c r="F80" s="252">
        <v>0</v>
      </c>
      <c r="G80" s="252">
        <v>15.49663421</v>
      </c>
      <c r="H80" s="252">
        <v>387.41585524999999</v>
      </c>
      <c r="I80" s="252">
        <v>1.76842711</v>
      </c>
      <c r="J80" s="252">
        <v>526.99127878000002</v>
      </c>
      <c r="K80" s="252">
        <v>0</v>
      </c>
      <c r="L80" s="252">
        <v>0</v>
      </c>
      <c r="M80" s="252">
        <v>0</v>
      </c>
      <c r="N80" s="252">
        <v>0</v>
      </c>
      <c r="O80" s="252">
        <v>914.40713402999995</v>
      </c>
    </row>
    <row r="81" spans="1:42" s="234" customFormat="1" ht="12.75" x14ac:dyDescent="0.2">
      <c r="A81" s="259" t="s">
        <v>764</v>
      </c>
      <c r="B81" s="260" t="s">
        <v>790</v>
      </c>
      <c r="C81" s="260"/>
      <c r="D81" s="280"/>
      <c r="E81" s="280"/>
      <c r="F81" s="281">
        <v>527.81796691</v>
      </c>
      <c r="G81" s="281">
        <v>1.9034502499999999</v>
      </c>
      <c r="H81" s="281">
        <v>47.586256249999998</v>
      </c>
      <c r="I81" s="281">
        <v>0.71941973999999997</v>
      </c>
      <c r="J81" s="281">
        <v>214.38708252000001</v>
      </c>
      <c r="K81" s="281">
        <v>0</v>
      </c>
      <c r="L81" s="281">
        <v>0</v>
      </c>
      <c r="M81" s="281">
        <v>0</v>
      </c>
      <c r="N81" s="281">
        <v>0</v>
      </c>
      <c r="O81" s="281">
        <v>789.79130568000005</v>
      </c>
    </row>
    <row r="82" spans="1:42" s="267" customFormat="1" ht="12.75" x14ac:dyDescent="0.2">
      <c r="A82" s="263" t="s">
        <v>791</v>
      </c>
      <c r="B82" s="264"/>
      <c r="C82" s="264"/>
      <c r="F82" s="223">
        <v>-90060.186597000007</v>
      </c>
      <c r="G82" s="223">
        <v>51.925235000000001</v>
      </c>
      <c r="H82" s="223">
        <v>1298.1308750000001</v>
      </c>
      <c r="I82" s="223">
        <v>1.9757439999999999</v>
      </c>
      <c r="J82" s="223">
        <v>588.77171199999998</v>
      </c>
      <c r="K82" s="223">
        <v>0</v>
      </c>
      <c r="L82" s="223">
        <v>0</v>
      </c>
      <c r="M82" s="223">
        <v>0</v>
      </c>
      <c r="N82" s="223">
        <v>0</v>
      </c>
      <c r="O82" s="223">
        <v>-88173.284010000003</v>
      </c>
    </row>
    <row r="83" spans="1:42" s="234" customFormat="1" ht="12.75" x14ac:dyDescent="0.2">
      <c r="A83" s="224" t="s">
        <v>724</v>
      </c>
      <c r="B83" s="225" t="s">
        <v>792</v>
      </c>
      <c r="C83" s="225"/>
      <c r="F83" s="231">
        <v>-250445.00746399999</v>
      </c>
      <c r="G83" s="231">
        <v>26.159721000000001</v>
      </c>
      <c r="H83" s="231">
        <v>653.99302499999999</v>
      </c>
      <c r="I83" s="231">
        <v>1.0682529999999999</v>
      </c>
      <c r="J83" s="231">
        <v>318.33939400000003</v>
      </c>
      <c r="K83" s="231">
        <v>0</v>
      </c>
      <c r="L83" s="231">
        <v>0</v>
      </c>
      <c r="M83" s="231">
        <v>0</v>
      </c>
      <c r="N83" s="231">
        <v>0</v>
      </c>
      <c r="O83" s="231">
        <v>-249472.67504500001</v>
      </c>
    </row>
    <row r="84" spans="1:42" s="234" customFormat="1" ht="12.75" x14ac:dyDescent="0.2">
      <c r="A84" s="224" t="s">
        <v>737</v>
      </c>
      <c r="B84" s="225" t="s">
        <v>793</v>
      </c>
      <c r="C84" s="225"/>
      <c r="F84" s="231">
        <v>4456.8540739999999</v>
      </c>
      <c r="G84" s="231">
        <v>8.4019270000000006</v>
      </c>
      <c r="H84" s="231">
        <v>210.04817499999999</v>
      </c>
      <c r="I84" s="231">
        <v>0.41105399999999997</v>
      </c>
      <c r="J84" s="231">
        <v>122.49409199999999</v>
      </c>
      <c r="K84" s="231">
        <v>0</v>
      </c>
      <c r="L84" s="231">
        <v>0</v>
      </c>
      <c r="M84" s="231">
        <v>0</v>
      </c>
      <c r="N84" s="231">
        <v>0</v>
      </c>
      <c r="O84" s="231">
        <v>4789.3963409999997</v>
      </c>
    </row>
    <row r="85" spans="1:42" s="234" customFormat="1" ht="12.75" x14ac:dyDescent="0.2">
      <c r="A85" s="278" t="s">
        <v>758</v>
      </c>
      <c r="B85" s="279" t="s">
        <v>794</v>
      </c>
      <c r="C85" s="279"/>
      <c r="F85" s="231">
        <v>0</v>
      </c>
      <c r="G85" s="231">
        <v>12.56256</v>
      </c>
      <c r="H85" s="231">
        <v>314.06400000000002</v>
      </c>
      <c r="I85" s="231">
        <v>0.32568999999999998</v>
      </c>
      <c r="J85" s="231">
        <v>97.055620000000005</v>
      </c>
      <c r="K85" s="231">
        <v>0</v>
      </c>
      <c r="L85" s="231">
        <v>0</v>
      </c>
      <c r="M85" s="231">
        <v>0</v>
      </c>
      <c r="N85" s="231">
        <v>0</v>
      </c>
      <c r="O85" s="231">
        <v>411.11962</v>
      </c>
    </row>
    <row r="86" spans="1:42" s="234" customFormat="1" ht="12.75" x14ac:dyDescent="0.2">
      <c r="A86" s="278" t="s">
        <v>764</v>
      </c>
      <c r="B86" s="279" t="s">
        <v>795</v>
      </c>
      <c r="C86" s="279"/>
      <c r="F86" s="231">
        <v>4970.7757879999999</v>
      </c>
      <c r="G86" s="231">
        <v>0.43812699999999999</v>
      </c>
      <c r="H86" s="231">
        <v>10.953175</v>
      </c>
      <c r="I86" s="231">
        <v>2.3581999999999999E-2</v>
      </c>
      <c r="J86" s="231">
        <v>7.0274359999999998</v>
      </c>
      <c r="K86" s="231">
        <v>0</v>
      </c>
      <c r="L86" s="231">
        <v>0</v>
      </c>
      <c r="M86" s="231">
        <v>0</v>
      </c>
      <c r="N86" s="231">
        <v>0</v>
      </c>
      <c r="O86" s="231">
        <v>4988.7563989999999</v>
      </c>
    </row>
    <row r="87" spans="1:42" s="234" customFormat="1" ht="12.75" x14ac:dyDescent="0.2">
      <c r="A87" s="278" t="s">
        <v>776</v>
      </c>
      <c r="B87" s="279" t="s">
        <v>796</v>
      </c>
      <c r="C87" s="279"/>
      <c r="D87" s="251"/>
      <c r="E87" s="251"/>
      <c r="F87" s="252">
        <v>3473.727406</v>
      </c>
      <c r="G87" s="252">
        <v>4.3628999999999998</v>
      </c>
      <c r="H87" s="252">
        <v>109.07250000000001</v>
      </c>
      <c r="I87" s="252">
        <v>0.14716499999999999</v>
      </c>
      <c r="J87" s="252">
        <v>43.855170000000001</v>
      </c>
      <c r="K87" s="252">
        <v>0</v>
      </c>
      <c r="L87" s="252">
        <v>0</v>
      </c>
      <c r="M87" s="252">
        <v>0</v>
      </c>
      <c r="N87" s="252">
        <v>0</v>
      </c>
      <c r="O87" s="252">
        <v>3626.655076</v>
      </c>
    </row>
    <row r="88" spans="1:42" s="234" customFormat="1" ht="12.75" x14ac:dyDescent="0.2">
      <c r="A88" s="259" t="s">
        <v>778</v>
      </c>
      <c r="B88" s="260" t="s">
        <v>797</v>
      </c>
      <c r="C88" s="260"/>
      <c r="D88" s="280"/>
      <c r="E88" s="280"/>
      <c r="F88" s="281">
        <v>147483.46359900001</v>
      </c>
      <c r="G88" s="281">
        <v>0</v>
      </c>
      <c r="H88" s="281">
        <v>0</v>
      </c>
      <c r="I88" s="281">
        <v>0</v>
      </c>
      <c r="J88" s="281">
        <v>0</v>
      </c>
      <c r="K88" s="281">
        <v>0</v>
      </c>
      <c r="L88" s="281">
        <v>0</v>
      </c>
      <c r="M88" s="281">
        <v>0</v>
      </c>
      <c r="N88" s="281">
        <v>0</v>
      </c>
      <c r="O88" s="281">
        <v>147483.46359900001</v>
      </c>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row>
    <row r="89" spans="1:42"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row>
    <row r="90" spans="1:42" x14ac:dyDescent="0.2">
      <c r="A90" s="234" t="s">
        <v>256</v>
      </c>
      <c r="B90" s="292"/>
      <c r="C90" s="292"/>
      <c r="D90" s="292"/>
      <c r="E90" s="292"/>
      <c r="F90" s="292"/>
      <c r="G90" s="292"/>
      <c r="H90" s="292"/>
      <c r="I90" s="292"/>
      <c r="J90" s="292"/>
      <c r="K90" s="292"/>
      <c r="L90" s="292"/>
      <c r="M90" s="292"/>
      <c r="N90" s="292"/>
      <c r="O90" s="292"/>
      <c r="P90" s="298"/>
      <c r="Q90" s="298"/>
      <c r="R90" s="298"/>
      <c r="S90" s="298"/>
      <c r="T90" s="298"/>
      <c r="U90" s="298"/>
      <c r="V90" s="298"/>
      <c r="W90" s="298"/>
      <c r="X90" s="298"/>
      <c r="Y90" s="298"/>
      <c r="Z90" s="298"/>
      <c r="AA90" s="298"/>
      <c r="AB90" s="298"/>
      <c r="AC90" s="298"/>
      <c r="AD90" s="298"/>
      <c r="AE90" s="298"/>
      <c r="AF90" s="298"/>
      <c r="AG90" s="298"/>
      <c r="AH90" s="298"/>
      <c r="AI90" s="298"/>
      <c r="AJ90" s="298"/>
      <c r="AK90" s="298"/>
      <c r="AL90" s="298"/>
      <c r="AM90" s="298"/>
      <c r="AN90" s="298"/>
      <c r="AO90" s="298"/>
      <c r="AP90" s="298"/>
    </row>
    <row r="91" spans="1:42" s="234" customFormat="1" ht="12.75" x14ac:dyDescent="0.2">
      <c r="A91" s="234" t="s">
        <v>798</v>
      </c>
      <c r="J91" s="293"/>
      <c r="O91" s="293"/>
    </row>
    <row r="92" spans="1:42" s="234" customFormat="1" ht="12.75" x14ac:dyDescent="0.2">
      <c r="A92" s="234" t="s">
        <v>799</v>
      </c>
      <c r="J92" s="293"/>
      <c r="O92" s="293"/>
      <c r="Z92" s="251"/>
    </row>
    <row r="93" spans="1:42" s="234" customFormat="1" ht="15.75" x14ac:dyDescent="0.3">
      <c r="A93" s="234" t="s">
        <v>800</v>
      </c>
      <c r="J93" s="293"/>
      <c r="O93" s="293"/>
    </row>
    <row r="94" spans="1:42" s="234" customFormat="1" ht="12.75" x14ac:dyDescent="0.2">
      <c r="A94" s="234" t="s">
        <v>801</v>
      </c>
      <c r="J94" s="293"/>
      <c r="O94" s="293"/>
    </row>
    <row r="95" spans="1:42" s="234" customFormat="1" ht="12.75" x14ac:dyDescent="0.2">
      <c r="A95" s="234" t="s">
        <v>802</v>
      </c>
      <c r="B95" s="234" t="s">
        <v>803</v>
      </c>
      <c r="J95" s="293"/>
      <c r="O95" s="293"/>
    </row>
    <row r="96" spans="1:42"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T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832</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468714.92227419699</v>
      </c>
      <c r="G7" s="218">
        <v>4003.48409992099</v>
      </c>
      <c r="H7" s="218">
        <v>100087.10249802499</v>
      </c>
      <c r="I7" s="218">
        <v>138.96618833844099</v>
      </c>
      <c r="J7" s="218">
        <v>41411.924124855497</v>
      </c>
      <c r="K7" s="218">
        <v>829.77679999999998</v>
      </c>
      <c r="L7" s="218">
        <v>7578.68311306546</v>
      </c>
      <c r="M7" s="218">
        <v>2557.1166486689399</v>
      </c>
      <c r="N7" s="218">
        <v>0.30711322400000002</v>
      </c>
      <c r="O7" s="218">
        <v>621179.83257203596</v>
      </c>
    </row>
    <row r="8" spans="1:16" ht="15.75" thickTop="1" x14ac:dyDescent="0.2">
      <c r="A8" s="220" t="s">
        <v>723</v>
      </c>
      <c r="B8" s="221"/>
      <c r="C8" s="221"/>
      <c r="F8" s="223">
        <v>433768.64937360003</v>
      </c>
      <c r="G8" s="223">
        <v>1957.09656209268</v>
      </c>
      <c r="H8" s="223">
        <v>48927.414052317101</v>
      </c>
      <c r="I8" s="223">
        <v>30.567891573588501</v>
      </c>
      <c r="J8" s="223">
        <v>9109.2316889293706</v>
      </c>
      <c r="K8" s="223">
        <v>0</v>
      </c>
      <c r="L8" s="223">
        <v>0</v>
      </c>
      <c r="M8" s="223">
        <v>0</v>
      </c>
      <c r="N8" s="223">
        <v>0</v>
      </c>
      <c r="O8" s="223">
        <v>491805.29511484603</v>
      </c>
    </row>
    <row r="9" spans="1:16" x14ac:dyDescent="0.2">
      <c r="A9" s="224" t="s">
        <v>724</v>
      </c>
      <c r="B9" s="225" t="s">
        <v>725</v>
      </c>
      <c r="C9" s="225"/>
      <c r="F9" s="226">
        <v>281814.165454284</v>
      </c>
      <c r="G9" s="226">
        <v>253.52004543096899</v>
      </c>
      <c r="H9" s="226">
        <v>6338.0011357742196</v>
      </c>
      <c r="I9" s="226">
        <v>7.7628689622929299</v>
      </c>
      <c r="J9" s="226">
        <v>2313.3349507632902</v>
      </c>
      <c r="K9" s="226">
        <v>0</v>
      </c>
      <c r="L9" s="226">
        <v>0</v>
      </c>
      <c r="M9" s="226">
        <v>0</v>
      </c>
      <c r="N9" s="226">
        <v>0</v>
      </c>
      <c r="O9" s="226">
        <v>290465.50154082198</v>
      </c>
      <c r="P9" s="227"/>
    </row>
    <row r="10" spans="1:16" x14ac:dyDescent="0.2">
      <c r="A10" s="228"/>
      <c r="B10" s="229" t="s">
        <v>726</v>
      </c>
      <c r="C10" s="230"/>
      <c r="F10" s="231">
        <v>101688.231363069</v>
      </c>
      <c r="G10" s="231">
        <v>2.2941039145958801</v>
      </c>
      <c r="H10" s="231">
        <v>57.352597864897</v>
      </c>
      <c r="I10" s="231">
        <v>1.85786711002049</v>
      </c>
      <c r="J10" s="231">
        <v>553.64439878610699</v>
      </c>
      <c r="K10" s="231">
        <v>0</v>
      </c>
      <c r="L10" s="231">
        <v>0</v>
      </c>
      <c r="M10" s="231">
        <v>0</v>
      </c>
      <c r="N10" s="231">
        <v>0</v>
      </c>
      <c r="O10" s="231">
        <v>102299.22835972</v>
      </c>
    </row>
    <row r="11" spans="1:16" x14ac:dyDescent="0.2">
      <c r="A11" s="228"/>
      <c r="B11" s="232" t="s">
        <v>727</v>
      </c>
      <c r="C11" s="230"/>
      <c r="F11" s="231">
        <v>16497.750073872601</v>
      </c>
      <c r="G11" s="231">
        <v>0.41018303304150699</v>
      </c>
      <c r="H11" s="231">
        <v>10.2545758260377</v>
      </c>
      <c r="I11" s="231">
        <v>0.157396986398704</v>
      </c>
      <c r="J11" s="231">
        <v>46.904301946813703</v>
      </c>
      <c r="K11" s="231">
        <v>0</v>
      </c>
      <c r="L11" s="231">
        <v>0</v>
      </c>
      <c r="M11" s="231">
        <v>0</v>
      </c>
      <c r="N11" s="231">
        <v>0</v>
      </c>
      <c r="O11" s="231">
        <v>16554.908951645401</v>
      </c>
    </row>
    <row r="12" spans="1:16" s="234" customFormat="1" ht="12.75" x14ac:dyDescent="0.2">
      <c r="A12" s="228"/>
      <c r="B12" s="232" t="s">
        <v>728</v>
      </c>
      <c r="C12" s="233"/>
      <c r="F12" s="231">
        <v>38508.7448947624</v>
      </c>
      <c r="G12" s="231">
        <v>73.571949421337493</v>
      </c>
      <c r="H12" s="231">
        <v>1839.2987355334401</v>
      </c>
      <c r="I12" s="231">
        <v>0.89646365971398001</v>
      </c>
      <c r="J12" s="231">
        <v>267.14617059476598</v>
      </c>
      <c r="K12" s="231">
        <v>0</v>
      </c>
      <c r="L12" s="231">
        <v>0</v>
      </c>
      <c r="M12" s="231">
        <v>0</v>
      </c>
      <c r="N12" s="231">
        <v>0</v>
      </c>
      <c r="O12" s="231">
        <v>40615.189800890599</v>
      </c>
    </row>
    <row r="13" spans="1:16" s="234" customFormat="1" ht="12.75" x14ac:dyDescent="0.2">
      <c r="A13" s="228"/>
      <c r="B13" s="229" t="s">
        <v>729</v>
      </c>
      <c r="C13" s="229"/>
      <c r="F13" s="231">
        <v>52439.373380169003</v>
      </c>
      <c r="G13" s="231">
        <v>2.1527207693144601</v>
      </c>
      <c r="H13" s="231">
        <v>53.818019232861403</v>
      </c>
      <c r="I13" s="231">
        <v>1.70890967648057</v>
      </c>
      <c r="J13" s="231">
        <v>509.25508359120801</v>
      </c>
      <c r="K13" s="231">
        <v>0</v>
      </c>
      <c r="L13" s="231">
        <v>0</v>
      </c>
      <c r="M13" s="231">
        <v>0</v>
      </c>
      <c r="N13" s="231">
        <v>0</v>
      </c>
      <c r="O13" s="231">
        <v>53002.446482993</v>
      </c>
    </row>
    <row r="14" spans="1:16" s="237" customFormat="1" ht="12" x14ac:dyDescent="0.2">
      <c r="A14" s="235"/>
      <c r="B14" s="230"/>
      <c r="C14" s="236" t="s">
        <v>2</v>
      </c>
      <c r="F14" s="238">
        <v>5249.8281226196696</v>
      </c>
      <c r="G14" s="238">
        <v>0.15287685022556399</v>
      </c>
      <c r="H14" s="238">
        <v>3.82192125563909</v>
      </c>
      <c r="I14" s="238">
        <v>0.130529125177658</v>
      </c>
      <c r="J14" s="238">
        <v>38.897679302942102</v>
      </c>
      <c r="K14" s="238">
        <v>0</v>
      </c>
      <c r="L14" s="238">
        <v>0</v>
      </c>
      <c r="M14" s="238">
        <v>0</v>
      </c>
      <c r="N14" s="238">
        <v>0</v>
      </c>
      <c r="O14" s="238">
        <v>5292.5477231782497</v>
      </c>
    </row>
    <row r="15" spans="1:16" s="237" customFormat="1" ht="12" x14ac:dyDescent="0.2">
      <c r="A15" s="235"/>
      <c r="B15" s="230"/>
      <c r="C15" s="236" t="s">
        <v>730</v>
      </c>
      <c r="F15" s="238">
        <v>2930.1791905042901</v>
      </c>
      <c r="G15" s="238">
        <v>6.12823761956389E-2</v>
      </c>
      <c r="H15" s="238">
        <v>1.5320594048909699</v>
      </c>
      <c r="I15" s="238">
        <v>4.0541245301034201E-2</v>
      </c>
      <c r="J15" s="238">
        <v>12.081291099708199</v>
      </c>
      <c r="K15" s="238">
        <v>0</v>
      </c>
      <c r="L15" s="238">
        <v>0</v>
      </c>
      <c r="M15" s="238">
        <v>0</v>
      </c>
      <c r="N15" s="238">
        <v>0</v>
      </c>
      <c r="O15" s="238">
        <v>2943.7925410088901</v>
      </c>
    </row>
    <row r="16" spans="1:16" s="237" customFormat="1" ht="12" x14ac:dyDescent="0.2">
      <c r="A16" s="235"/>
      <c r="B16" s="230"/>
      <c r="C16" s="236" t="s">
        <v>731</v>
      </c>
      <c r="F16" s="238">
        <v>8554.0584662996498</v>
      </c>
      <c r="G16" s="238">
        <v>0.17175078233660801</v>
      </c>
      <c r="H16" s="238">
        <v>4.2937695584152102</v>
      </c>
      <c r="I16" s="238">
        <v>0.147687133820328</v>
      </c>
      <c r="J16" s="238">
        <v>44.010765878457697</v>
      </c>
      <c r="K16" s="238">
        <v>0</v>
      </c>
      <c r="L16" s="238">
        <v>0</v>
      </c>
      <c r="M16" s="238">
        <v>0</v>
      </c>
      <c r="N16" s="238">
        <v>0</v>
      </c>
      <c r="O16" s="238">
        <v>8602.3630017365194</v>
      </c>
    </row>
    <row r="17" spans="1:16" s="237" customFormat="1" ht="12" x14ac:dyDescent="0.2">
      <c r="A17" s="235"/>
      <c r="B17" s="230"/>
      <c r="C17" s="236" t="s">
        <v>732</v>
      </c>
      <c r="F17" s="238">
        <v>12696.439829270499</v>
      </c>
      <c r="G17" s="238">
        <v>1.2462267214970899</v>
      </c>
      <c r="H17" s="238">
        <v>31.155668037427301</v>
      </c>
      <c r="I17" s="238">
        <v>0.96840671249031196</v>
      </c>
      <c r="J17" s="238">
        <v>288.585200322113</v>
      </c>
      <c r="K17" s="238">
        <v>0</v>
      </c>
      <c r="L17" s="238">
        <v>0</v>
      </c>
      <c r="M17" s="238">
        <v>0</v>
      </c>
      <c r="N17" s="238">
        <v>0</v>
      </c>
      <c r="O17" s="238">
        <v>13016.180697629999</v>
      </c>
    </row>
    <row r="18" spans="1:16" s="237" customFormat="1" ht="12" x14ac:dyDescent="0.2">
      <c r="A18" s="235"/>
      <c r="B18" s="230"/>
      <c r="C18" s="236" t="s">
        <v>35</v>
      </c>
      <c r="F18" s="238">
        <v>3394.1737347049798</v>
      </c>
      <c r="G18" s="238">
        <v>9.4967056433553104E-2</v>
      </c>
      <c r="H18" s="238">
        <v>2.3741764108388299</v>
      </c>
      <c r="I18" s="238">
        <v>3.7791317276325898E-2</v>
      </c>
      <c r="J18" s="238">
        <v>11.2618125483451</v>
      </c>
      <c r="K18" s="238">
        <v>0</v>
      </c>
      <c r="L18" s="238">
        <v>0</v>
      </c>
      <c r="M18" s="238">
        <v>0</v>
      </c>
      <c r="N18" s="238">
        <v>0</v>
      </c>
      <c r="O18" s="238">
        <v>3407.8097236641602</v>
      </c>
    </row>
    <row r="19" spans="1:16" s="237" customFormat="1" ht="12" x14ac:dyDescent="0.2">
      <c r="A19" s="235"/>
      <c r="B19" s="230"/>
      <c r="C19" s="236" t="s">
        <v>733</v>
      </c>
      <c r="F19" s="238">
        <v>19614.694036769899</v>
      </c>
      <c r="G19" s="238">
        <v>0.42561698262599701</v>
      </c>
      <c r="H19" s="238">
        <v>10.6404245656499</v>
      </c>
      <c r="I19" s="238">
        <v>0.383954142414907</v>
      </c>
      <c r="J19" s="238">
        <v>114.418334439642</v>
      </c>
      <c r="K19" s="238">
        <v>0</v>
      </c>
      <c r="L19" s="238">
        <v>0</v>
      </c>
      <c r="M19" s="238">
        <v>0</v>
      </c>
      <c r="N19" s="238">
        <v>0</v>
      </c>
      <c r="O19" s="238">
        <v>19739.752795775199</v>
      </c>
    </row>
    <row r="20" spans="1:16" s="234" customFormat="1" ht="12.75" x14ac:dyDescent="0.2">
      <c r="A20" s="228"/>
      <c r="B20" s="229" t="s">
        <v>734</v>
      </c>
      <c r="C20" s="239"/>
      <c r="F20" s="231">
        <v>1739.1330100800001</v>
      </c>
      <c r="G20" s="231">
        <v>2.9737303020000001E-2</v>
      </c>
      <c r="H20" s="231">
        <v>0.74343257549999997</v>
      </c>
      <c r="I20" s="231">
        <v>5.7332561230000002E-2</v>
      </c>
      <c r="J20" s="231">
        <v>17.085103246540001</v>
      </c>
      <c r="K20" s="231">
        <v>0</v>
      </c>
      <c r="L20" s="231">
        <v>0</v>
      </c>
      <c r="M20" s="231">
        <v>0</v>
      </c>
      <c r="N20" s="231">
        <v>0</v>
      </c>
      <c r="O20" s="231">
        <v>1756.9615459020399</v>
      </c>
    </row>
    <row r="21" spans="1:16" s="234" customFormat="1" ht="12.75" x14ac:dyDescent="0.2">
      <c r="A21" s="228"/>
      <c r="B21" s="229" t="s">
        <v>735</v>
      </c>
      <c r="C21" s="229"/>
      <c r="F21" s="231">
        <v>26913.680623373999</v>
      </c>
      <c r="G21" s="231">
        <v>0.48801338867525501</v>
      </c>
      <c r="H21" s="231">
        <v>12.2003347168814</v>
      </c>
      <c r="I21" s="231">
        <v>0.527988686324526</v>
      </c>
      <c r="J21" s="231">
        <v>157.34062852470899</v>
      </c>
      <c r="K21" s="231">
        <v>0</v>
      </c>
      <c r="L21" s="231">
        <v>0</v>
      </c>
      <c r="M21" s="231">
        <v>0</v>
      </c>
      <c r="N21" s="231">
        <v>0</v>
      </c>
      <c r="O21" s="231">
        <v>27083.2215866156</v>
      </c>
    </row>
    <row r="22" spans="1:16" s="234" customFormat="1" ht="12.75" x14ac:dyDescent="0.2">
      <c r="A22" s="228"/>
      <c r="B22" s="229" t="s">
        <v>181</v>
      </c>
      <c r="C22" s="229"/>
      <c r="F22" s="231">
        <v>40802.487031598997</v>
      </c>
      <c r="G22" s="231">
        <v>174.52368962730901</v>
      </c>
      <c r="H22" s="231">
        <v>4363.0922406827303</v>
      </c>
      <c r="I22" s="231">
        <v>2.4771917021658099</v>
      </c>
      <c r="J22" s="231">
        <v>738.20312724540997</v>
      </c>
      <c r="K22" s="231">
        <v>0</v>
      </c>
      <c r="L22" s="231">
        <v>0</v>
      </c>
      <c r="M22" s="231">
        <v>0</v>
      </c>
      <c r="N22" s="231">
        <v>0</v>
      </c>
      <c r="O22" s="231">
        <v>45903.782399527103</v>
      </c>
    </row>
    <row r="23" spans="1:16" s="234" customFormat="1" ht="12.75" x14ac:dyDescent="0.2">
      <c r="A23" s="228"/>
      <c r="B23" s="229" t="s">
        <v>736</v>
      </c>
      <c r="C23" s="229"/>
      <c r="F23" s="231">
        <v>3224.76507735838</v>
      </c>
      <c r="G23" s="231">
        <v>4.9647973674985302E-2</v>
      </c>
      <c r="H23" s="231">
        <v>1.2411993418746301</v>
      </c>
      <c r="I23" s="231">
        <v>7.9718579958860697E-2</v>
      </c>
      <c r="J23" s="231">
        <v>23.756136827740502</v>
      </c>
      <c r="K23" s="231">
        <v>0</v>
      </c>
      <c r="L23" s="231">
        <v>0</v>
      </c>
      <c r="M23" s="231">
        <v>0</v>
      </c>
      <c r="N23" s="231">
        <v>0</v>
      </c>
      <c r="O23" s="231">
        <v>3249.7624135279998</v>
      </c>
    </row>
    <row r="24" spans="1:16" s="240" customFormat="1" ht="14.25" x14ac:dyDescent="0.2">
      <c r="A24" s="224" t="s">
        <v>737</v>
      </c>
      <c r="B24" s="225" t="s">
        <v>738</v>
      </c>
      <c r="C24" s="225"/>
      <c r="F24" s="226">
        <v>139777.93805150501</v>
      </c>
      <c r="G24" s="226">
        <v>34.239952234880498</v>
      </c>
      <c r="H24" s="226">
        <v>855.99880587201403</v>
      </c>
      <c r="I24" s="226">
        <v>22.695793688627901</v>
      </c>
      <c r="J24" s="226">
        <v>6763.3465192111098</v>
      </c>
      <c r="K24" s="226">
        <v>0</v>
      </c>
      <c r="L24" s="226">
        <v>0</v>
      </c>
      <c r="M24" s="226">
        <v>0</v>
      </c>
      <c r="N24" s="226">
        <v>0</v>
      </c>
      <c r="O24" s="226">
        <v>147397.28337658799</v>
      </c>
      <c r="P24" s="241"/>
    </row>
    <row r="25" spans="1:16" s="234" customFormat="1" ht="12.75" x14ac:dyDescent="0.2">
      <c r="A25" s="228"/>
      <c r="B25" s="232" t="s">
        <v>739</v>
      </c>
      <c r="C25" s="229"/>
      <c r="F25" s="231">
        <v>6254.9733183067501</v>
      </c>
      <c r="G25" s="231">
        <v>0.32176316729808302</v>
      </c>
      <c r="H25" s="231">
        <v>8.0440791824520606</v>
      </c>
      <c r="I25" s="231">
        <v>0.190778278764934</v>
      </c>
      <c r="J25" s="231">
        <v>56.851927071950399</v>
      </c>
      <c r="K25" s="231">
        <v>0</v>
      </c>
      <c r="L25" s="231">
        <v>0</v>
      </c>
      <c r="M25" s="231">
        <v>0</v>
      </c>
      <c r="N25" s="231">
        <v>0</v>
      </c>
      <c r="O25" s="231">
        <v>6319.8693245611603</v>
      </c>
    </row>
    <row r="26" spans="1:16" s="234" customFormat="1" ht="12.75" x14ac:dyDescent="0.2">
      <c r="A26" s="228"/>
      <c r="B26" s="229" t="s">
        <v>740</v>
      </c>
      <c r="C26" s="229"/>
      <c r="F26" s="231">
        <v>83525.461204479696</v>
      </c>
      <c r="G26" s="231">
        <v>12.295773915491999</v>
      </c>
      <c r="H26" s="231">
        <v>307.39434788729898</v>
      </c>
      <c r="I26" s="231">
        <v>11.669055587369</v>
      </c>
      <c r="J26" s="231">
        <v>3477.37856503598</v>
      </c>
      <c r="K26" s="231">
        <v>0</v>
      </c>
      <c r="L26" s="231">
        <v>0</v>
      </c>
      <c r="M26" s="231">
        <v>0</v>
      </c>
      <c r="N26" s="231">
        <v>0</v>
      </c>
      <c r="O26" s="231">
        <v>87310.234117403001</v>
      </c>
    </row>
    <row r="27" spans="1:16" s="237" customFormat="1" ht="12" x14ac:dyDescent="0.2">
      <c r="A27" s="235"/>
      <c r="B27" s="230"/>
      <c r="C27" s="236" t="s">
        <v>741</v>
      </c>
      <c r="F27" s="238">
        <v>41810.687899287899</v>
      </c>
      <c r="G27" s="238">
        <v>6.9536320404776104</v>
      </c>
      <c r="H27" s="238">
        <v>173.84080101193999</v>
      </c>
      <c r="I27" s="238">
        <v>7.07147135628579</v>
      </c>
      <c r="J27" s="238">
        <v>2107.29846417317</v>
      </c>
      <c r="K27" s="238">
        <v>0</v>
      </c>
      <c r="L27" s="238">
        <v>0</v>
      </c>
      <c r="M27" s="238">
        <v>0</v>
      </c>
      <c r="N27" s="238">
        <v>0</v>
      </c>
      <c r="O27" s="238">
        <v>44091.827164472998</v>
      </c>
    </row>
    <row r="28" spans="1:16" s="237" customFormat="1" ht="12" x14ac:dyDescent="0.2">
      <c r="A28" s="235"/>
      <c r="B28" s="230"/>
      <c r="C28" s="236" t="s">
        <v>742</v>
      </c>
      <c r="F28" s="238">
        <v>21436.735617049901</v>
      </c>
      <c r="G28" s="238">
        <v>3.1104833278192898</v>
      </c>
      <c r="H28" s="238">
        <v>77.762083195482305</v>
      </c>
      <c r="I28" s="238">
        <v>3.9984303532576599</v>
      </c>
      <c r="J28" s="238">
        <v>1191.5322452707801</v>
      </c>
      <c r="K28" s="238">
        <v>0</v>
      </c>
      <c r="L28" s="238">
        <v>0</v>
      </c>
      <c r="M28" s="238">
        <v>0</v>
      </c>
      <c r="N28" s="238">
        <v>0</v>
      </c>
      <c r="O28" s="238">
        <v>22706.029945516198</v>
      </c>
    </row>
    <row r="29" spans="1:16" s="237" customFormat="1" ht="12" x14ac:dyDescent="0.2">
      <c r="A29" s="235"/>
      <c r="B29" s="230"/>
      <c r="C29" s="236" t="s">
        <v>743</v>
      </c>
      <c r="F29" s="238">
        <v>6025.5298698038796</v>
      </c>
      <c r="G29" s="238">
        <v>0.96066282842216799</v>
      </c>
      <c r="H29" s="238">
        <v>24.016570710554198</v>
      </c>
      <c r="I29" s="238">
        <v>0.16150358516385899</v>
      </c>
      <c r="J29" s="238">
        <v>48.128068378830001</v>
      </c>
      <c r="K29" s="238">
        <v>0</v>
      </c>
      <c r="L29" s="238">
        <v>0</v>
      </c>
      <c r="M29" s="238">
        <v>0</v>
      </c>
      <c r="N29" s="238">
        <v>0</v>
      </c>
      <c r="O29" s="238">
        <v>6097.6745088932603</v>
      </c>
    </row>
    <row r="30" spans="1:16" s="237" customFormat="1" ht="12" x14ac:dyDescent="0.2">
      <c r="A30" s="235"/>
      <c r="B30" s="230"/>
      <c r="C30" s="236" t="s">
        <v>744</v>
      </c>
      <c r="F30" s="238">
        <v>86.680341213946903</v>
      </c>
      <c r="G30" s="238">
        <v>8.6619857750642806E-2</v>
      </c>
      <c r="H30" s="238">
        <v>2.1654964437660702</v>
      </c>
      <c r="I30" s="238">
        <v>1.79902781482104E-3</v>
      </c>
      <c r="J30" s="238">
        <v>0.536110288816671</v>
      </c>
      <c r="K30" s="238">
        <v>0</v>
      </c>
      <c r="L30" s="238">
        <v>0</v>
      </c>
      <c r="M30" s="238">
        <v>0</v>
      </c>
      <c r="N30" s="238">
        <v>0</v>
      </c>
      <c r="O30" s="238">
        <v>89.381947946529706</v>
      </c>
      <c r="P30" s="242"/>
    </row>
    <row r="31" spans="1:16" s="237" customFormat="1" ht="12" x14ac:dyDescent="0.2">
      <c r="A31" s="235"/>
      <c r="B31" s="230"/>
      <c r="C31" s="236" t="s">
        <v>745</v>
      </c>
      <c r="F31" s="238">
        <v>458.293918366816</v>
      </c>
      <c r="G31" s="238">
        <v>1.2967363698736901E-2</v>
      </c>
      <c r="H31" s="238">
        <v>0.324184092468423</v>
      </c>
      <c r="I31" s="238">
        <v>3.3737135102605398E-2</v>
      </c>
      <c r="J31" s="238">
        <v>10.053666260576399</v>
      </c>
      <c r="K31" s="238">
        <v>0</v>
      </c>
      <c r="L31" s="238">
        <v>0</v>
      </c>
      <c r="M31" s="238">
        <v>0</v>
      </c>
      <c r="N31" s="238">
        <v>0</v>
      </c>
      <c r="O31" s="238">
        <v>468.67176871986101</v>
      </c>
    </row>
    <row r="32" spans="1:16" s="237" customFormat="1" ht="12" x14ac:dyDescent="0.2">
      <c r="A32" s="235"/>
      <c r="B32" s="230"/>
      <c r="C32" s="236" t="s">
        <v>746</v>
      </c>
      <c r="D32" s="243"/>
      <c r="E32" s="243"/>
      <c r="F32" s="244">
        <v>158.08853689824201</v>
      </c>
      <c r="G32" s="244">
        <v>4.1947723665447002E-3</v>
      </c>
      <c r="H32" s="244">
        <v>0.104869309163618</v>
      </c>
      <c r="I32" s="244">
        <v>1.1745645798839299E-2</v>
      </c>
      <c r="J32" s="244">
        <v>3.5002024480541101</v>
      </c>
      <c r="K32" s="244">
        <v>0</v>
      </c>
      <c r="L32" s="244">
        <v>0</v>
      </c>
      <c r="M32" s="244">
        <v>0</v>
      </c>
      <c r="N32" s="244">
        <v>0</v>
      </c>
      <c r="O32" s="244">
        <v>161.69360865546</v>
      </c>
    </row>
    <row r="33" spans="1:15" s="237" customFormat="1" ht="12" x14ac:dyDescent="0.2">
      <c r="A33" s="235"/>
      <c r="B33" s="230"/>
      <c r="C33" s="236" t="s">
        <v>747</v>
      </c>
      <c r="D33" s="243"/>
      <c r="E33" s="243"/>
      <c r="F33" s="244">
        <v>12330.0644059683</v>
      </c>
      <c r="G33" s="244">
        <v>0.64293087767930202</v>
      </c>
      <c r="H33" s="244">
        <v>16.0732719419826</v>
      </c>
      <c r="I33" s="244">
        <v>0.36780981127707102</v>
      </c>
      <c r="J33" s="244">
        <v>109.607323760567</v>
      </c>
      <c r="K33" s="244">
        <v>0</v>
      </c>
      <c r="L33" s="244">
        <v>0</v>
      </c>
      <c r="M33" s="244">
        <v>0</v>
      </c>
      <c r="N33" s="244">
        <v>0</v>
      </c>
      <c r="O33" s="244">
        <v>12455.745001670901</v>
      </c>
    </row>
    <row r="34" spans="1:15" s="237" customFormat="1" ht="12" x14ac:dyDescent="0.2">
      <c r="A34" s="235"/>
      <c r="B34" s="230"/>
      <c r="C34" s="245" t="s">
        <v>748</v>
      </c>
      <c r="D34" s="243"/>
      <c r="E34" s="243"/>
      <c r="F34" s="244">
        <v>1219.38061589062</v>
      </c>
      <c r="G34" s="244">
        <v>0.52428284727767605</v>
      </c>
      <c r="H34" s="244">
        <v>13.107071181941899</v>
      </c>
      <c r="I34" s="244">
        <v>2.25586726684062E-2</v>
      </c>
      <c r="J34" s="244">
        <v>6.7224844551850502</v>
      </c>
      <c r="K34" s="244">
        <v>0</v>
      </c>
      <c r="L34" s="244">
        <v>0</v>
      </c>
      <c r="M34" s="244">
        <v>0</v>
      </c>
      <c r="N34" s="244">
        <v>0</v>
      </c>
      <c r="O34" s="244">
        <v>1239.2101715277499</v>
      </c>
    </row>
    <row r="35" spans="1:15" s="249" customFormat="1" ht="12.75" x14ac:dyDescent="0.2">
      <c r="A35" s="228"/>
      <c r="B35" s="229" t="s">
        <v>749</v>
      </c>
      <c r="C35" s="246"/>
      <c r="D35" s="247"/>
      <c r="E35" s="247"/>
      <c r="F35" s="248">
        <v>6026.5872300000001</v>
      </c>
      <c r="G35" s="248">
        <v>0.33829541699999999</v>
      </c>
      <c r="H35" s="248">
        <v>8.457385425</v>
      </c>
      <c r="I35" s="248">
        <v>2.3322220470000001</v>
      </c>
      <c r="J35" s="248">
        <v>695.00217000600003</v>
      </c>
      <c r="K35" s="248">
        <v>0</v>
      </c>
      <c r="L35" s="248">
        <v>0</v>
      </c>
      <c r="M35" s="248">
        <v>0</v>
      </c>
      <c r="N35" s="248">
        <v>0</v>
      </c>
      <c r="O35" s="248">
        <v>6730.046785431</v>
      </c>
    </row>
    <row r="36" spans="1:15" s="249" customFormat="1" ht="12.75" x14ac:dyDescent="0.2">
      <c r="A36" s="228"/>
      <c r="B36" s="232" t="s">
        <v>750</v>
      </c>
      <c r="C36" s="246"/>
      <c r="D36" s="247"/>
      <c r="E36" s="247"/>
      <c r="F36" s="248">
        <v>4799.5051066599999</v>
      </c>
      <c r="G36" s="248">
        <v>0.442815325476</v>
      </c>
      <c r="H36" s="248">
        <v>11.0703831369</v>
      </c>
      <c r="I36" s="248">
        <v>0.12650779047999999</v>
      </c>
      <c r="J36" s="248">
        <v>37.699321563040002</v>
      </c>
      <c r="K36" s="248">
        <v>0</v>
      </c>
      <c r="L36" s="248">
        <v>0</v>
      </c>
      <c r="M36" s="248">
        <v>0</v>
      </c>
      <c r="N36" s="248">
        <v>0</v>
      </c>
      <c r="O36" s="248">
        <v>4848.27481135994</v>
      </c>
    </row>
    <row r="37" spans="1:15" s="234" customFormat="1" ht="12.75" x14ac:dyDescent="0.2">
      <c r="A37" s="228"/>
      <c r="B37" s="229" t="s">
        <v>751</v>
      </c>
      <c r="C37" s="250"/>
      <c r="D37" s="251"/>
      <c r="E37" s="251"/>
      <c r="F37" s="252">
        <v>39171.411192058396</v>
      </c>
      <c r="G37" s="252">
        <v>20.841304409614501</v>
      </c>
      <c r="H37" s="252">
        <v>521.03261024036203</v>
      </c>
      <c r="I37" s="252">
        <v>8.3772299850139103</v>
      </c>
      <c r="J37" s="252">
        <v>2496.4145355341502</v>
      </c>
      <c r="K37" s="252">
        <v>0</v>
      </c>
      <c r="L37" s="252">
        <v>0</v>
      </c>
      <c r="M37" s="252">
        <v>0</v>
      </c>
      <c r="N37" s="252">
        <v>0</v>
      </c>
      <c r="O37" s="252">
        <v>42188.858337832899</v>
      </c>
    </row>
    <row r="38" spans="1:15" s="237" customFormat="1" ht="12" x14ac:dyDescent="0.2">
      <c r="A38" s="235"/>
      <c r="B38" s="230"/>
      <c r="C38" s="236" t="s">
        <v>752</v>
      </c>
      <c r="F38" s="238">
        <v>9472.4160612292599</v>
      </c>
      <c r="G38" s="238">
        <v>0.54717244286199196</v>
      </c>
      <c r="H38" s="238">
        <v>13.679311071549799</v>
      </c>
      <c r="I38" s="238">
        <v>3.6606388708512601</v>
      </c>
      <c r="J38" s="238">
        <v>1090.8703835136801</v>
      </c>
      <c r="K38" s="238">
        <v>0</v>
      </c>
      <c r="L38" s="238">
        <v>0</v>
      </c>
      <c r="M38" s="238">
        <v>0</v>
      </c>
      <c r="N38" s="238">
        <v>0</v>
      </c>
      <c r="O38" s="238">
        <v>10576.965755814501</v>
      </c>
    </row>
    <row r="39" spans="1:15" s="237" customFormat="1" ht="12" x14ac:dyDescent="0.2">
      <c r="A39" s="235"/>
      <c r="B39" s="230"/>
      <c r="C39" s="236" t="s">
        <v>753</v>
      </c>
      <c r="F39" s="238">
        <v>1384.33810639233</v>
      </c>
      <c r="G39" s="238">
        <v>0.77113052267549098</v>
      </c>
      <c r="H39" s="238">
        <v>19.278263066887298</v>
      </c>
      <c r="I39" s="238">
        <v>0.41278732341982899</v>
      </c>
      <c r="J39" s="238">
        <v>123.01062237910899</v>
      </c>
      <c r="K39" s="238">
        <v>0</v>
      </c>
      <c r="L39" s="238">
        <v>0</v>
      </c>
      <c r="M39" s="238">
        <v>0</v>
      </c>
      <c r="N39" s="238">
        <v>0</v>
      </c>
      <c r="O39" s="238">
        <v>1526.62699183832</v>
      </c>
    </row>
    <row r="40" spans="1:15" s="237" customFormat="1" ht="12" x14ac:dyDescent="0.2">
      <c r="A40" s="235"/>
      <c r="B40" s="230"/>
      <c r="C40" s="236" t="s">
        <v>754</v>
      </c>
      <c r="F40" s="238">
        <v>9286.6086990306994</v>
      </c>
      <c r="G40" s="238">
        <v>0.98056275430511297</v>
      </c>
      <c r="H40" s="238">
        <v>24.514068857627802</v>
      </c>
      <c r="I40" s="238">
        <v>3.1507357098642399</v>
      </c>
      <c r="J40" s="238">
        <v>938.91924153954301</v>
      </c>
      <c r="K40" s="238">
        <v>0</v>
      </c>
      <c r="L40" s="238">
        <v>0</v>
      </c>
      <c r="M40" s="238">
        <v>0</v>
      </c>
      <c r="N40" s="238">
        <v>0</v>
      </c>
      <c r="O40" s="238">
        <v>10250.0420094279</v>
      </c>
    </row>
    <row r="41" spans="1:15" s="237" customFormat="1" ht="12" x14ac:dyDescent="0.2">
      <c r="A41" s="235"/>
      <c r="B41" s="230"/>
      <c r="C41" s="236" t="s">
        <v>755</v>
      </c>
      <c r="F41" s="238">
        <v>200.679858369968</v>
      </c>
      <c r="G41" s="238">
        <v>5.2408529195707702E-2</v>
      </c>
      <c r="H41" s="238">
        <v>1.3102132298926901</v>
      </c>
      <c r="I41" s="238">
        <v>6.4277288946802694E-2</v>
      </c>
      <c r="J41" s="238">
        <v>19.154632106147201</v>
      </c>
      <c r="K41" s="238">
        <v>0</v>
      </c>
      <c r="L41" s="238">
        <v>0</v>
      </c>
      <c r="M41" s="238">
        <v>0</v>
      </c>
      <c r="N41" s="238">
        <v>0</v>
      </c>
      <c r="O41" s="238">
        <v>221.14470370600799</v>
      </c>
    </row>
    <row r="42" spans="1:15" s="237" customFormat="1" ht="12" x14ac:dyDescent="0.2">
      <c r="A42" s="235"/>
      <c r="B42" s="230"/>
      <c r="C42" s="236" t="s">
        <v>756</v>
      </c>
      <c r="F42" s="238">
        <v>9250.1253635661196</v>
      </c>
      <c r="G42" s="238">
        <v>8.8684649495761807</v>
      </c>
      <c r="H42" s="238">
        <v>221.71162373940501</v>
      </c>
      <c r="I42" s="238">
        <v>0.83064457693177995</v>
      </c>
      <c r="J42" s="238">
        <v>247.53208392567001</v>
      </c>
      <c r="K42" s="238">
        <v>0</v>
      </c>
      <c r="L42" s="238">
        <v>0</v>
      </c>
      <c r="M42" s="238">
        <v>0</v>
      </c>
      <c r="N42" s="238">
        <v>0</v>
      </c>
      <c r="O42" s="238">
        <v>9719.3690712311909</v>
      </c>
    </row>
    <row r="43" spans="1:15" s="237" customFormat="1" ht="12" x14ac:dyDescent="0.2">
      <c r="A43" s="235"/>
      <c r="B43" s="230"/>
      <c r="C43" s="253" t="s">
        <v>757</v>
      </c>
      <c r="F43" s="238">
        <v>9577.2431034700003</v>
      </c>
      <c r="G43" s="238">
        <v>9.6215652110000001</v>
      </c>
      <c r="H43" s="238">
        <v>240.53913027499999</v>
      </c>
      <c r="I43" s="238">
        <v>0.25814621500000001</v>
      </c>
      <c r="J43" s="238">
        <v>76.927572069999997</v>
      </c>
      <c r="K43" s="238">
        <v>0</v>
      </c>
      <c r="L43" s="238">
        <v>0</v>
      </c>
      <c r="M43" s="238">
        <v>0</v>
      </c>
      <c r="N43" s="238">
        <v>0</v>
      </c>
      <c r="O43" s="238">
        <v>9894.7098058150004</v>
      </c>
    </row>
    <row r="44" spans="1:15" s="240" customFormat="1" ht="12.75" x14ac:dyDescent="0.2">
      <c r="A44" s="224" t="s">
        <v>758</v>
      </c>
      <c r="B44" s="225" t="s">
        <v>759</v>
      </c>
      <c r="C44" s="225"/>
      <c r="F44" s="226">
        <v>12176.5458678103</v>
      </c>
      <c r="G44" s="226">
        <v>1669.3365644268299</v>
      </c>
      <c r="H44" s="226">
        <v>41733.414110670899</v>
      </c>
      <c r="I44" s="226">
        <v>0.109228922667649</v>
      </c>
      <c r="J44" s="226">
        <v>32.550218954959398</v>
      </c>
      <c r="K44" s="226">
        <v>0</v>
      </c>
      <c r="L44" s="226">
        <v>0</v>
      </c>
      <c r="M44" s="226">
        <v>0</v>
      </c>
      <c r="N44" s="226">
        <v>0</v>
      </c>
      <c r="O44" s="226">
        <v>53942.510197436197</v>
      </c>
    </row>
    <row r="45" spans="1:15" s="234" customFormat="1" ht="12.75" x14ac:dyDescent="0.2">
      <c r="A45" s="228"/>
      <c r="B45" s="229" t="s">
        <v>760</v>
      </c>
      <c r="C45" s="229"/>
      <c r="F45" s="231">
        <v>0</v>
      </c>
      <c r="G45" s="231">
        <v>92.251769955045106</v>
      </c>
      <c r="H45" s="231">
        <v>2306.29424887613</v>
      </c>
      <c r="I45" s="231">
        <v>0</v>
      </c>
      <c r="J45" s="231">
        <v>0</v>
      </c>
      <c r="K45" s="231">
        <v>0</v>
      </c>
      <c r="L45" s="231">
        <v>0</v>
      </c>
      <c r="M45" s="231">
        <v>0</v>
      </c>
      <c r="N45" s="231">
        <v>0</v>
      </c>
      <c r="O45" s="231">
        <v>2306.29424887613</v>
      </c>
    </row>
    <row r="46" spans="1:15" s="234" customFormat="1" ht="12.75" x14ac:dyDescent="0.2">
      <c r="A46" s="228"/>
      <c r="B46" s="229" t="s">
        <v>761</v>
      </c>
      <c r="C46" s="229"/>
      <c r="F46" s="231">
        <v>12176.5458678103</v>
      </c>
      <c r="G46" s="231">
        <v>1577.08479447179</v>
      </c>
      <c r="H46" s="231">
        <v>39427.119861794803</v>
      </c>
      <c r="I46" s="231">
        <v>0.109228922667649</v>
      </c>
      <c r="J46" s="231">
        <v>32.550218954959398</v>
      </c>
      <c r="K46" s="231">
        <v>0</v>
      </c>
      <c r="L46" s="231">
        <v>0</v>
      </c>
      <c r="M46" s="231">
        <v>0</v>
      </c>
      <c r="N46" s="231">
        <v>0</v>
      </c>
      <c r="O46" s="231">
        <v>51636.215948560101</v>
      </c>
    </row>
    <row r="47" spans="1:15" s="237" customFormat="1" ht="12" x14ac:dyDescent="0.2">
      <c r="A47" s="254"/>
      <c r="B47" s="255"/>
      <c r="C47" s="230" t="s">
        <v>762</v>
      </c>
      <c r="F47" s="238">
        <v>108.38422124828701</v>
      </c>
      <c r="G47" s="238">
        <v>215.526035630298</v>
      </c>
      <c r="H47" s="238">
        <v>5388.1508907574498</v>
      </c>
      <c r="I47" s="238">
        <v>0.1</v>
      </c>
      <c r="J47" s="238">
        <v>29.8</v>
      </c>
      <c r="K47" s="238">
        <v>0</v>
      </c>
      <c r="L47" s="238">
        <v>0</v>
      </c>
      <c r="M47" s="238">
        <v>0</v>
      </c>
      <c r="N47" s="238">
        <v>0</v>
      </c>
      <c r="O47" s="238">
        <v>5526.3351120057296</v>
      </c>
    </row>
    <row r="48" spans="1:15" s="237" customFormat="1" ht="12" x14ac:dyDescent="0.2">
      <c r="A48" s="254"/>
      <c r="B48" s="255"/>
      <c r="C48" s="230" t="s">
        <v>763</v>
      </c>
      <c r="F48" s="238">
        <v>30.2662943124257</v>
      </c>
      <c r="G48" s="238">
        <v>580.42307788673099</v>
      </c>
      <c r="H48" s="238">
        <v>14510.5769471683</v>
      </c>
      <c r="I48" s="238">
        <v>0</v>
      </c>
      <c r="J48" s="238">
        <v>0</v>
      </c>
      <c r="K48" s="238">
        <v>0</v>
      </c>
      <c r="L48" s="238">
        <v>0</v>
      </c>
      <c r="M48" s="238">
        <v>0</v>
      </c>
      <c r="N48" s="238">
        <v>0</v>
      </c>
      <c r="O48" s="238">
        <v>14540.843241480699</v>
      </c>
    </row>
    <row r="49" spans="1:16" s="237" customFormat="1" ht="12" x14ac:dyDescent="0.2">
      <c r="A49" s="256"/>
      <c r="B49" s="257"/>
      <c r="C49" s="258" t="s">
        <v>380</v>
      </c>
      <c r="D49" s="243"/>
      <c r="E49" s="243"/>
      <c r="F49" s="244">
        <v>7708.80974935413</v>
      </c>
      <c r="G49" s="244">
        <v>775.00220727156295</v>
      </c>
      <c r="H49" s="244">
        <v>19375.055181789099</v>
      </c>
      <c r="I49" s="244">
        <v>0</v>
      </c>
      <c r="J49" s="244">
        <v>0</v>
      </c>
      <c r="K49" s="244">
        <v>0</v>
      </c>
      <c r="L49" s="244">
        <v>0</v>
      </c>
      <c r="M49" s="244">
        <v>0</v>
      </c>
      <c r="N49" s="244">
        <v>0</v>
      </c>
      <c r="O49" s="244">
        <v>27083.864931143198</v>
      </c>
    </row>
    <row r="50" spans="1:16" s="237" customFormat="1" ht="12" x14ac:dyDescent="0.2">
      <c r="A50" s="256"/>
      <c r="B50" s="257"/>
      <c r="C50" s="258" t="s">
        <v>381</v>
      </c>
      <c r="D50" s="243"/>
      <c r="E50" s="243"/>
      <c r="F50" s="244">
        <v>4329.0856028955004</v>
      </c>
      <c r="G50" s="244">
        <v>6.1334736831980496</v>
      </c>
      <c r="H50" s="244">
        <v>153.336842079951</v>
      </c>
      <c r="I50" s="244">
        <v>9.2289226676490008E-3</v>
      </c>
      <c r="J50" s="244">
        <v>2.7502189549593998</v>
      </c>
      <c r="K50" s="244">
        <v>0</v>
      </c>
      <c r="L50" s="244">
        <v>0</v>
      </c>
      <c r="M50" s="244">
        <v>0</v>
      </c>
      <c r="N50" s="244">
        <v>0</v>
      </c>
      <c r="O50" s="244">
        <v>4485.1726639304097</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33212.702567024498</v>
      </c>
      <c r="G52" s="266">
        <v>4.2151694243140696</v>
      </c>
      <c r="H52" s="266">
        <v>105.379235607852</v>
      </c>
      <c r="I52" s="266">
        <v>36.107208258159403</v>
      </c>
      <c r="J52" s="266">
        <v>10759.9480609315</v>
      </c>
      <c r="K52" s="266">
        <v>829.77679999999998</v>
      </c>
      <c r="L52" s="266">
        <v>7578.68311306546</v>
      </c>
      <c r="M52" s="266">
        <v>2557.1166486689399</v>
      </c>
      <c r="N52" s="266">
        <v>0.30711322400000002</v>
      </c>
      <c r="O52" s="266">
        <v>55043.913538522298</v>
      </c>
    </row>
    <row r="53" spans="1:16" s="240" customFormat="1" ht="12.75" x14ac:dyDescent="0.2">
      <c r="A53" s="224" t="s">
        <v>724</v>
      </c>
      <c r="B53" s="225" t="s">
        <v>767</v>
      </c>
      <c r="C53" s="225"/>
      <c r="D53" s="268"/>
      <c r="E53" s="268"/>
      <c r="F53" s="269">
        <v>7253.8520109226401</v>
      </c>
      <c r="G53" s="269">
        <v>0</v>
      </c>
      <c r="H53" s="269">
        <v>0</v>
      </c>
      <c r="I53" s="269">
        <v>0</v>
      </c>
      <c r="J53" s="269">
        <v>0</v>
      </c>
      <c r="K53" s="269">
        <v>0</v>
      </c>
      <c r="L53" s="269">
        <v>0</v>
      </c>
      <c r="M53" s="269">
        <v>0</v>
      </c>
      <c r="N53" s="269">
        <v>0</v>
      </c>
      <c r="O53" s="269">
        <v>7253.8520109226401</v>
      </c>
    </row>
    <row r="54" spans="1:16" s="273" customFormat="1" ht="12" x14ac:dyDescent="0.2">
      <c r="A54" s="235"/>
      <c r="B54" s="270"/>
      <c r="C54" s="236" t="s">
        <v>560</v>
      </c>
      <c r="D54" s="271"/>
      <c r="E54" s="271"/>
      <c r="F54" s="272">
        <v>4756.2670890207901</v>
      </c>
      <c r="G54" s="272">
        <v>0</v>
      </c>
      <c r="H54" s="272">
        <v>0</v>
      </c>
      <c r="I54" s="272">
        <v>0</v>
      </c>
      <c r="J54" s="272">
        <v>0</v>
      </c>
      <c r="K54" s="272">
        <v>0</v>
      </c>
      <c r="L54" s="272">
        <v>0</v>
      </c>
      <c r="M54" s="272">
        <v>0</v>
      </c>
      <c r="N54" s="272">
        <v>0</v>
      </c>
      <c r="O54" s="272">
        <v>4756.2670890207901</v>
      </c>
      <c r="P54" s="271"/>
    </row>
    <row r="55" spans="1:16" s="273" customFormat="1" ht="12" x14ac:dyDescent="0.2">
      <c r="A55" s="235"/>
      <c r="B55" s="270"/>
      <c r="C55" s="236" t="s">
        <v>191</v>
      </c>
      <c r="D55" s="271"/>
      <c r="E55" s="271"/>
      <c r="F55" s="272">
        <v>1795.6080588308901</v>
      </c>
      <c r="G55" s="272">
        <v>0</v>
      </c>
      <c r="H55" s="272">
        <v>0</v>
      </c>
      <c r="I55" s="272">
        <v>0</v>
      </c>
      <c r="J55" s="272">
        <v>0</v>
      </c>
      <c r="K55" s="272">
        <v>0</v>
      </c>
      <c r="L55" s="272">
        <v>0</v>
      </c>
      <c r="M55" s="272">
        <v>0</v>
      </c>
      <c r="N55" s="272">
        <v>0</v>
      </c>
      <c r="O55" s="272">
        <v>1795.6080588308901</v>
      </c>
      <c r="P55" s="271"/>
    </row>
    <row r="56" spans="1:16" s="273" customFormat="1" ht="12" x14ac:dyDescent="0.2">
      <c r="A56" s="235"/>
      <c r="B56" s="270"/>
      <c r="C56" s="236" t="s">
        <v>768</v>
      </c>
      <c r="D56" s="271"/>
      <c r="E56" s="271"/>
      <c r="F56" s="272">
        <v>701.97686307096001</v>
      </c>
      <c r="G56" s="272">
        <v>0</v>
      </c>
      <c r="H56" s="272">
        <v>0</v>
      </c>
      <c r="I56" s="272">
        <v>0</v>
      </c>
      <c r="J56" s="272">
        <v>0</v>
      </c>
      <c r="K56" s="272">
        <v>0</v>
      </c>
      <c r="L56" s="272">
        <v>0</v>
      </c>
      <c r="M56" s="272">
        <v>0</v>
      </c>
      <c r="N56" s="272">
        <v>0</v>
      </c>
      <c r="O56" s="272">
        <v>701.97686307096001</v>
      </c>
      <c r="P56" s="271"/>
    </row>
    <row r="57" spans="1:16" s="275" customFormat="1" ht="12.75" x14ac:dyDescent="0.2">
      <c r="A57" s="224" t="s">
        <v>737</v>
      </c>
      <c r="B57" s="225" t="s">
        <v>769</v>
      </c>
      <c r="C57" s="225"/>
      <c r="D57" s="274"/>
      <c r="E57" s="274"/>
      <c r="F57" s="269">
        <v>5686.2521031552697</v>
      </c>
      <c r="G57" s="269">
        <v>4.1052819803140697</v>
      </c>
      <c r="H57" s="269">
        <v>102.632049507852</v>
      </c>
      <c r="I57" s="269">
        <v>35.6499092459553</v>
      </c>
      <c r="J57" s="269">
        <v>10623.6729552947</v>
      </c>
      <c r="K57" s="269">
        <v>0</v>
      </c>
      <c r="L57" s="269">
        <v>0</v>
      </c>
      <c r="M57" s="269">
        <v>0</v>
      </c>
      <c r="N57" s="269">
        <v>0</v>
      </c>
      <c r="O57" s="269">
        <v>16412.5571079578</v>
      </c>
      <c r="P57" s="274"/>
    </row>
    <row r="58" spans="1:16" s="277" customFormat="1" ht="12" x14ac:dyDescent="0.2">
      <c r="A58" s="235"/>
      <c r="B58" s="270"/>
      <c r="C58" s="236" t="s">
        <v>192</v>
      </c>
      <c r="D58" s="276"/>
      <c r="E58" s="276"/>
      <c r="F58" s="272">
        <v>2495.1266213495001</v>
      </c>
      <c r="G58" s="272">
        <v>0</v>
      </c>
      <c r="H58" s="272">
        <v>0</v>
      </c>
      <c r="I58" s="272">
        <v>0</v>
      </c>
      <c r="J58" s="272">
        <v>0</v>
      </c>
      <c r="K58" s="272">
        <v>0</v>
      </c>
      <c r="L58" s="272">
        <v>0</v>
      </c>
      <c r="M58" s="272">
        <v>0</v>
      </c>
      <c r="N58" s="272">
        <v>0</v>
      </c>
      <c r="O58" s="272">
        <v>2495.1266213495001</v>
      </c>
      <c r="P58" s="276"/>
    </row>
    <row r="59" spans="1:16" s="277" customFormat="1" ht="12" x14ac:dyDescent="0.2">
      <c r="A59" s="235"/>
      <c r="B59" s="270"/>
      <c r="C59" s="236" t="s">
        <v>190</v>
      </c>
      <c r="D59" s="276"/>
      <c r="E59" s="276"/>
      <c r="F59" s="272">
        <v>0</v>
      </c>
      <c r="G59" s="272">
        <v>0</v>
      </c>
      <c r="H59" s="272">
        <v>0</v>
      </c>
      <c r="I59" s="272">
        <v>3.4996160552411899</v>
      </c>
      <c r="J59" s="272">
        <v>1042.8855844618699</v>
      </c>
      <c r="K59" s="272">
        <v>0</v>
      </c>
      <c r="L59" s="272">
        <v>0</v>
      </c>
      <c r="M59" s="272">
        <v>0</v>
      </c>
      <c r="N59" s="272">
        <v>0</v>
      </c>
      <c r="O59" s="272">
        <v>1042.8855844618699</v>
      </c>
      <c r="P59" s="276"/>
    </row>
    <row r="60" spans="1:16" s="277" customFormat="1" ht="12" x14ac:dyDescent="0.2">
      <c r="A60" s="235"/>
      <c r="B60" s="270"/>
      <c r="C60" s="236" t="s">
        <v>770</v>
      </c>
      <c r="D60" s="276"/>
      <c r="E60" s="276"/>
      <c r="F60" s="272">
        <v>0</v>
      </c>
      <c r="G60" s="272">
        <v>0</v>
      </c>
      <c r="H60" s="272">
        <v>0</v>
      </c>
      <c r="I60" s="272">
        <v>32.1</v>
      </c>
      <c r="J60" s="272">
        <v>9565.7999999999993</v>
      </c>
      <c r="K60" s="272">
        <v>0</v>
      </c>
      <c r="L60" s="272">
        <v>0</v>
      </c>
      <c r="M60" s="272">
        <v>0</v>
      </c>
      <c r="N60" s="272">
        <v>0</v>
      </c>
      <c r="O60" s="272">
        <v>9565.7999999999993</v>
      </c>
      <c r="P60" s="276"/>
    </row>
    <row r="61" spans="1:16" s="277" customFormat="1" ht="12" x14ac:dyDescent="0.2">
      <c r="A61" s="235"/>
      <c r="B61" s="270"/>
      <c r="C61" s="236" t="s">
        <v>771</v>
      </c>
      <c r="D61" s="276"/>
      <c r="E61" s="276"/>
      <c r="F61" s="272">
        <v>3191.1254818057801</v>
      </c>
      <c r="G61" s="272">
        <v>4.1052819803140697</v>
      </c>
      <c r="H61" s="272">
        <v>102.632049507852</v>
      </c>
      <c r="I61" s="272">
        <v>5.02931907141086E-2</v>
      </c>
      <c r="J61" s="272">
        <v>14.9873708328044</v>
      </c>
      <c r="K61" s="272">
        <v>0</v>
      </c>
      <c r="L61" s="272">
        <v>0</v>
      </c>
      <c r="M61" s="272">
        <v>0</v>
      </c>
      <c r="N61" s="272">
        <v>0</v>
      </c>
      <c r="O61" s="272">
        <v>3308.7449021464299</v>
      </c>
      <c r="P61" s="276"/>
    </row>
    <row r="62" spans="1:16" s="240" customFormat="1" ht="12.75" x14ac:dyDescent="0.2">
      <c r="A62" s="224" t="s">
        <v>758</v>
      </c>
      <c r="B62" s="225" t="s">
        <v>772</v>
      </c>
      <c r="C62" s="225"/>
      <c r="D62" s="268"/>
      <c r="E62" s="268"/>
      <c r="F62" s="269">
        <v>15699.241617956501</v>
      </c>
      <c r="G62" s="269">
        <v>0.109887444</v>
      </c>
      <c r="H62" s="269">
        <v>2.7471861</v>
      </c>
      <c r="I62" s="269">
        <v>0</v>
      </c>
      <c r="J62" s="269">
        <v>0</v>
      </c>
      <c r="K62" s="269">
        <v>0</v>
      </c>
      <c r="L62" s="269">
        <v>7578.6295392604598</v>
      </c>
      <c r="M62" s="269">
        <v>2350.5766575430498</v>
      </c>
      <c r="N62" s="269">
        <v>0</v>
      </c>
      <c r="O62" s="269">
        <v>25631.19500086</v>
      </c>
      <c r="P62" s="268"/>
    </row>
    <row r="63" spans="1:16" s="273" customFormat="1" ht="12" x14ac:dyDescent="0.2">
      <c r="A63" s="235"/>
      <c r="B63" s="230"/>
      <c r="C63" s="230" t="s">
        <v>773</v>
      </c>
      <c r="D63" s="271"/>
      <c r="E63" s="271"/>
      <c r="F63" s="272">
        <v>12426.692793456499</v>
      </c>
      <c r="G63" s="272">
        <v>0.109887444</v>
      </c>
      <c r="H63" s="272">
        <v>2.7471861</v>
      </c>
      <c r="I63" s="272">
        <v>0</v>
      </c>
      <c r="J63" s="272">
        <v>0</v>
      </c>
      <c r="K63" s="272">
        <v>0</v>
      </c>
      <c r="L63" s="272">
        <v>0</v>
      </c>
      <c r="M63" s="272">
        <v>0</v>
      </c>
      <c r="N63" s="272">
        <v>0</v>
      </c>
      <c r="O63" s="272">
        <v>12429.4399795565</v>
      </c>
      <c r="P63" s="271"/>
    </row>
    <row r="64" spans="1:16" s="273" customFormat="1" ht="12" x14ac:dyDescent="0.2">
      <c r="A64" s="235"/>
      <c r="B64" s="230"/>
      <c r="C64" s="230" t="s">
        <v>252</v>
      </c>
      <c r="D64" s="271"/>
      <c r="E64" s="271"/>
      <c r="F64" s="272">
        <v>3272.5488245000001</v>
      </c>
      <c r="G64" s="272">
        <v>0</v>
      </c>
      <c r="H64" s="272">
        <v>0</v>
      </c>
      <c r="I64" s="272">
        <v>0</v>
      </c>
      <c r="J64" s="272">
        <v>0</v>
      </c>
      <c r="K64" s="272">
        <v>0</v>
      </c>
      <c r="L64" s="272">
        <v>7578.6295392604598</v>
      </c>
      <c r="M64" s="272">
        <v>56.3408033472803</v>
      </c>
      <c r="N64" s="272">
        <v>0</v>
      </c>
      <c r="O64" s="272">
        <v>10907.519167107699</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2294.2358541957701</v>
      </c>
      <c r="N65" s="272">
        <v>0</v>
      </c>
      <c r="O65" s="272">
        <v>2294.2358541957701</v>
      </c>
      <c r="P65" s="271"/>
    </row>
    <row r="66" spans="1:16" s="234" customFormat="1" x14ac:dyDescent="0.25">
      <c r="A66" s="278" t="s">
        <v>764</v>
      </c>
      <c r="B66" s="279" t="s">
        <v>775</v>
      </c>
      <c r="C66" s="279"/>
      <c r="D66" s="251"/>
      <c r="E66" s="251"/>
      <c r="F66" s="252">
        <v>0</v>
      </c>
      <c r="G66" s="252">
        <v>0</v>
      </c>
      <c r="H66" s="252">
        <v>0</v>
      </c>
      <c r="I66" s="252">
        <v>0</v>
      </c>
      <c r="J66" s="252">
        <v>0</v>
      </c>
      <c r="K66" s="252">
        <v>829.77679999999998</v>
      </c>
      <c r="L66" s="252">
        <v>5.3573805000000002E-2</v>
      </c>
      <c r="M66" s="252">
        <v>4.3776520400255103</v>
      </c>
      <c r="N66" s="252">
        <v>0.30711322400000002</v>
      </c>
      <c r="O66" s="252">
        <v>834.51513906902596</v>
      </c>
      <c r="P66" s="251"/>
    </row>
    <row r="67" spans="1:16" s="234" customFormat="1" ht="12.75" x14ac:dyDescent="0.2">
      <c r="A67" s="278" t="s">
        <v>776</v>
      </c>
      <c r="B67" s="279" t="s">
        <v>777</v>
      </c>
      <c r="C67" s="279"/>
      <c r="D67" s="251"/>
      <c r="E67" s="251"/>
      <c r="F67" s="252">
        <v>4573.3568349900797</v>
      </c>
      <c r="G67" s="252">
        <v>0</v>
      </c>
      <c r="H67" s="252">
        <v>0</v>
      </c>
      <c r="I67" s="252">
        <v>0</v>
      </c>
      <c r="J67" s="252">
        <v>0</v>
      </c>
      <c r="K67" s="252">
        <v>0</v>
      </c>
      <c r="L67" s="252">
        <v>0</v>
      </c>
      <c r="M67" s="252">
        <v>0</v>
      </c>
      <c r="N67" s="252">
        <v>0</v>
      </c>
      <c r="O67" s="252">
        <v>4573.3568349900797</v>
      </c>
      <c r="P67" s="251"/>
    </row>
    <row r="68" spans="1:16" s="234" customFormat="1" ht="12.75" x14ac:dyDescent="0.2">
      <c r="A68" s="259" t="s">
        <v>778</v>
      </c>
      <c r="B68" s="260" t="s">
        <v>779</v>
      </c>
      <c r="C68" s="260"/>
      <c r="D68" s="280"/>
      <c r="E68" s="280"/>
      <c r="F68" s="281">
        <v>0</v>
      </c>
      <c r="G68" s="281">
        <v>0</v>
      </c>
      <c r="H68" s="281">
        <v>0</v>
      </c>
      <c r="I68" s="281">
        <v>0.45729901220408198</v>
      </c>
      <c r="J68" s="281">
        <v>136.27510563681599</v>
      </c>
      <c r="K68" s="281">
        <v>0</v>
      </c>
      <c r="L68" s="281">
        <v>0</v>
      </c>
      <c r="M68" s="281">
        <v>202.16233908586199</v>
      </c>
      <c r="N68" s="281">
        <v>0</v>
      </c>
      <c r="O68" s="281">
        <v>338.437444722679</v>
      </c>
      <c r="P68" s="251"/>
    </row>
    <row r="69" spans="1:16" s="267" customFormat="1" ht="12.75" x14ac:dyDescent="0.2">
      <c r="A69" s="282" t="s">
        <v>780</v>
      </c>
      <c r="B69" s="283"/>
      <c r="C69" s="283"/>
      <c r="D69" s="284"/>
      <c r="E69" s="284"/>
      <c r="F69" s="285">
        <v>1202.52293333333</v>
      </c>
      <c r="G69" s="285">
        <v>1124.89375717399</v>
      </c>
      <c r="H69" s="285">
        <v>28122.343929349699</v>
      </c>
      <c r="I69" s="285">
        <v>68.762634216693399</v>
      </c>
      <c r="J69" s="285">
        <v>20491.264996574599</v>
      </c>
      <c r="K69" s="285">
        <v>0</v>
      </c>
      <c r="L69" s="285">
        <v>0</v>
      </c>
      <c r="M69" s="285">
        <v>0</v>
      </c>
      <c r="N69" s="285">
        <v>0</v>
      </c>
      <c r="O69" s="285">
        <v>49816.131859257599</v>
      </c>
      <c r="P69" s="265"/>
    </row>
    <row r="70" spans="1:16" s="234" customFormat="1" ht="12.75" x14ac:dyDescent="0.2">
      <c r="A70" s="278" t="s">
        <v>724</v>
      </c>
      <c r="B70" s="279" t="s">
        <v>27</v>
      </c>
      <c r="C70" s="279"/>
      <c r="D70" s="251"/>
      <c r="E70" s="251"/>
      <c r="F70" s="252">
        <v>0</v>
      </c>
      <c r="G70" s="252">
        <v>977.25200127374399</v>
      </c>
      <c r="H70" s="252">
        <v>24431.300031843599</v>
      </c>
      <c r="I70" s="252">
        <v>0</v>
      </c>
      <c r="J70" s="252">
        <v>0</v>
      </c>
      <c r="K70" s="252">
        <v>0</v>
      </c>
      <c r="L70" s="252">
        <v>0</v>
      </c>
      <c r="M70" s="252">
        <v>0</v>
      </c>
      <c r="N70" s="252">
        <v>0</v>
      </c>
      <c r="O70" s="252">
        <v>24431.300031843599</v>
      </c>
      <c r="P70" s="251"/>
    </row>
    <row r="71" spans="1:16" s="234" customFormat="1" ht="12.75" x14ac:dyDescent="0.2">
      <c r="A71" s="278" t="s">
        <v>737</v>
      </c>
      <c r="B71" s="279" t="s">
        <v>28</v>
      </c>
      <c r="C71" s="279"/>
      <c r="D71" s="251"/>
      <c r="E71" s="251"/>
      <c r="F71" s="252">
        <v>0</v>
      </c>
      <c r="G71" s="252">
        <v>142.88631009163299</v>
      </c>
      <c r="H71" s="252">
        <v>3572.1577522908301</v>
      </c>
      <c r="I71" s="252">
        <v>14.4969889360385</v>
      </c>
      <c r="J71" s="252">
        <v>4320.10270293946</v>
      </c>
      <c r="K71" s="252">
        <v>0</v>
      </c>
      <c r="L71" s="252">
        <v>0</v>
      </c>
      <c r="M71" s="252">
        <v>0</v>
      </c>
      <c r="N71" s="252">
        <v>0</v>
      </c>
      <c r="O71" s="252">
        <v>7892.2604552302901</v>
      </c>
      <c r="P71" s="251"/>
    </row>
    <row r="72" spans="1:16" s="234" customFormat="1" ht="12.75" x14ac:dyDescent="0.2">
      <c r="A72" s="224" t="s">
        <v>758</v>
      </c>
      <c r="B72" s="225" t="s">
        <v>781</v>
      </c>
      <c r="C72" s="225"/>
      <c r="F72" s="231">
        <v>0</v>
      </c>
      <c r="G72" s="231">
        <v>0</v>
      </c>
      <c r="H72" s="231">
        <v>0</v>
      </c>
      <c r="I72" s="231">
        <v>54.142355944876101</v>
      </c>
      <c r="J72" s="231">
        <v>16134.422071573101</v>
      </c>
      <c r="K72" s="231">
        <v>0</v>
      </c>
      <c r="L72" s="231">
        <v>0</v>
      </c>
      <c r="M72" s="231">
        <v>0</v>
      </c>
      <c r="N72" s="231">
        <v>0</v>
      </c>
      <c r="O72" s="231">
        <v>16134.422071573101</v>
      </c>
    </row>
    <row r="73" spans="1:16" s="237" customFormat="1" ht="12" x14ac:dyDescent="0.2">
      <c r="A73" s="286"/>
      <c r="B73" s="258"/>
      <c r="C73" s="258" t="s">
        <v>782</v>
      </c>
      <c r="D73" s="243"/>
      <c r="E73" s="243"/>
      <c r="F73" s="244">
        <v>0</v>
      </c>
      <c r="G73" s="244">
        <v>0</v>
      </c>
      <c r="H73" s="244">
        <v>0</v>
      </c>
      <c r="I73" s="244">
        <v>45.016976377766397</v>
      </c>
      <c r="J73" s="244">
        <v>13415.058960574401</v>
      </c>
      <c r="K73" s="244">
        <v>0</v>
      </c>
      <c r="L73" s="244">
        <v>0</v>
      </c>
      <c r="M73" s="244">
        <v>0</v>
      </c>
      <c r="N73" s="244">
        <v>0</v>
      </c>
      <c r="O73" s="244">
        <v>13415.058960574401</v>
      </c>
    </row>
    <row r="74" spans="1:16" s="237" customFormat="1" ht="12" x14ac:dyDescent="0.2">
      <c r="A74" s="286"/>
      <c r="B74" s="258"/>
      <c r="C74" s="258" t="s">
        <v>783</v>
      </c>
      <c r="D74" s="243"/>
      <c r="E74" s="243"/>
      <c r="F74" s="244">
        <v>0</v>
      </c>
      <c r="G74" s="244">
        <v>0</v>
      </c>
      <c r="H74" s="244">
        <v>0</v>
      </c>
      <c r="I74" s="244">
        <v>9.1253795671097606</v>
      </c>
      <c r="J74" s="244">
        <v>2719.36311099871</v>
      </c>
      <c r="K74" s="244">
        <v>0</v>
      </c>
      <c r="L74" s="244">
        <v>0</v>
      </c>
      <c r="M74" s="244">
        <v>0</v>
      </c>
      <c r="N74" s="244">
        <v>0</v>
      </c>
      <c r="O74" s="244">
        <v>2719.36311099871</v>
      </c>
    </row>
    <row r="75" spans="1:16" s="234" customFormat="1" ht="12.75" x14ac:dyDescent="0.2">
      <c r="A75" s="278" t="s">
        <v>764</v>
      </c>
      <c r="B75" s="279" t="s">
        <v>193</v>
      </c>
      <c r="C75" s="287"/>
      <c r="D75" s="251"/>
      <c r="E75" s="251"/>
      <c r="F75" s="252">
        <v>0</v>
      </c>
      <c r="G75" s="252">
        <v>4.7554458086103599</v>
      </c>
      <c r="H75" s="252">
        <v>118.88614521525901</v>
      </c>
      <c r="I75" s="252">
        <v>0.12328933577878699</v>
      </c>
      <c r="J75" s="252">
        <v>36.740222062078601</v>
      </c>
      <c r="K75" s="252">
        <v>0</v>
      </c>
      <c r="L75" s="252">
        <v>0</v>
      </c>
      <c r="M75" s="252">
        <v>0</v>
      </c>
      <c r="N75" s="252">
        <v>0</v>
      </c>
      <c r="O75" s="252">
        <v>155.62636727733801</v>
      </c>
    </row>
    <row r="76" spans="1:16" s="234" customFormat="1" ht="12.75" x14ac:dyDescent="0.2">
      <c r="A76" s="259" t="s">
        <v>776</v>
      </c>
      <c r="B76" s="260" t="s">
        <v>784</v>
      </c>
      <c r="C76" s="288"/>
      <c r="D76" s="280"/>
      <c r="E76" s="280"/>
      <c r="F76" s="281">
        <v>1202.52293333333</v>
      </c>
      <c r="G76" s="281">
        <v>0</v>
      </c>
      <c r="H76" s="281">
        <v>0</v>
      </c>
      <c r="I76" s="281">
        <v>0</v>
      </c>
      <c r="J76" s="281">
        <v>0</v>
      </c>
      <c r="K76" s="281">
        <v>0</v>
      </c>
      <c r="L76" s="281">
        <v>0</v>
      </c>
      <c r="M76" s="281">
        <v>0</v>
      </c>
      <c r="N76" s="281">
        <v>0</v>
      </c>
      <c r="O76" s="281">
        <v>1202.52293333333</v>
      </c>
    </row>
    <row r="77" spans="1:16" s="234" customFormat="1" ht="12.75" x14ac:dyDescent="0.2">
      <c r="A77" s="220" t="s">
        <v>785</v>
      </c>
      <c r="B77" s="289"/>
      <c r="C77" s="289"/>
      <c r="F77" s="223">
        <v>531.04740024</v>
      </c>
      <c r="G77" s="223">
        <v>917.27861123000002</v>
      </c>
      <c r="H77" s="223">
        <v>22931.965280749999</v>
      </c>
      <c r="I77" s="223">
        <v>3.52845429</v>
      </c>
      <c r="J77" s="223">
        <v>1051.4793784200001</v>
      </c>
      <c r="K77" s="223">
        <v>0</v>
      </c>
      <c r="L77" s="223">
        <v>0</v>
      </c>
      <c r="M77" s="223">
        <v>0</v>
      </c>
      <c r="N77" s="223">
        <v>0</v>
      </c>
      <c r="O77" s="223">
        <v>24514.49205941</v>
      </c>
    </row>
    <row r="78" spans="1:16" s="234" customFormat="1" ht="12.75" x14ac:dyDescent="0.2">
      <c r="A78" s="224" t="s">
        <v>724</v>
      </c>
      <c r="B78" s="225" t="s">
        <v>786</v>
      </c>
      <c r="C78" s="225"/>
      <c r="F78" s="231">
        <v>0</v>
      </c>
      <c r="G78" s="231">
        <v>882.24645572999998</v>
      </c>
      <c r="H78" s="231">
        <v>22056.16139325</v>
      </c>
      <c r="I78" s="231">
        <v>0</v>
      </c>
      <c r="J78" s="231">
        <v>0</v>
      </c>
      <c r="K78" s="231">
        <v>0</v>
      </c>
      <c r="L78" s="231">
        <v>0</v>
      </c>
      <c r="M78" s="231">
        <v>0</v>
      </c>
      <c r="N78" s="231">
        <v>0</v>
      </c>
      <c r="O78" s="231">
        <v>22056.16139325</v>
      </c>
    </row>
    <row r="79" spans="1:16" s="234" customFormat="1" ht="12.75" x14ac:dyDescent="0.2">
      <c r="A79" s="224" t="s">
        <v>737</v>
      </c>
      <c r="B79" s="225" t="s">
        <v>787</v>
      </c>
      <c r="C79" s="225"/>
      <c r="F79" s="231">
        <v>0</v>
      </c>
      <c r="G79" s="231">
        <v>16.70794514</v>
      </c>
      <c r="H79" s="231">
        <v>417.69862849999998</v>
      </c>
      <c r="I79" s="231">
        <v>1.00247671</v>
      </c>
      <c r="J79" s="231">
        <v>298.73805958000003</v>
      </c>
      <c r="K79" s="231">
        <v>0</v>
      </c>
      <c r="L79" s="231">
        <v>0</v>
      </c>
      <c r="M79" s="231">
        <v>0</v>
      </c>
      <c r="N79" s="231">
        <v>0</v>
      </c>
      <c r="O79" s="231">
        <v>716.43668807999995</v>
      </c>
    </row>
    <row r="80" spans="1:16" s="234" customFormat="1" ht="12.75" x14ac:dyDescent="0.2">
      <c r="A80" s="278" t="s">
        <v>788</v>
      </c>
      <c r="B80" s="279" t="s">
        <v>789</v>
      </c>
      <c r="C80" s="279"/>
      <c r="D80" s="251"/>
      <c r="E80" s="251"/>
      <c r="F80" s="252">
        <v>0</v>
      </c>
      <c r="G80" s="252">
        <v>15.35105137</v>
      </c>
      <c r="H80" s="252">
        <v>383.77628425</v>
      </c>
      <c r="I80" s="252">
        <v>1.7320070400000001</v>
      </c>
      <c r="J80" s="252">
        <v>516.13809791999995</v>
      </c>
      <c r="K80" s="252">
        <v>0</v>
      </c>
      <c r="L80" s="252">
        <v>0</v>
      </c>
      <c r="M80" s="252">
        <v>0</v>
      </c>
      <c r="N80" s="252">
        <v>0</v>
      </c>
      <c r="O80" s="252">
        <v>899.91438216999995</v>
      </c>
    </row>
    <row r="81" spans="1:46" s="234" customFormat="1" ht="12.75" x14ac:dyDescent="0.2">
      <c r="A81" s="259" t="s">
        <v>764</v>
      </c>
      <c r="B81" s="260" t="s">
        <v>790</v>
      </c>
      <c r="C81" s="260"/>
      <c r="D81" s="280"/>
      <c r="E81" s="280"/>
      <c r="F81" s="281">
        <v>531.04740024</v>
      </c>
      <c r="G81" s="281">
        <v>2.9731589899999999</v>
      </c>
      <c r="H81" s="281">
        <v>74.32897475</v>
      </c>
      <c r="I81" s="281">
        <v>0.79397054</v>
      </c>
      <c r="J81" s="281">
        <v>236.60322092000001</v>
      </c>
      <c r="K81" s="281">
        <v>0</v>
      </c>
      <c r="L81" s="281">
        <v>0</v>
      </c>
      <c r="M81" s="281">
        <v>0</v>
      </c>
      <c r="N81" s="281">
        <v>0</v>
      </c>
      <c r="O81" s="281">
        <v>841.97959590999994</v>
      </c>
    </row>
    <row r="82" spans="1:46" s="267" customFormat="1" ht="12.75" x14ac:dyDescent="0.2">
      <c r="A82" s="263" t="s">
        <v>791</v>
      </c>
      <c r="B82" s="264"/>
      <c r="C82" s="264"/>
      <c r="F82" s="223">
        <v>-93829.874181000007</v>
      </c>
      <c r="G82" s="223">
        <v>82.751165</v>
      </c>
      <c r="H82" s="223">
        <v>2068.779125</v>
      </c>
      <c r="I82" s="223">
        <v>2.8657629999999998</v>
      </c>
      <c r="J82" s="223">
        <v>853.99737400000004</v>
      </c>
      <c r="K82" s="223">
        <v>0</v>
      </c>
      <c r="L82" s="223">
        <v>0</v>
      </c>
      <c r="M82" s="223">
        <v>0</v>
      </c>
      <c r="N82" s="223">
        <v>0</v>
      </c>
      <c r="O82" s="223">
        <v>-90907.097682000007</v>
      </c>
    </row>
    <row r="83" spans="1:46" s="234" customFormat="1" ht="12.75" x14ac:dyDescent="0.2">
      <c r="A83" s="224" t="s">
        <v>724</v>
      </c>
      <c r="B83" s="225" t="s">
        <v>792</v>
      </c>
      <c r="C83" s="225"/>
      <c r="F83" s="231">
        <v>-251369.36609600001</v>
      </c>
      <c r="G83" s="231">
        <v>29.59543</v>
      </c>
      <c r="H83" s="231">
        <v>739.88575000000003</v>
      </c>
      <c r="I83" s="231">
        <v>1.2144330000000001</v>
      </c>
      <c r="J83" s="231">
        <v>361.90103399999998</v>
      </c>
      <c r="K83" s="231">
        <v>0</v>
      </c>
      <c r="L83" s="231">
        <v>0</v>
      </c>
      <c r="M83" s="231">
        <v>0</v>
      </c>
      <c r="N83" s="231">
        <v>0</v>
      </c>
      <c r="O83" s="231">
        <v>-250267.57931199999</v>
      </c>
    </row>
    <row r="84" spans="1:46" s="234" customFormat="1" ht="12.75" x14ac:dyDescent="0.2">
      <c r="A84" s="224" t="s">
        <v>737</v>
      </c>
      <c r="B84" s="225" t="s">
        <v>793</v>
      </c>
      <c r="C84" s="225"/>
      <c r="F84" s="231">
        <v>5731.5859819999996</v>
      </c>
      <c r="G84" s="231">
        <v>9.3360369999999993</v>
      </c>
      <c r="H84" s="231">
        <v>233.400925</v>
      </c>
      <c r="I84" s="231">
        <v>0.454683</v>
      </c>
      <c r="J84" s="231">
        <v>135.49553399999999</v>
      </c>
      <c r="K84" s="231">
        <v>0</v>
      </c>
      <c r="L84" s="231">
        <v>0</v>
      </c>
      <c r="M84" s="231">
        <v>0</v>
      </c>
      <c r="N84" s="231">
        <v>0</v>
      </c>
      <c r="O84" s="231">
        <v>6100.4824410000001</v>
      </c>
    </row>
    <row r="85" spans="1:46" s="234" customFormat="1" ht="12.75" x14ac:dyDescent="0.2">
      <c r="A85" s="278" t="s">
        <v>758</v>
      </c>
      <c r="B85" s="279" t="s">
        <v>794</v>
      </c>
      <c r="C85" s="279"/>
      <c r="F85" s="231">
        <v>0</v>
      </c>
      <c r="G85" s="231">
        <v>37.969340000000003</v>
      </c>
      <c r="H85" s="231">
        <v>949.23350000000005</v>
      </c>
      <c r="I85" s="231">
        <v>0.98438000000000003</v>
      </c>
      <c r="J85" s="231">
        <v>293.34523999999999</v>
      </c>
      <c r="K85" s="231">
        <v>0</v>
      </c>
      <c r="L85" s="231">
        <v>0</v>
      </c>
      <c r="M85" s="231">
        <v>0</v>
      </c>
      <c r="N85" s="231">
        <v>0</v>
      </c>
      <c r="O85" s="231">
        <v>1242.5787399999999</v>
      </c>
    </row>
    <row r="86" spans="1:46" s="234" customFormat="1" ht="12.75" x14ac:dyDescent="0.2">
      <c r="A86" s="278" t="s">
        <v>764</v>
      </c>
      <c r="B86" s="279" t="s">
        <v>795</v>
      </c>
      <c r="C86" s="279"/>
      <c r="F86" s="231">
        <v>4632.1028960000003</v>
      </c>
      <c r="G86" s="231">
        <v>1.0849310000000001</v>
      </c>
      <c r="H86" s="231">
        <v>27.123275</v>
      </c>
      <c r="I86" s="231">
        <v>5.0708999999999997E-2</v>
      </c>
      <c r="J86" s="231">
        <v>15.111281999999999</v>
      </c>
      <c r="K86" s="231">
        <v>0</v>
      </c>
      <c r="L86" s="231">
        <v>0</v>
      </c>
      <c r="M86" s="231">
        <v>0</v>
      </c>
      <c r="N86" s="231">
        <v>0</v>
      </c>
      <c r="O86" s="231">
        <v>4674.3374530000001</v>
      </c>
      <c r="AH86" s="251"/>
    </row>
    <row r="87" spans="1:46" s="234" customFormat="1" ht="12.75" x14ac:dyDescent="0.2">
      <c r="A87" s="278" t="s">
        <v>776</v>
      </c>
      <c r="B87" s="279" t="s">
        <v>796</v>
      </c>
      <c r="C87" s="279"/>
      <c r="D87" s="251"/>
      <c r="E87" s="251"/>
      <c r="F87" s="252">
        <v>3701.65229</v>
      </c>
      <c r="G87" s="252">
        <v>4.7654269999999999</v>
      </c>
      <c r="H87" s="252">
        <v>119.13567500000001</v>
      </c>
      <c r="I87" s="252">
        <v>0.16155800000000001</v>
      </c>
      <c r="J87" s="252">
        <v>48.144283999999999</v>
      </c>
      <c r="K87" s="252">
        <v>0</v>
      </c>
      <c r="L87" s="252">
        <v>0</v>
      </c>
      <c r="M87" s="252">
        <v>0</v>
      </c>
      <c r="N87" s="252">
        <v>0</v>
      </c>
      <c r="O87" s="252">
        <v>3868.932249</v>
      </c>
    </row>
    <row r="88" spans="1:46" s="234" customFormat="1" ht="12.75" x14ac:dyDescent="0.2">
      <c r="A88" s="259" t="s">
        <v>778</v>
      </c>
      <c r="B88" s="260" t="s">
        <v>797</v>
      </c>
      <c r="C88" s="260"/>
      <c r="D88" s="280"/>
      <c r="E88" s="280"/>
      <c r="F88" s="281">
        <v>143474.15074700001</v>
      </c>
      <c r="G88" s="281">
        <v>0</v>
      </c>
      <c r="H88" s="281">
        <v>0</v>
      </c>
      <c r="I88" s="281">
        <v>0</v>
      </c>
      <c r="J88" s="281">
        <v>0</v>
      </c>
      <c r="K88" s="281">
        <v>0</v>
      </c>
      <c r="L88" s="281">
        <v>0</v>
      </c>
      <c r="M88" s="281">
        <v>0</v>
      </c>
      <c r="N88" s="281">
        <v>0</v>
      </c>
      <c r="O88" s="281">
        <v>143474.15074700001</v>
      </c>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row>
    <row r="89" spans="1:46"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c r="AQ89" s="291"/>
      <c r="AR89" s="291"/>
      <c r="AS89" s="291"/>
      <c r="AT89" s="291"/>
    </row>
    <row r="90" spans="1:46" x14ac:dyDescent="0.2">
      <c r="A90" s="234" t="s">
        <v>256</v>
      </c>
      <c r="B90" s="292"/>
      <c r="C90" s="292"/>
      <c r="D90" s="292"/>
      <c r="E90" s="292"/>
      <c r="F90" s="292"/>
      <c r="G90" s="292"/>
      <c r="H90" s="292"/>
      <c r="I90" s="292"/>
      <c r="J90" s="292"/>
      <c r="K90" s="292"/>
      <c r="L90" s="292"/>
      <c r="M90" s="292"/>
      <c r="N90" s="292"/>
      <c r="O90" s="292"/>
      <c r="P90" s="298"/>
      <c r="Q90" s="298"/>
      <c r="R90" s="298"/>
      <c r="S90" s="298"/>
      <c r="T90" s="298"/>
    </row>
    <row r="91" spans="1:46" s="234" customFormat="1" ht="12.75" x14ac:dyDescent="0.2">
      <c r="A91" s="234" t="s">
        <v>798</v>
      </c>
      <c r="J91" s="293"/>
      <c r="O91" s="293"/>
    </row>
    <row r="92" spans="1:46" s="234" customFormat="1" ht="12.75" x14ac:dyDescent="0.2">
      <c r="A92" s="234" t="s">
        <v>799</v>
      </c>
      <c r="J92" s="293"/>
      <c r="O92" s="293"/>
    </row>
    <row r="93" spans="1:46" s="234" customFormat="1" ht="15.75" x14ac:dyDescent="0.3">
      <c r="A93" s="234" t="s">
        <v>800</v>
      </c>
      <c r="J93" s="293"/>
      <c r="O93" s="293"/>
    </row>
    <row r="94" spans="1:46" s="234" customFormat="1" ht="12.75" x14ac:dyDescent="0.2">
      <c r="A94" s="234" t="s">
        <v>801</v>
      </c>
      <c r="J94" s="293"/>
      <c r="O94" s="293"/>
    </row>
    <row r="95" spans="1:46" s="234" customFormat="1" ht="12.75" x14ac:dyDescent="0.2">
      <c r="A95" s="234" t="s">
        <v>802</v>
      </c>
      <c r="B95" s="234" t="s">
        <v>803</v>
      </c>
      <c r="J95" s="293"/>
      <c r="O95" s="293"/>
    </row>
    <row r="96" spans="1:46"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J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833</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454412.30097191199</v>
      </c>
      <c r="G7" s="218">
        <v>3823.7349035714901</v>
      </c>
      <c r="H7" s="218">
        <v>95593.372589287304</v>
      </c>
      <c r="I7" s="218">
        <v>137.70463035817801</v>
      </c>
      <c r="J7" s="218">
        <v>41035.979846737202</v>
      </c>
      <c r="K7" s="218">
        <v>1056.6608000000001</v>
      </c>
      <c r="L7" s="218">
        <v>8033.1132153127101</v>
      </c>
      <c r="M7" s="218">
        <v>3685.2432409940802</v>
      </c>
      <c r="N7" s="218">
        <v>0.31578368666666701</v>
      </c>
      <c r="O7" s="218">
        <v>603816.98644792999</v>
      </c>
    </row>
    <row r="8" spans="1:16" ht="15.75" thickTop="1" x14ac:dyDescent="0.2">
      <c r="A8" s="220" t="s">
        <v>723</v>
      </c>
      <c r="B8" s="221"/>
      <c r="C8" s="221"/>
      <c r="F8" s="223">
        <v>419161.488567425</v>
      </c>
      <c r="G8" s="223">
        <v>1831.9288053406001</v>
      </c>
      <c r="H8" s="223">
        <v>45798.220133515097</v>
      </c>
      <c r="I8" s="223">
        <v>29.844574126784</v>
      </c>
      <c r="J8" s="223">
        <v>8893.6830897816199</v>
      </c>
      <c r="K8" s="223">
        <v>0</v>
      </c>
      <c r="L8" s="223">
        <v>0</v>
      </c>
      <c r="M8" s="223">
        <v>0</v>
      </c>
      <c r="N8" s="223">
        <v>0</v>
      </c>
      <c r="O8" s="223">
        <v>473853.39179072098</v>
      </c>
    </row>
    <row r="9" spans="1:16" x14ac:dyDescent="0.2">
      <c r="A9" s="224" t="s">
        <v>724</v>
      </c>
      <c r="B9" s="225" t="s">
        <v>725</v>
      </c>
      <c r="C9" s="225"/>
      <c r="F9" s="226">
        <v>271700.71623793099</v>
      </c>
      <c r="G9" s="226">
        <v>257.08491626476302</v>
      </c>
      <c r="H9" s="226">
        <v>6427.1229066190699</v>
      </c>
      <c r="I9" s="226">
        <v>7.6243011848520803</v>
      </c>
      <c r="J9" s="226">
        <v>2272.0417530859199</v>
      </c>
      <c r="K9" s="226">
        <v>0</v>
      </c>
      <c r="L9" s="226">
        <v>0</v>
      </c>
      <c r="M9" s="226">
        <v>0</v>
      </c>
      <c r="N9" s="226">
        <v>0</v>
      </c>
      <c r="O9" s="226">
        <v>280399.880897636</v>
      </c>
      <c r="P9" s="227"/>
    </row>
    <row r="10" spans="1:16" x14ac:dyDescent="0.2">
      <c r="A10" s="228"/>
      <c r="B10" s="229" t="s">
        <v>726</v>
      </c>
      <c r="C10" s="230"/>
      <c r="F10" s="231">
        <v>95227.267233392893</v>
      </c>
      <c r="G10" s="231">
        <v>1.6662697019313499</v>
      </c>
      <c r="H10" s="231">
        <v>41.656742548283802</v>
      </c>
      <c r="I10" s="231">
        <v>1.7205027181850501</v>
      </c>
      <c r="J10" s="231">
        <v>512.70981001914402</v>
      </c>
      <c r="K10" s="231">
        <v>0</v>
      </c>
      <c r="L10" s="231">
        <v>0</v>
      </c>
      <c r="M10" s="231">
        <v>0</v>
      </c>
      <c r="N10" s="231">
        <v>0</v>
      </c>
      <c r="O10" s="231">
        <v>95781.633785960294</v>
      </c>
    </row>
    <row r="11" spans="1:16" x14ac:dyDescent="0.2">
      <c r="A11" s="228"/>
      <c r="B11" s="232" t="s">
        <v>727</v>
      </c>
      <c r="C11" s="230"/>
      <c r="F11" s="231">
        <v>16260.1869883784</v>
      </c>
      <c r="G11" s="231">
        <v>0.40878186517579002</v>
      </c>
      <c r="H11" s="231">
        <v>10.219546629394801</v>
      </c>
      <c r="I11" s="231">
        <v>0.166602300443423</v>
      </c>
      <c r="J11" s="231">
        <v>49.647485532140202</v>
      </c>
      <c r="K11" s="231">
        <v>0</v>
      </c>
      <c r="L11" s="231">
        <v>0</v>
      </c>
      <c r="M11" s="231">
        <v>0</v>
      </c>
      <c r="N11" s="231">
        <v>0</v>
      </c>
      <c r="O11" s="231">
        <v>16320.054020539999</v>
      </c>
    </row>
    <row r="12" spans="1:16" s="234" customFormat="1" ht="12.75" x14ac:dyDescent="0.2">
      <c r="A12" s="228"/>
      <c r="B12" s="232" t="s">
        <v>728</v>
      </c>
      <c r="C12" s="233"/>
      <c r="F12" s="231">
        <v>36488.783585463498</v>
      </c>
      <c r="G12" s="231">
        <v>69.843585178259701</v>
      </c>
      <c r="H12" s="231">
        <v>1746.08962945649</v>
      </c>
      <c r="I12" s="231">
        <v>0.86519606881898103</v>
      </c>
      <c r="J12" s="231">
        <v>257.82842850805599</v>
      </c>
      <c r="K12" s="231">
        <v>0</v>
      </c>
      <c r="L12" s="231">
        <v>0</v>
      </c>
      <c r="M12" s="231">
        <v>0</v>
      </c>
      <c r="N12" s="231">
        <v>0</v>
      </c>
      <c r="O12" s="231">
        <v>38492.701643428103</v>
      </c>
    </row>
    <row r="13" spans="1:16" s="234" customFormat="1" ht="12.75" x14ac:dyDescent="0.2">
      <c r="A13" s="228"/>
      <c r="B13" s="229" t="s">
        <v>729</v>
      </c>
      <c r="C13" s="229"/>
      <c r="F13" s="231">
        <v>53424.116714047203</v>
      </c>
      <c r="G13" s="231">
        <v>2.1249937635746399</v>
      </c>
      <c r="H13" s="231">
        <v>53.124844089365901</v>
      </c>
      <c r="I13" s="231">
        <v>1.6918870812075</v>
      </c>
      <c r="J13" s="231">
        <v>504.18235019983399</v>
      </c>
      <c r="K13" s="231">
        <v>0</v>
      </c>
      <c r="L13" s="231">
        <v>0</v>
      </c>
      <c r="M13" s="231">
        <v>0</v>
      </c>
      <c r="N13" s="231">
        <v>0</v>
      </c>
      <c r="O13" s="231">
        <v>53981.423908336401</v>
      </c>
    </row>
    <row r="14" spans="1:16" s="237" customFormat="1" ht="12" x14ac:dyDescent="0.2">
      <c r="A14" s="235"/>
      <c r="B14" s="230"/>
      <c r="C14" s="236" t="s">
        <v>2</v>
      </c>
      <c r="F14" s="238">
        <v>4918.0734454039502</v>
      </c>
      <c r="G14" s="238">
        <v>0.14874520991846299</v>
      </c>
      <c r="H14" s="238">
        <v>3.7186302479615798</v>
      </c>
      <c r="I14" s="238">
        <v>0.12650087882347799</v>
      </c>
      <c r="J14" s="238">
        <v>37.697261889396302</v>
      </c>
      <c r="K14" s="238">
        <v>0</v>
      </c>
      <c r="L14" s="238">
        <v>0</v>
      </c>
      <c r="M14" s="238">
        <v>0</v>
      </c>
      <c r="N14" s="238">
        <v>0</v>
      </c>
      <c r="O14" s="238">
        <v>4959.4893375413003</v>
      </c>
    </row>
    <row r="15" spans="1:16" s="237" customFormat="1" ht="12" x14ac:dyDescent="0.2">
      <c r="A15" s="235"/>
      <c r="B15" s="230"/>
      <c r="C15" s="236" t="s">
        <v>730</v>
      </c>
      <c r="F15" s="238">
        <v>2687.2481468215101</v>
      </c>
      <c r="G15" s="238">
        <v>5.7994288293998497E-2</v>
      </c>
      <c r="H15" s="238">
        <v>1.44985720734996</v>
      </c>
      <c r="I15" s="238">
        <v>3.8070337034502098E-2</v>
      </c>
      <c r="J15" s="238">
        <v>11.3449604362816</v>
      </c>
      <c r="K15" s="238">
        <v>0</v>
      </c>
      <c r="L15" s="238">
        <v>0</v>
      </c>
      <c r="M15" s="238">
        <v>0</v>
      </c>
      <c r="N15" s="238">
        <v>0</v>
      </c>
      <c r="O15" s="238">
        <v>2700.0429644651399</v>
      </c>
    </row>
    <row r="16" spans="1:16" s="237" customFormat="1" ht="12" x14ac:dyDescent="0.2">
      <c r="A16" s="235"/>
      <c r="B16" s="230"/>
      <c r="C16" s="236" t="s">
        <v>731</v>
      </c>
      <c r="F16" s="238">
        <v>8603.0393419798293</v>
      </c>
      <c r="G16" s="238">
        <v>0.17237691188287699</v>
      </c>
      <c r="H16" s="238">
        <v>4.3094227970719396</v>
      </c>
      <c r="I16" s="238">
        <v>0.148687584611086</v>
      </c>
      <c r="J16" s="238">
        <v>44.308900214103502</v>
      </c>
      <c r="K16" s="238">
        <v>0</v>
      </c>
      <c r="L16" s="238">
        <v>0</v>
      </c>
      <c r="M16" s="238">
        <v>0</v>
      </c>
      <c r="N16" s="238">
        <v>0</v>
      </c>
      <c r="O16" s="238">
        <v>8651.6576649910003</v>
      </c>
    </row>
    <row r="17" spans="1:16" s="237" customFormat="1" ht="12" x14ac:dyDescent="0.2">
      <c r="A17" s="235"/>
      <c r="B17" s="230"/>
      <c r="C17" s="236" t="s">
        <v>732</v>
      </c>
      <c r="F17" s="238">
        <v>13764.842816506</v>
      </c>
      <c r="G17" s="238">
        <v>1.2427830106797499</v>
      </c>
      <c r="H17" s="238">
        <v>31.069575266993802</v>
      </c>
      <c r="I17" s="238">
        <v>0.95438152738122795</v>
      </c>
      <c r="J17" s="238">
        <v>284.40569515960601</v>
      </c>
      <c r="K17" s="238">
        <v>0</v>
      </c>
      <c r="L17" s="238">
        <v>0</v>
      </c>
      <c r="M17" s="238">
        <v>0</v>
      </c>
      <c r="N17" s="238">
        <v>0</v>
      </c>
      <c r="O17" s="238">
        <v>14080.318086932601</v>
      </c>
    </row>
    <row r="18" spans="1:16" s="237" customFormat="1" ht="12" x14ac:dyDescent="0.2">
      <c r="A18" s="235"/>
      <c r="B18" s="230"/>
      <c r="C18" s="236" t="s">
        <v>35</v>
      </c>
      <c r="F18" s="238">
        <v>3426.4519087205599</v>
      </c>
      <c r="G18" s="238">
        <v>7.8389693871121102E-2</v>
      </c>
      <c r="H18" s="238">
        <v>1.9597423467780299</v>
      </c>
      <c r="I18" s="238">
        <v>3.69956820868345E-2</v>
      </c>
      <c r="J18" s="238">
        <v>11.0247132618767</v>
      </c>
      <c r="K18" s="238">
        <v>0</v>
      </c>
      <c r="L18" s="238">
        <v>0</v>
      </c>
      <c r="M18" s="238">
        <v>0</v>
      </c>
      <c r="N18" s="238">
        <v>0</v>
      </c>
      <c r="O18" s="238">
        <v>3439.4363643292099</v>
      </c>
    </row>
    <row r="19" spans="1:16" s="237" customFormat="1" ht="12" x14ac:dyDescent="0.2">
      <c r="A19" s="235"/>
      <c r="B19" s="230"/>
      <c r="C19" s="236" t="s">
        <v>733</v>
      </c>
      <c r="F19" s="238">
        <v>20024.4610546154</v>
      </c>
      <c r="G19" s="238">
        <v>0.42470464892842602</v>
      </c>
      <c r="H19" s="238">
        <v>10.6176162232106</v>
      </c>
      <c r="I19" s="238">
        <v>0.38725107127037001</v>
      </c>
      <c r="J19" s="238">
        <v>115.40081923856999</v>
      </c>
      <c r="K19" s="238">
        <v>0</v>
      </c>
      <c r="L19" s="238">
        <v>0</v>
      </c>
      <c r="M19" s="238">
        <v>0</v>
      </c>
      <c r="N19" s="238">
        <v>0</v>
      </c>
      <c r="O19" s="238">
        <v>20150.479490077199</v>
      </c>
    </row>
    <row r="20" spans="1:16" s="234" customFormat="1" ht="12.75" x14ac:dyDescent="0.2">
      <c r="A20" s="228"/>
      <c r="B20" s="229" t="s">
        <v>734</v>
      </c>
      <c r="C20" s="239"/>
      <c r="F20" s="231">
        <v>1616.44272585</v>
      </c>
      <c r="G20" s="231">
        <v>2.702813796E-2</v>
      </c>
      <c r="H20" s="231">
        <v>0.67570344900000001</v>
      </c>
      <c r="I20" s="231">
        <v>5.1958854540000002E-2</v>
      </c>
      <c r="J20" s="231">
        <v>15.48373865292</v>
      </c>
      <c r="K20" s="231">
        <v>0</v>
      </c>
      <c r="L20" s="231">
        <v>0</v>
      </c>
      <c r="M20" s="231">
        <v>0</v>
      </c>
      <c r="N20" s="231">
        <v>0</v>
      </c>
      <c r="O20" s="231">
        <v>1632.6021679519199</v>
      </c>
    </row>
    <row r="21" spans="1:16" s="234" customFormat="1" ht="12.75" x14ac:dyDescent="0.2">
      <c r="A21" s="228"/>
      <c r="B21" s="229" t="s">
        <v>735</v>
      </c>
      <c r="C21" s="229"/>
      <c r="F21" s="231">
        <v>26328.101545873</v>
      </c>
      <c r="G21" s="231">
        <v>0.49548234299025401</v>
      </c>
      <c r="H21" s="231">
        <v>12.3870585747564</v>
      </c>
      <c r="I21" s="231">
        <v>0.51505626493702605</v>
      </c>
      <c r="J21" s="231">
        <v>153.48676695123399</v>
      </c>
      <c r="K21" s="231">
        <v>0</v>
      </c>
      <c r="L21" s="231">
        <v>0</v>
      </c>
      <c r="M21" s="231">
        <v>0</v>
      </c>
      <c r="N21" s="231">
        <v>0</v>
      </c>
      <c r="O21" s="231">
        <v>26493.975371398999</v>
      </c>
    </row>
    <row r="22" spans="1:16" s="234" customFormat="1" ht="12.75" x14ac:dyDescent="0.2">
      <c r="A22" s="228"/>
      <c r="B22" s="229" t="s">
        <v>181</v>
      </c>
      <c r="C22" s="229"/>
      <c r="F22" s="231">
        <v>39635.331469539997</v>
      </c>
      <c r="G22" s="231">
        <v>182.47657124941699</v>
      </c>
      <c r="H22" s="231">
        <v>4561.9142812354303</v>
      </c>
      <c r="I22" s="231">
        <v>2.5530779061135802</v>
      </c>
      <c r="J22" s="231">
        <v>760.81721602184803</v>
      </c>
      <c r="K22" s="231">
        <v>0</v>
      </c>
      <c r="L22" s="231">
        <v>0</v>
      </c>
      <c r="M22" s="231">
        <v>0</v>
      </c>
      <c r="N22" s="231">
        <v>0</v>
      </c>
      <c r="O22" s="231">
        <v>44958.062966797297</v>
      </c>
    </row>
    <row r="23" spans="1:16" s="234" customFormat="1" ht="12.75" x14ac:dyDescent="0.2">
      <c r="A23" s="228"/>
      <c r="B23" s="229" t="s">
        <v>736</v>
      </c>
      <c r="C23" s="229"/>
      <c r="F23" s="231">
        <v>2720.4859753860801</v>
      </c>
      <c r="G23" s="231">
        <v>4.2204025453744201E-2</v>
      </c>
      <c r="H23" s="231">
        <v>1.05510063634361</v>
      </c>
      <c r="I23" s="231">
        <v>6.0019990606521002E-2</v>
      </c>
      <c r="J23" s="231">
        <v>17.885957200743299</v>
      </c>
      <c r="K23" s="231">
        <v>0</v>
      </c>
      <c r="L23" s="231">
        <v>0</v>
      </c>
      <c r="M23" s="231">
        <v>0</v>
      </c>
      <c r="N23" s="231">
        <v>0</v>
      </c>
      <c r="O23" s="231">
        <v>2739.4270332231599</v>
      </c>
    </row>
    <row r="24" spans="1:16" s="240" customFormat="1" ht="14.25" x14ac:dyDescent="0.2">
      <c r="A24" s="224" t="s">
        <v>737</v>
      </c>
      <c r="B24" s="225" t="s">
        <v>738</v>
      </c>
      <c r="C24" s="225"/>
      <c r="F24" s="226">
        <v>136177.143157429</v>
      </c>
      <c r="G24" s="226">
        <v>31.784097652361599</v>
      </c>
      <c r="H24" s="226">
        <v>794.60244130903902</v>
      </c>
      <c r="I24" s="226">
        <v>22.112107014886799</v>
      </c>
      <c r="J24" s="226">
        <v>6589.4078904362595</v>
      </c>
      <c r="K24" s="226">
        <v>0</v>
      </c>
      <c r="L24" s="226">
        <v>0</v>
      </c>
      <c r="M24" s="226">
        <v>0</v>
      </c>
      <c r="N24" s="226">
        <v>0</v>
      </c>
      <c r="O24" s="226">
        <v>143561.153489174</v>
      </c>
      <c r="P24" s="241"/>
    </row>
    <row r="25" spans="1:16" s="234" customFormat="1" ht="12.75" x14ac:dyDescent="0.2">
      <c r="A25" s="228"/>
      <c r="B25" s="232" t="s">
        <v>739</v>
      </c>
      <c r="C25" s="229"/>
      <c r="F25" s="231">
        <v>6244.9823287723902</v>
      </c>
      <c r="G25" s="231">
        <v>0.35699058394028099</v>
      </c>
      <c r="H25" s="231">
        <v>8.9247645985070196</v>
      </c>
      <c r="I25" s="231">
        <v>0.19235549236631599</v>
      </c>
      <c r="J25" s="231">
        <v>57.321936725162097</v>
      </c>
      <c r="K25" s="231">
        <v>0</v>
      </c>
      <c r="L25" s="231">
        <v>0</v>
      </c>
      <c r="M25" s="231">
        <v>0</v>
      </c>
      <c r="N25" s="231">
        <v>0</v>
      </c>
      <c r="O25" s="231">
        <v>6311.2290300960503</v>
      </c>
    </row>
    <row r="26" spans="1:16" s="234" customFormat="1" ht="12.75" x14ac:dyDescent="0.2">
      <c r="A26" s="228"/>
      <c r="B26" s="229" t="s">
        <v>740</v>
      </c>
      <c r="C26" s="229"/>
      <c r="F26" s="231">
        <v>82910.672094743495</v>
      </c>
      <c r="G26" s="231">
        <v>12.3236219494379</v>
      </c>
      <c r="H26" s="231">
        <v>308.090548735948</v>
      </c>
      <c r="I26" s="231">
        <v>11.323354112092099</v>
      </c>
      <c r="J26" s="231">
        <v>3374.3595254034399</v>
      </c>
      <c r="K26" s="231">
        <v>0</v>
      </c>
      <c r="L26" s="231">
        <v>0</v>
      </c>
      <c r="M26" s="231">
        <v>0</v>
      </c>
      <c r="N26" s="231">
        <v>0</v>
      </c>
      <c r="O26" s="231">
        <v>86593.122168882895</v>
      </c>
    </row>
    <row r="27" spans="1:16" s="237" customFormat="1" ht="12" x14ac:dyDescent="0.2">
      <c r="A27" s="235"/>
      <c r="B27" s="230"/>
      <c r="C27" s="236" t="s">
        <v>741</v>
      </c>
      <c r="F27" s="238">
        <v>41794.238641020696</v>
      </c>
      <c r="G27" s="238">
        <v>7.0174343688027001</v>
      </c>
      <c r="H27" s="238">
        <v>175.43585922006699</v>
      </c>
      <c r="I27" s="238">
        <v>6.9299123170594203</v>
      </c>
      <c r="J27" s="238">
        <v>2065.1138704837099</v>
      </c>
      <c r="K27" s="238">
        <v>0</v>
      </c>
      <c r="L27" s="238">
        <v>0</v>
      </c>
      <c r="M27" s="238">
        <v>0</v>
      </c>
      <c r="N27" s="238">
        <v>0</v>
      </c>
      <c r="O27" s="238">
        <v>44034.788370724498</v>
      </c>
    </row>
    <row r="28" spans="1:16" s="237" customFormat="1" ht="12" x14ac:dyDescent="0.2">
      <c r="A28" s="235"/>
      <c r="B28" s="230"/>
      <c r="C28" s="236" t="s">
        <v>742</v>
      </c>
      <c r="F28" s="238">
        <v>20625.448435314502</v>
      </c>
      <c r="G28" s="238">
        <v>3.0215856280831601</v>
      </c>
      <c r="H28" s="238">
        <v>75.539640702079097</v>
      </c>
      <c r="I28" s="238">
        <v>3.7853930634724802</v>
      </c>
      <c r="J28" s="238">
        <v>1128.0471329147999</v>
      </c>
      <c r="K28" s="238">
        <v>0</v>
      </c>
      <c r="L28" s="238">
        <v>0</v>
      </c>
      <c r="M28" s="238">
        <v>0</v>
      </c>
      <c r="N28" s="238">
        <v>0</v>
      </c>
      <c r="O28" s="238">
        <v>21829.0352089314</v>
      </c>
    </row>
    <row r="29" spans="1:16" s="237" customFormat="1" ht="12" x14ac:dyDescent="0.2">
      <c r="A29" s="235"/>
      <c r="B29" s="230"/>
      <c r="C29" s="236" t="s">
        <v>743</v>
      </c>
      <c r="F29" s="238">
        <v>5851.7005685518197</v>
      </c>
      <c r="G29" s="238">
        <v>0.95538790147852803</v>
      </c>
      <c r="H29" s="238">
        <v>23.884697536963198</v>
      </c>
      <c r="I29" s="238">
        <v>0.161040895305336</v>
      </c>
      <c r="J29" s="238">
        <v>47.990186800990003</v>
      </c>
      <c r="K29" s="238">
        <v>0</v>
      </c>
      <c r="L29" s="238">
        <v>0</v>
      </c>
      <c r="M29" s="238">
        <v>0</v>
      </c>
      <c r="N29" s="238">
        <v>0</v>
      </c>
      <c r="O29" s="238">
        <v>5923.5754528897696</v>
      </c>
    </row>
    <row r="30" spans="1:16" s="237" customFormat="1" ht="12" x14ac:dyDescent="0.2">
      <c r="A30" s="235"/>
      <c r="B30" s="230"/>
      <c r="C30" s="236" t="s">
        <v>744</v>
      </c>
      <c r="F30" s="238">
        <v>88.570964553653695</v>
      </c>
      <c r="G30" s="238">
        <v>8.8506264393277898E-2</v>
      </c>
      <c r="H30" s="238">
        <v>2.2126566098319498</v>
      </c>
      <c r="I30" s="238">
        <v>1.8382070297065401E-3</v>
      </c>
      <c r="J30" s="238">
        <v>0.54778569485254802</v>
      </c>
      <c r="K30" s="238">
        <v>0</v>
      </c>
      <c r="L30" s="238">
        <v>0</v>
      </c>
      <c r="M30" s="238">
        <v>0</v>
      </c>
      <c r="N30" s="238">
        <v>0</v>
      </c>
      <c r="O30" s="238">
        <v>91.331406858338198</v>
      </c>
      <c r="P30" s="242"/>
    </row>
    <row r="31" spans="1:16" s="237" customFormat="1" ht="12" x14ac:dyDescent="0.2">
      <c r="A31" s="235"/>
      <c r="B31" s="230"/>
      <c r="C31" s="236" t="s">
        <v>745</v>
      </c>
      <c r="F31" s="238">
        <v>472.654273928745</v>
      </c>
      <c r="G31" s="238">
        <v>1.35346265221764E-2</v>
      </c>
      <c r="H31" s="238">
        <v>0.33836566305441002</v>
      </c>
      <c r="I31" s="238">
        <v>3.4576526935629501E-2</v>
      </c>
      <c r="J31" s="238">
        <v>10.303805026817599</v>
      </c>
      <c r="K31" s="238">
        <v>0</v>
      </c>
      <c r="L31" s="238">
        <v>0</v>
      </c>
      <c r="M31" s="238">
        <v>0</v>
      </c>
      <c r="N31" s="238">
        <v>0</v>
      </c>
      <c r="O31" s="238">
        <v>483.29644461861699</v>
      </c>
    </row>
    <row r="32" spans="1:16" s="237" customFormat="1" ht="12" x14ac:dyDescent="0.2">
      <c r="A32" s="235"/>
      <c r="B32" s="230"/>
      <c r="C32" s="236" t="s">
        <v>746</v>
      </c>
      <c r="D32" s="243"/>
      <c r="E32" s="243"/>
      <c r="F32" s="244">
        <v>154.27753880783601</v>
      </c>
      <c r="G32" s="244">
        <v>4.1381370320241603E-3</v>
      </c>
      <c r="H32" s="244">
        <v>0.103453425800604</v>
      </c>
      <c r="I32" s="244">
        <v>1.13421202806141E-2</v>
      </c>
      <c r="J32" s="244">
        <v>3.3799518436230098</v>
      </c>
      <c r="K32" s="244">
        <v>0</v>
      </c>
      <c r="L32" s="244">
        <v>0</v>
      </c>
      <c r="M32" s="244">
        <v>0</v>
      </c>
      <c r="N32" s="244">
        <v>0</v>
      </c>
      <c r="O32" s="244">
        <v>157.76094407726001</v>
      </c>
    </row>
    <row r="33" spans="1:15" s="237" customFormat="1" ht="12" x14ac:dyDescent="0.2">
      <c r="A33" s="235"/>
      <c r="B33" s="230"/>
      <c r="C33" s="236" t="s">
        <v>747</v>
      </c>
      <c r="D33" s="243"/>
      <c r="E33" s="243"/>
      <c r="F33" s="244">
        <v>12613.324188531</v>
      </c>
      <c r="G33" s="244">
        <v>0.660733342349621</v>
      </c>
      <c r="H33" s="244">
        <v>16.518333558740501</v>
      </c>
      <c r="I33" s="244">
        <v>0.37501092739668701</v>
      </c>
      <c r="J33" s="244">
        <v>111.753256364213</v>
      </c>
      <c r="K33" s="244">
        <v>0</v>
      </c>
      <c r="L33" s="244">
        <v>0</v>
      </c>
      <c r="M33" s="244">
        <v>0</v>
      </c>
      <c r="N33" s="244">
        <v>0</v>
      </c>
      <c r="O33" s="244">
        <v>12741.595778454001</v>
      </c>
    </row>
    <row r="34" spans="1:15" s="237" customFormat="1" ht="12" x14ac:dyDescent="0.2">
      <c r="A34" s="235"/>
      <c r="B34" s="230"/>
      <c r="C34" s="245" t="s">
        <v>748</v>
      </c>
      <c r="D34" s="243"/>
      <c r="E34" s="243"/>
      <c r="F34" s="244">
        <v>1310.4574840352</v>
      </c>
      <c r="G34" s="244">
        <v>0.56230168077642995</v>
      </c>
      <c r="H34" s="244">
        <v>14.0575420194108</v>
      </c>
      <c r="I34" s="244">
        <v>2.4240054612198299E-2</v>
      </c>
      <c r="J34" s="244">
        <v>7.2235362744351104</v>
      </c>
      <c r="K34" s="244">
        <v>0</v>
      </c>
      <c r="L34" s="244">
        <v>0</v>
      </c>
      <c r="M34" s="244">
        <v>0</v>
      </c>
      <c r="N34" s="244">
        <v>0</v>
      </c>
      <c r="O34" s="244">
        <v>1331.73856232904</v>
      </c>
    </row>
    <row r="35" spans="1:15" s="249" customFormat="1" ht="12.75" x14ac:dyDescent="0.2">
      <c r="A35" s="228"/>
      <c r="B35" s="229" t="s">
        <v>749</v>
      </c>
      <c r="C35" s="246"/>
      <c r="D35" s="247"/>
      <c r="E35" s="247"/>
      <c r="F35" s="248">
        <v>5763.1284685999999</v>
      </c>
      <c r="G35" s="248">
        <v>0.32350646793999999</v>
      </c>
      <c r="H35" s="248">
        <v>8.0876616984999998</v>
      </c>
      <c r="I35" s="248">
        <v>2.2302664445399998</v>
      </c>
      <c r="J35" s="248">
        <v>664.61940047292001</v>
      </c>
      <c r="K35" s="248">
        <v>0</v>
      </c>
      <c r="L35" s="248">
        <v>0</v>
      </c>
      <c r="M35" s="248">
        <v>0</v>
      </c>
      <c r="N35" s="248">
        <v>0</v>
      </c>
      <c r="O35" s="248">
        <v>6435.8355307714201</v>
      </c>
    </row>
    <row r="36" spans="1:15" s="249" customFormat="1" ht="12.75" x14ac:dyDescent="0.2">
      <c r="A36" s="228"/>
      <c r="B36" s="232" t="s">
        <v>750</v>
      </c>
      <c r="C36" s="246"/>
      <c r="D36" s="247"/>
      <c r="E36" s="247"/>
      <c r="F36" s="248">
        <v>4951.6473237800001</v>
      </c>
      <c r="G36" s="248">
        <v>0.45629142889800001</v>
      </c>
      <c r="H36" s="248">
        <v>11.40728572245</v>
      </c>
      <c r="I36" s="248">
        <v>0.130361963912</v>
      </c>
      <c r="J36" s="248">
        <v>38.847865245775999</v>
      </c>
      <c r="K36" s="248">
        <v>0</v>
      </c>
      <c r="L36" s="248">
        <v>0</v>
      </c>
      <c r="M36" s="248">
        <v>0</v>
      </c>
      <c r="N36" s="248">
        <v>0</v>
      </c>
      <c r="O36" s="248">
        <v>5001.9024747482299</v>
      </c>
    </row>
    <row r="37" spans="1:15" s="234" customFormat="1" ht="12.75" x14ac:dyDescent="0.2">
      <c r="A37" s="228"/>
      <c r="B37" s="229" t="s">
        <v>751</v>
      </c>
      <c r="C37" s="250"/>
      <c r="D37" s="251"/>
      <c r="E37" s="251"/>
      <c r="F37" s="252">
        <v>36306.7129415331</v>
      </c>
      <c r="G37" s="252">
        <v>18.323687222145399</v>
      </c>
      <c r="H37" s="252">
        <v>458.09218055363402</v>
      </c>
      <c r="I37" s="252">
        <v>8.2357690019763901</v>
      </c>
      <c r="J37" s="252">
        <v>2454.25916258897</v>
      </c>
      <c r="K37" s="252">
        <v>0</v>
      </c>
      <c r="L37" s="252">
        <v>0</v>
      </c>
      <c r="M37" s="252">
        <v>0</v>
      </c>
      <c r="N37" s="252">
        <v>0</v>
      </c>
      <c r="O37" s="252">
        <v>39219.064284675696</v>
      </c>
    </row>
    <row r="38" spans="1:15" s="237" customFormat="1" ht="12" x14ac:dyDescent="0.2">
      <c r="A38" s="235"/>
      <c r="B38" s="230"/>
      <c r="C38" s="236" t="s">
        <v>752</v>
      </c>
      <c r="F38" s="238">
        <v>9465.0536315497593</v>
      </c>
      <c r="G38" s="238">
        <v>0.54640341316435703</v>
      </c>
      <c r="H38" s="238">
        <v>13.660085329108901</v>
      </c>
      <c r="I38" s="238">
        <v>3.6579024463037899</v>
      </c>
      <c r="J38" s="238">
        <v>1090.0549289985299</v>
      </c>
      <c r="K38" s="238">
        <v>0</v>
      </c>
      <c r="L38" s="238">
        <v>0</v>
      </c>
      <c r="M38" s="238">
        <v>0</v>
      </c>
      <c r="N38" s="238">
        <v>0</v>
      </c>
      <c r="O38" s="238">
        <v>10568.768645877401</v>
      </c>
    </row>
    <row r="39" spans="1:15" s="237" customFormat="1" ht="12" x14ac:dyDescent="0.2">
      <c r="A39" s="235"/>
      <c r="B39" s="230"/>
      <c r="C39" s="236" t="s">
        <v>753</v>
      </c>
      <c r="F39" s="238">
        <v>1308.7227053975701</v>
      </c>
      <c r="G39" s="238">
        <v>0.69963359720235396</v>
      </c>
      <c r="H39" s="238">
        <v>17.490839930058801</v>
      </c>
      <c r="I39" s="238">
        <v>0.39771655263587602</v>
      </c>
      <c r="J39" s="238">
        <v>118.519532685491</v>
      </c>
      <c r="K39" s="238">
        <v>0</v>
      </c>
      <c r="L39" s="238">
        <v>0</v>
      </c>
      <c r="M39" s="238">
        <v>0</v>
      </c>
      <c r="N39" s="238">
        <v>0</v>
      </c>
      <c r="O39" s="238">
        <v>1444.7330780131199</v>
      </c>
    </row>
    <row r="40" spans="1:15" s="237" customFormat="1" ht="12" x14ac:dyDescent="0.2">
      <c r="A40" s="235"/>
      <c r="B40" s="230"/>
      <c r="C40" s="236" t="s">
        <v>754</v>
      </c>
      <c r="F40" s="238">
        <v>8654.2172985095294</v>
      </c>
      <c r="G40" s="238">
        <v>0.79509674032337596</v>
      </c>
      <c r="H40" s="238">
        <v>19.8774185080844</v>
      </c>
      <c r="I40" s="238">
        <v>3.0562586375198602</v>
      </c>
      <c r="J40" s="238">
        <v>910.76507398091803</v>
      </c>
      <c r="K40" s="238">
        <v>0</v>
      </c>
      <c r="L40" s="238">
        <v>0</v>
      </c>
      <c r="M40" s="238">
        <v>0</v>
      </c>
      <c r="N40" s="238">
        <v>0</v>
      </c>
      <c r="O40" s="238">
        <v>9584.8597909985292</v>
      </c>
    </row>
    <row r="41" spans="1:15" s="237" customFormat="1" ht="12" x14ac:dyDescent="0.2">
      <c r="A41" s="235"/>
      <c r="B41" s="230"/>
      <c r="C41" s="236" t="s">
        <v>755</v>
      </c>
      <c r="F41" s="238">
        <v>193.92675722406599</v>
      </c>
      <c r="G41" s="238">
        <v>4.7061502561656803E-2</v>
      </c>
      <c r="H41" s="238">
        <v>1.17653756404142</v>
      </c>
      <c r="I41" s="238">
        <v>6.32764595292611E-2</v>
      </c>
      <c r="J41" s="238">
        <v>18.856384939719799</v>
      </c>
      <c r="K41" s="238">
        <v>0</v>
      </c>
      <c r="L41" s="238">
        <v>0</v>
      </c>
      <c r="M41" s="238">
        <v>0</v>
      </c>
      <c r="N41" s="238">
        <v>0</v>
      </c>
      <c r="O41" s="238">
        <v>213.95967972782699</v>
      </c>
    </row>
    <row r="42" spans="1:15" s="237" customFormat="1" ht="12" x14ac:dyDescent="0.2">
      <c r="A42" s="235"/>
      <c r="B42" s="230"/>
      <c r="C42" s="236" t="s">
        <v>756</v>
      </c>
      <c r="F42" s="238">
        <v>9276.1608007921295</v>
      </c>
      <c r="G42" s="238">
        <v>8.8133879428936197</v>
      </c>
      <c r="H42" s="238">
        <v>220.33469857234101</v>
      </c>
      <c r="I42" s="238">
        <v>0.85919860548760796</v>
      </c>
      <c r="J42" s="238">
        <v>256.041184435307</v>
      </c>
      <c r="K42" s="238">
        <v>0</v>
      </c>
      <c r="L42" s="238">
        <v>0</v>
      </c>
      <c r="M42" s="238">
        <v>0</v>
      </c>
      <c r="N42" s="238">
        <v>0</v>
      </c>
      <c r="O42" s="238">
        <v>9752.5366837997808</v>
      </c>
    </row>
    <row r="43" spans="1:15" s="237" customFormat="1" ht="12" x14ac:dyDescent="0.2">
      <c r="A43" s="235"/>
      <c r="B43" s="230"/>
      <c r="C43" s="253" t="s">
        <v>757</v>
      </c>
      <c r="F43" s="238">
        <v>7408.6317480600001</v>
      </c>
      <c r="G43" s="238">
        <v>7.4221040260000004</v>
      </c>
      <c r="H43" s="238">
        <v>185.55260064999999</v>
      </c>
      <c r="I43" s="238">
        <v>0.20141630050000001</v>
      </c>
      <c r="J43" s="238">
        <v>60.022057549000003</v>
      </c>
      <c r="K43" s="238">
        <v>0</v>
      </c>
      <c r="L43" s="238">
        <v>0</v>
      </c>
      <c r="M43" s="238">
        <v>0</v>
      </c>
      <c r="N43" s="238">
        <v>0</v>
      </c>
      <c r="O43" s="238">
        <v>7654.2064062589998</v>
      </c>
    </row>
    <row r="44" spans="1:15" s="240" customFormat="1" ht="12.75" x14ac:dyDescent="0.2">
      <c r="A44" s="224" t="s">
        <v>758</v>
      </c>
      <c r="B44" s="225" t="s">
        <v>759</v>
      </c>
      <c r="C44" s="225"/>
      <c r="F44" s="226">
        <v>11283.6291720646</v>
      </c>
      <c r="G44" s="226">
        <v>1543.05979142348</v>
      </c>
      <c r="H44" s="226">
        <v>38576.494785586998</v>
      </c>
      <c r="I44" s="226">
        <v>0.10816592704509299</v>
      </c>
      <c r="J44" s="226">
        <v>32.233446259437699</v>
      </c>
      <c r="K44" s="226">
        <v>0</v>
      </c>
      <c r="L44" s="226">
        <v>0</v>
      </c>
      <c r="M44" s="226">
        <v>0</v>
      </c>
      <c r="N44" s="226">
        <v>0</v>
      </c>
      <c r="O44" s="226">
        <v>49892.357403911003</v>
      </c>
    </row>
    <row r="45" spans="1:15" s="234" customFormat="1" ht="12.75" x14ac:dyDescent="0.2">
      <c r="A45" s="228"/>
      <c r="B45" s="229" t="s">
        <v>760</v>
      </c>
      <c r="C45" s="229"/>
      <c r="F45" s="231">
        <v>0</v>
      </c>
      <c r="G45" s="231">
        <v>115.114094343057</v>
      </c>
      <c r="H45" s="231">
        <v>2877.8523585764301</v>
      </c>
      <c r="I45" s="231">
        <v>0</v>
      </c>
      <c r="J45" s="231">
        <v>0</v>
      </c>
      <c r="K45" s="231">
        <v>0</v>
      </c>
      <c r="L45" s="231">
        <v>0</v>
      </c>
      <c r="M45" s="231">
        <v>0</v>
      </c>
      <c r="N45" s="231">
        <v>0</v>
      </c>
      <c r="O45" s="231">
        <v>2877.8523585764301</v>
      </c>
    </row>
    <row r="46" spans="1:15" s="234" customFormat="1" ht="12.75" x14ac:dyDescent="0.2">
      <c r="A46" s="228"/>
      <c r="B46" s="229" t="s">
        <v>761</v>
      </c>
      <c r="C46" s="229"/>
      <c r="F46" s="231">
        <v>11283.6291720646</v>
      </c>
      <c r="G46" s="231">
        <v>1427.9456970804199</v>
      </c>
      <c r="H46" s="231">
        <v>35698.6424270106</v>
      </c>
      <c r="I46" s="231">
        <v>0.10816592704509299</v>
      </c>
      <c r="J46" s="231">
        <v>32.233446259437699</v>
      </c>
      <c r="K46" s="231">
        <v>0</v>
      </c>
      <c r="L46" s="231">
        <v>0</v>
      </c>
      <c r="M46" s="231">
        <v>0</v>
      </c>
      <c r="N46" s="231">
        <v>0</v>
      </c>
      <c r="O46" s="231">
        <v>47014.505045334598</v>
      </c>
    </row>
    <row r="47" spans="1:15" s="237" customFormat="1" ht="12" x14ac:dyDescent="0.2">
      <c r="A47" s="254"/>
      <c r="B47" s="255"/>
      <c r="C47" s="230" t="s">
        <v>762</v>
      </c>
      <c r="F47" s="238">
        <v>100.398936315453</v>
      </c>
      <c r="G47" s="238">
        <v>200.22779836653601</v>
      </c>
      <c r="H47" s="238">
        <v>5005.6949591634102</v>
      </c>
      <c r="I47" s="238">
        <v>0.1</v>
      </c>
      <c r="J47" s="238">
        <v>29.8</v>
      </c>
      <c r="K47" s="238">
        <v>0</v>
      </c>
      <c r="L47" s="238">
        <v>0</v>
      </c>
      <c r="M47" s="238">
        <v>0</v>
      </c>
      <c r="N47" s="238">
        <v>0</v>
      </c>
      <c r="O47" s="238">
        <v>5135.89389547886</v>
      </c>
    </row>
    <row r="48" spans="1:15" s="237" customFormat="1" ht="12" x14ac:dyDescent="0.2">
      <c r="A48" s="254"/>
      <c r="B48" s="255"/>
      <c r="C48" s="230" t="s">
        <v>763</v>
      </c>
      <c r="F48" s="238">
        <v>27.641393649631102</v>
      </c>
      <c r="G48" s="238">
        <v>542.97278369886396</v>
      </c>
      <c r="H48" s="238">
        <v>13574.3195924716</v>
      </c>
      <c r="I48" s="238">
        <v>0</v>
      </c>
      <c r="J48" s="238">
        <v>0</v>
      </c>
      <c r="K48" s="238">
        <v>0</v>
      </c>
      <c r="L48" s="238">
        <v>0</v>
      </c>
      <c r="M48" s="238">
        <v>0</v>
      </c>
      <c r="N48" s="238">
        <v>0</v>
      </c>
      <c r="O48" s="238">
        <v>13601.960986121199</v>
      </c>
    </row>
    <row r="49" spans="1:16" s="237" customFormat="1" ht="12" x14ac:dyDescent="0.2">
      <c r="A49" s="256"/>
      <c r="B49" s="257"/>
      <c r="C49" s="258" t="s">
        <v>380</v>
      </c>
      <c r="D49" s="243"/>
      <c r="E49" s="243"/>
      <c r="F49" s="244">
        <v>6904.5735694138602</v>
      </c>
      <c r="G49" s="244">
        <v>679.13907138698301</v>
      </c>
      <c r="H49" s="244">
        <v>16978.4767846746</v>
      </c>
      <c r="I49" s="244">
        <v>0</v>
      </c>
      <c r="J49" s="244">
        <v>0</v>
      </c>
      <c r="K49" s="244">
        <v>0</v>
      </c>
      <c r="L49" s="244">
        <v>0</v>
      </c>
      <c r="M49" s="244">
        <v>0</v>
      </c>
      <c r="N49" s="244">
        <v>0</v>
      </c>
      <c r="O49" s="244">
        <v>23883.050354088398</v>
      </c>
    </row>
    <row r="50" spans="1:16" s="237" customFormat="1" ht="12" x14ac:dyDescent="0.2">
      <c r="A50" s="256"/>
      <c r="B50" s="257"/>
      <c r="C50" s="258" t="s">
        <v>381</v>
      </c>
      <c r="D50" s="243"/>
      <c r="E50" s="243"/>
      <c r="F50" s="244">
        <v>4251.0152726856304</v>
      </c>
      <c r="G50" s="244">
        <v>5.6060436280383401</v>
      </c>
      <c r="H50" s="244">
        <v>140.15109070095801</v>
      </c>
      <c r="I50" s="244">
        <v>8.1659270450930993E-3</v>
      </c>
      <c r="J50" s="244">
        <v>2.4334462594377402</v>
      </c>
      <c r="K50" s="244">
        <v>0</v>
      </c>
      <c r="L50" s="244">
        <v>0</v>
      </c>
      <c r="M50" s="244">
        <v>0</v>
      </c>
      <c r="N50" s="244">
        <v>0</v>
      </c>
      <c r="O50" s="244">
        <v>4393.5998096460198</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33609.311983347703</v>
      </c>
      <c r="G52" s="266">
        <v>4.6088513292534801</v>
      </c>
      <c r="H52" s="266">
        <v>115.221283231337</v>
      </c>
      <c r="I52" s="266">
        <v>36.266671378790001</v>
      </c>
      <c r="J52" s="266">
        <v>10807.4680708794</v>
      </c>
      <c r="K52" s="266">
        <v>1056.6608000000001</v>
      </c>
      <c r="L52" s="266">
        <v>8033.1132153127101</v>
      </c>
      <c r="M52" s="266">
        <v>3685.2432409940802</v>
      </c>
      <c r="N52" s="266">
        <v>0.31578368666666701</v>
      </c>
      <c r="O52" s="266">
        <v>57307.334377451902</v>
      </c>
    </row>
    <row r="53" spans="1:16" s="240" customFormat="1" ht="12.75" x14ac:dyDescent="0.2">
      <c r="A53" s="224" t="s">
        <v>724</v>
      </c>
      <c r="B53" s="225" t="s">
        <v>767</v>
      </c>
      <c r="C53" s="225"/>
      <c r="D53" s="268"/>
      <c r="E53" s="268"/>
      <c r="F53" s="269">
        <v>7545.7238614166099</v>
      </c>
      <c r="G53" s="269">
        <v>0</v>
      </c>
      <c r="H53" s="269">
        <v>0</v>
      </c>
      <c r="I53" s="269">
        <v>0</v>
      </c>
      <c r="J53" s="269">
        <v>0</v>
      </c>
      <c r="K53" s="269">
        <v>0</v>
      </c>
      <c r="L53" s="269">
        <v>0</v>
      </c>
      <c r="M53" s="269">
        <v>0</v>
      </c>
      <c r="N53" s="269">
        <v>0</v>
      </c>
      <c r="O53" s="269">
        <v>7545.7238614166099</v>
      </c>
    </row>
    <row r="54" spans="1:16" s="273" customFormat="1" ht="12" x14ac:dyDescent="0.2">
      <c r="A54" s="235"/>
      <c r="B54" s="270"/>
      <c r="C54" s="236" t="s">
        <v>560</v>
      </c>
      <c r="D54" s="271"/>
      <c r="E54" s="271"/>
      <c r="F54" s="272">
        <v>4723.3137373647596</v>
      </c>
      <c r="G54" s="272">
        <v>0</v>
      </c>
      <c r="H54" s="272">
        <v>0</v>
      </c>
      <c r="I54" s="272">
        <v>0</v>
      </c>
      <c r="J54" s="272">
        <v>0</v>
      </c>
      <c r="K54" s="272">
        <v>0</v>
      </c>
      <c r="L54" s="272">
        <v>0</v>
      </c>
      <c r="M54" s="272">
        <v>0</v>
      </c>
      <c r="N54" s="272">
        <v>0</v>
      </c>
      <c r="O54" s="272">
        <v>4723.3137373647596</v>
      </c>
      <c r="P54" s="271"/>
    </row>
    <row r="55" spans="1:16" s="273" customFormat="1" ht="12" x14ac:dyDescent="0.2">
      <c r="A55" s="235"/>
      <c r="B55" s="270"/>
      <c r="C55" s="236" t="s">
        <v>191</v>
      </c>
      <c r="D55" s="271"/>
      <c r="E55" s="271"/>
      <c r="F55" s="272">
        <v>1788.6679359335201</v>
      </c>
      <c r="G55" s="272">
        <v>0</v>
      </c>
      <c r="H55" s="272">
        <v>0</v>
      </c>
      <c r="I55" s="272">
        <v>0</v>
      </c>
      <c r="J55" s="272">
        <v>0</v>
      </c>
      <c r="K55" s="272">
        <v>0</v>
      </c>
      <c r="L55" s="272">
        <v>0</v>
      </c>
      <c r="M55" s="272">
        <v>0</v>
      </c>
      <c r="N55" s="272">
        <v>0</v>
      </c>
      <c r="O55" s="272">
        <v>1788.6679359335201</v>
      </c>
      <c r="P55" s="271"/>
    </row>
    <row r="56" spans="1:16" s="273" customFormat="1" ht="12" x14ac:dyDescent="0.2">
      <c r="A56" s="235"/>
      <c r="B56" s="270"/>
      <c r="C56" s="236" t="s">
        <v>768</v>
      </c>
      <c r="D56" s="271"/>
      <c r="E56" s="271"/>
      <c r="F56" s="272">
        <v>1033.74218811834</v>
      </c>
      <c r="G56" s="272">
        <v>0</v>
      </c>
      <c r="H56" s="272">
        <v>0</v>
      </c>
      <c r="I56" s="272">
        <v>0</v>
      </c>
      <c r="J56" s="272">
        <v>0</v>
      </c>
      <c r="K56" s="272">
        <v>0</v>
      </c>
      <c r="L56" s="272">
        <v>0</v>
      </c>
      <c r="M56" s="272">
        <v>0</v>
      </c>
      <c r="N56" s="272">
        <v>0</v>
      </c>
      <c r="O56" s="272">
        <v>1033.74218811834</v>
      </c>
      <c r="P56" s="271"/>
    </row>
    <row r="57" spans="1:16" s="275" customFormat="1" ht="12.75" x14ac:dyDescent="0.2">
      <c r="A57" s="224" t="s">
        <v>737</v>
      </c>
      <c r="B57" s="225" t="s">
        <v>769</v>
      </c>
      <c r="C57" s="225"/>
      <c r="D57" s="274"/>
      <c r="E57" s="274"/>
      <c r="F57" s="269">
        <v>5879.7251607775297</v>
      </c>
      <c r="G57" s="269">
        <v>4.5011371128534803</v>
      </c>
      <c r="H57" s="269">
        <v>112.528427821337</v>
      </c>
      <c r="I57" s="269">
        <v>35.7184724645996</v>
      </c>
      <c r="J57" s="269">
        <v>10644.104794450701</v>
      </c>
      <c r="K57" s="269">
        <v>0</v>
      </c>
      <c r="L57" s="269">
        <v>0</v>
      </c>
      <c r="M57" s="269">
        <v>0</v>
      </c>
      <c r="N57" s="269">
        <v>0</v>
      </c>
      <c r="O57" s="269">
        <v>16636.358383049501</v>
      </c>
      <c r="P57" s="274"/>
    </row>
    <row r="58" spans="1:16" s="277" customFormat="1" ht="12" x14ac:dyDescent="0.2">
      <c r="A58" s="235"/>
      <c r="B58" s="270"/>
      <c r="C58" s="236" t="s">
        <v>192</v>
      </c>
      <c r="D58" s="276"/>
      <c r="E58" s="276"/>
      <c r="F58" s="272">
        <v>2754.75465095442</v>
      </c>
      <c r="G58" s="272">
        <v>0</v>
      </c>
      <c r="H58" s="272">
        <v>0</v>
      </c>
      <c r="I58" s="272">
        <v>0</v>
      </c>
      <c r="J58" s="272">
        <v>0</v>
      </c>
      <c r="K58" s="272">
        <v>0</v>
      </c>
      <c r="L58" s="272">
        <v>0</v>
      </c>
      <c r="M58" s="272">
        <v>0</v>
      </c>
      <c r="N58" s="272">
        <v>0</v>
      </c>
      <c r="O58" s="272">
        <v>2754.75465095442</v>
      </c>
      <c r="P58" s="276"/>
    </row>
    <row r="59" spans="1:16" s="277" customFormat="1" ht="12" x14ac:dyDescent="0.2">
      <c r="A59" s="235"/>
      <c r="B59" s="270"/>
      <c r="C59" s="236" t="s">
        <v>190</v>
      </c>
      <c r="D59" s="276"/>
      <c r="E59" s="276"/>
      <c r="F59" s="272">
        <v>0</v>
      </c>
      <c r="G59" s="272">
        <v>0</v>
      </c>
      <c r="H59" s="272">
        <v>0</v>
      </c>
      <c r="I59" s="272">
        <v>3.4103671711833599</v>
      </c>
      <c r="J59" s="272">
        <v>1016.28941701264</v>
      </c>
      <c r="K59" s="272">
        <v>0</v>
      </c>
      <c r="L59" s="272">
        <v>0</v>
      </c>
      <c r="M59" s="272">
        <v>0</v>
      </c>
      <c r="N59" s="272">
        <v>0</v>
      </c>
      <c r="O59" s="272">
        <v>1016.28941701264</v>
      </c>
      <c r="P59" s="276"/>
    </row>
    <row r="60" spans="1:16" s="277" customFormat="1" ht="12" x14ac:dyDescent="0.2">
      <c r="A60" s="235"/>
      <c r="B60" s="270"/>
      <c r="C60" s="236" t="s">
        <v>770</v>
      </c>
      <c r="D60" s="276"/>
      <c r="E60" s="276"/>
      <c r="F60" s="272">
        <v>0</v>
      </c>
      <c r="G60" s="272">
        <v>0</v>
      </c>
      <c r="H60" s="272">
        <v>0</v>
      </c>
      <c r="I60" s="272">
        <v>32.259</v>
      </c>
      <c r="J60" s="272">
        <v>9613.1820000000007</v>
      </c>
      <c r="K60" s="272">
        <v>0</v>
      </c>
      <c r="L60" s="272">
        <v>0</v>
      </c>
      <c r="M60" s="272">
        <v>0</v>
      </c>
      <c r="N60" s="272">
        <v>0</v>
      </c>
      <c r="O60" s="272">
        <v>9613.1820000000007</v>
      </c>
      <c r="P60" s="276"/>
    </row>
    <row r="61" spans="1:16" s="277" customFormat="1" ht="12" x14ac:dyDescent="0.2">
      <c r="A61" s="235"/>
      <c r="B61" s="270"/>
      <c r="C61" s="236" t="s">
        <v>771</v>
      </c>
      <c r="D61" s="276"/>
      <c r="E61" s="276"/>
      <c r="F61" s="272">
        <v>3124.9705098231102</v>
      </c>
      <c r="G61" s="272">
        <v>4.5011371128534803</v>
      </c>
      <c r="H61" s="272">
        <v>112.528427821337</v>
      </c>
      <c r="I61" s="272">
        <v>4.91052934162024E-2</v>
      </c>
      <c r="J61" s="272">
        <v>14.633377438028299</v>
      </c>
      <c r="K61" s="272">
        <v>0</v>
      </c>
      <c r="L61" s="272">
        <v>0</v>
      </c>
      <c r="M61" s="272">
        <v>0</v>
      </c>
      <c r="N61" s="272">
        <v>0</v>
      </c>
      <c r="O61" s="272">
        <v>3252.1323150824701</v>
      </c>
      <c r="P61" s="276"/>
    </row>
    <row r="62" spans="1:16" s="240" customFormat="1" ht="12.75" x14ac:dyDescent="0.2">
      <c r="A62" s="224" t="s">
        <v>758</v>
      </c>
      <c r="B62" s="225" t="s">
        <v>772</v>
      </c>
      <c r="C62" s="225"/>
      <c r="D62" s="268"/>
      <c r="E62" s="268"/>
      <c r="F62" s="269">
        <v>15282.707864935101</v>
      </c>
      <c r="G62" s="269">
        <v>0.10771421640000001</v>
      </c>
      <c r="H62" s="269">
        <v>2.6928554099999999</v>
      </c>
      <c r="I62" s="269">
        <v>0</v>
      </c>
      <c r="J62" s="269">
        <v>0</v>
      </c>
      <c r="K62" s="269">
        <v>0</v>
      </c>
      <c r="L62" s="269">
        <v>8033.0569977352097</v>
      </c>
      <c r="M62" s="269">
        <v>3478.7032498681901</v>
      </c>
      <c r="N62" s="269">
        <v>0</v>
      </c>
      <c r="O62" s="269">
        <v>26797.160967948501</v>
      </c>
      <c r="P62" s="268"/>
    </row>
    <row r="63" spans="1:16" s="273" customFormat="1" ht="12" x14ac:dyDescent="0.2">
      <c r="A63" s="235"/>
      <c r="B63" s="230"/>
      <c r="C63" s="230" t="s">
        <v>773</v>
      </c>
      <c r="D63" s="271"/>
      <c r="E63" s="271"/>
      <c r="F63" s="272">
        <v>12135.4230977351</v>
      </c>
      <c r="G63" s="272">
        <v>0.10771421640000001</v>
      </c>
      <c r="H63" s="272">
        <v>2.6928554099999999</v>
      </c>
      <c r="I63" s="272">
        <v>0</v>
      </c>
      <c r="J63" s="272">
        <v>0</v>
      </c>
      <c r="K63" s="272">
        <v>0</v>
      </c>
      <c r="L63" s="272">
        <v>0</v>
      </c>
      <c r="M63" s="272">
        <v>0</v>
      </c>
      <c r="N63" s="272">
        <v>0</v>
      </c>
      <c r="O63" s="272">
        <v>12138.115953145099</v>
      </c>
      <c r="P63" s="271"/>
    </row>
    <row r="64" spans="1:16" s="273" customFormat="1" ht="12" x14ac:dyDescent="0.2">
      <c r="A64" s="235"/>
      <c r="B64" s="230"/>
      <c r="C64" s="230" t="s">
        <v>252</v>
      </c>
      <c r="D64" s="271"/>
      <c r="E64" s="271"/>
      <c r="F64" s="272">
        <v>3147.2847671999998</v>
      </c>
      <c r="G64" s="272">
        <v>0</v>
      </c>
      <c r="H64" s="272">
        <v>0</v>
      </c>
      <c r="I64" s="272">
        <v>0</v>
      </c>
      <c r="J64" s="272">
        <v>0</v>
      </c>
      <c r="K64" s="272">
        <v>0</v>
      </c>
      <c r="L64" s="272">
        <v>8033.0569977352097</v>
      </c>
      <c r="M64" s="272">
        <v>56.3408033472803</v>
      </c>
      <c r="N64" s="272">
        <v>0</v>
      </c>
      <c r="O64" s="272">
        <v>11236.6825682825</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3422.36244652091</v>
      </c>
      <c r="N65" s="272">
        <v>0</v>
      </c>
      <c r="O65" s="272">
        <v>3422.36244652091</v>
      </c>
      <c r="P65" s="271"/>
    </row>
    <row r="66" spans="1:16" s="234" customFormat="1" x14ac:dyDescent="0.25">
      <c r="A66" s="278" t="s">
        <v>764</v>
      </c>
      <c r="B66" s="279" t="s">
        <v>775</v>
      </c>
      <c r="C66" s="279"/>
      <c r="D66" s="251"/>
      <c r="E66" s="251"/>
      <c r="F66" s="252">
        <v>0</v>
      </c>
      <c r="G66" s="252">
        <v>0</v>
      </c>
      <c r="H66" s="252">
        <v>0</v>
      </c>
      <c r="I66" s="252">
        <v>0</v>
      </c>
      <c r="J66" s="252">
        <v>0</v>
      </c>
      <c r="K66" s="252">
        <v>1056.6608000000001</v>
      </c>
      <c r="L66" s="252">
        <v>5.6217577499999997E-2</v>
      </c>
      <c r="M66" s="252">
        <v>4.3776520400255103</v>
      </c>
      <c r="N66" s="252">
        <v>0.31578368666666701</v>
      </c>
      <c r="O66" s="252">
        <v>1061.41045330419</v>
      </c>
      <c r="P66" s="251"/>
    </row>
    <row r="67" spans="1:16" s="234" customFormat="1" ht="12.75" x14ac:dyDescent="0.2">
      <c r="A67" s="278" t="s">
        <v>776</v>
      </c>
      <c r="B67" s="279" t="s">
        <v>777</v>
      </c>
      <c r="C67" s="279"/>
      <c r="D67" s="251"/>
      <c r="E67" s="251"/>
      <c r="F67" s="252">
        <v>4901.1550962184401</v>
      </c>
      <c r="G67" s="252">
        <v>0</v>
      </c>
      <c r="H67" s="252">
        <v>0</v>
      </c>
      <c r="I67" s="252">
        <v>0</v>
      </c>
      <c r="J67" s="252">
        <v>0</v>
      </c>
      <c r="K67" s="252">
        <v>0</v>
      </c>
      <c r="L67" s="252">
        <v>0</v>
      </c>
      <c r="M67" s="252">
        <v>0</v>
      </c>
      <c r="N67" s="252">
        <v>0</v>
      </c>
      <c r="O67" s="252">
        <v>4901.1550962184401</v>
      </c>
      <c r="P67" s="251"/>
    </row>
    <row r="68" spans="1:16" s="234" customFormat="1" ht="12.75" x14ac:dyDescent="0.2">
      <c r="A68" s="259" t="s">
        <v>778</v>
      </c>
      <c r="B68" s="260" t="s">
        <v>779</v>
      </c>
      <c r="C68" s="260"/>
      <c r="D68" s="280"/>
      <c r="E68" s="280"/>
      <c r="F68" s="281">
        <v>0</v>
      </c>
      <c r="G68" s="281">
        <v>0</v>
      </c>
      <c r="H68" s="281">
        <v>0</v>
      </c>
      <c r="I68" s="281">
        <v>0.54819891419047595</v>
      </c>
      <c r="J68" s="281">
        <v>163.36327642876199</v>
      </c>
      <c r="K68" s="281">
        <v>0</v>
      </c>
      <c r="L68" s="281">
        <v>0</v>
      </c>
      <c r="M68" s="281">
        <v>202.16233908586199</v>
      </c>
      <c r="N68" s="281">
        <v>0</v>
      </c>
      <c r="O68" s="281">
        <v>365.52561551462401</v>
      </c>
      <c r="P68" s="251"/>
    </row>
    <row r="69" spans="1:16" s="267" customFormat="1" ht="12.75" x14ac:dyDescent="0.2">
      <c r="A69" s="282" t="s">
        <v>780</v>
      </c>
      <c r="B69" s="283"/>
      <c r="C69" s="283"/>
      <c r="D69" s="284"/>
      <c r="E69" s="284"/>
      <c r="F69" s="285">
        <v>1131.0024000000001</v>
      </c>
      <c r="G69" s="285">
        <v>1077.7657008316301</v>
      </c>
      <c r="H69" s="285">
        <v>26944.1425207908</v>
      </c>
      <c r="I69" s="285">
        <v>68.082967182604506</v>
      </c>
      <c r="J69" s="285">
        <v>20288.724220416101</v>
      </c>
      <c r="K69" s="285">
        <v>0</v>
      </c>
      <c r="L69" s="285">
        <v>0</v>
      </c>
      <c r="M69" s="285">
        <v>0</v>
      </c>
      <c r="N69" s="285">
        <v>0</v>
      </c>
      <c r="O69" s="285">
        <v>48363.869141206902</v>
      </c>
      <c r="P69" s="265"/>
    </row>
    <row r="70" spans="1:16" s="234" customFormat="1" ht="12.75" x14ac:dyDescent="0.2">
      <c r="A70" s="278" t="s">
        <v>724</v>
      </c>
      <c r="B70" s="279" t="s">
        <v>27</v>
      </c>
      <c r="C70" s="279"/>
      <c r="D70" s="251"/>
      <c r="E70" s="251"/>
      <c r="F70" s="252">
        <v>0</v>
      </c>
      <c r="G70" s="252">
        <v>932.49150900895199</v>
      </c>
      <c r="H70" s="252">
        <v>23312.287725223799</v>
      </c>
      <c r="I70" s="252">
        <v>0</v>
      </c>
      <c r="J70" s="252">
        <v>0</v>
      </c>
      <c r="K70" s="252">
        <v>0</v>
      </c>
      <c r="L70" s="252">
        <v>0</v>
      </c>
      <c r="M70" s="252">
        <v>0</v>
      </c>
      <c r="N70" s="252">
        <v>0</v>
      </c>
      <c r="O70" s="252">
        <v>23312.287725223799</v>
      </c>
      <c r="P70" s="251"/>
    </row>
    <row r="71" spans="1:16" s="234" customFormat="1" ht="12.75" x14ac:dyDescent="0.2">
      <c r="A71" s="278" t="s">
        <v>737</v>
      </c>
      <c r="B71" s="279" t="s">
        <v>28</v>
      </c>
      <c r="C71" s="279"/>
      <c r="D71" s="251"/>
      <c r="E71" s="251"/>
      <c r="F71" s="252">
        <v>0</v>
      </c>
      <c r="G71" s="252">
        <v>139.460282141249</v>
      </c>
      <c r="H71" s="252">
        <v>3486.5070535312302</v>
      </c>
      <c r="I71" s="252">
        <v>13.8375627871088</v>
      </c>
      <c r="J71" s="252">
        <v>4123.5937105584098</v>
      </c>
      <c r="K71" s="252">
        <v>0</v>
      </c>
      <c r="L71" s="252">
        <v>0</v>
      </c>
      <c r="M71" s="252">
        <v>0</v>
      </c>
      <c r="N71" s="252">
        <v>0</v>
      </c>
      <c r="O71" s="252">
        <v>7610.1007640896396</v>
      </c>
      <c r="P71" s="251"/>
    </row>
    <row r="72" spans="1:16" s="234" customFormat="1" ht="12.75" x14ac:dyDescent="0.2">
      <c r="A72" s="224" t="s">
        <v>758</v>
      </c>
      <c r="B72" s="225" t="s">
        <v>781</v>
      </c>
      <c r="C72" s="225"/>
      <c r="F72" s="231">
        <v>0</v>
      </c>
      <c r="G72" s="231">
        <v>0</v>
      </c>
      <c r="H72" s="231">
        <v>0</v>
      </c>
      <c r="I72" s="231">
        <v>54.094673403754904</v>
      </c>
      <c r="J72" s="231">
        <v>16120.212674319</v>
      </c>
      <c r="K72" s="231">
        <v>0</v>
      </c>
      <c r="L72" s="231">
        <v>0</v>
      </c>
      <c r="M72" s="231">
        <v>0</v>
      </c>
      <c r="N72" s="231">
        <v>0</v>
      </c>
      <c r="O72" s="231">
        <v>16120.212674319</v>
      </c>
    </row>
    <row r="73" spans="1:16" s="237" customFormat="1" ht="12" x14ac:dyDescent="0.2">
      <c r="A73" s="286"/>
      <c r="B73" s="258"/>
      <c r="C73" s="258" t="s">
        <v>782</v>
      </c>
      <c r="D73" s="243"/>
      <c r="E73" s="243"/>
      <c r="F73" s="244">
        <v>0</v>
      </c>
      <c r="G73" s="244">
        <v>0</v>
      </c>
      <c r="H73" s="244">
        <v>0</v>
      </c>
      <c r="I73" s="244">
        <v>45.214521393872801</v>
      </c>
      <c r="J73" s="244">
        <v>13473.9273753741</v>
      </c>
      <c r="K73" s="244">
        <v>0</v>
      </c>
      <c r="L73" s="244">
        <v>0</v>
      </c>
      <c r="M73" s="244">
        <v>0</v>
      </c>
      <c r="N73" s="244">
        <v>0</v>
      </c>
      <c r="O73" s="244">
        <v>13473.9273753741</v>
      </c>
    </row>
    <row r="74" spans="1:16" s="237" customFormat="1" ht="12" x14ac:dyDescent="0.2">
      <c r="A74" s="286"/>
      <c r="B74" s="258"/>
      <c r="C74" s="258" t="s">
        <v>783</v>
      </c>
      <c r="D74" s="243"/>
      <c r="E74" s="243"/>
      <c r="F74" s="244">
        <v>0</v>
      </c>
      <c r="G74" s="244">
        <v>0</v>
      </c>
      <c r="H74" s="244">
        <v>0</v>
      </c>
      <c r="I74" s="244">
        <v>8.8801520098820692</v>
      </c>
      <c r="J74" s="244">
        <v>2646.2852989448602</v>
      </c>
      <c r="K74" s="244">
        <v>0</v>
      </c>
      <c r="L74" s="244">
        <v>0</v>
      </c>
      <c r="M74" s="244">
        <v>0</v>
      </c>
      <c r="N74" s="244">
        <v>0</v>
      </c>
      <c r="O74" s="244">
        <v>2646.2852989448602</v>
      </c>
    </row>
    <row r="75" spans="1:16" s="234" customFormat="1" ht="12.75" x14ac:dyDescent="0.2">
      <c r="A75" s="278" t="s">
        <v>764</v>
      </c>
      <c r="B75" s="279" t="s">
        <v>193</v>
      </c>
      <c r="C75" s="287"/>
      <c r="D75" s="251"/>
      <c r="E75" s="251"/>
      <c r="F75" s="252">
        <v>0</v>
      </c>
      <c r="G75" s="252">
        <v>5.8139096814311602</v>
      </c>
      <c r="H75" s="252">
        <v>145.34774203577899</v>
      </c>
      <c r="I75" s="252">
        <v>0.15073099174080801</v>
      </c>
      <c r="J75" s="252">
        <v>44.917835538760698</v>
      </c>
      <c r="K75" s="252">
        <v>0</v>
      </c>
      <c r="L75" s="252">
        <v>0</v>
      </c>
      <c r="M75" s="252">
        <v>0</v>
      </c>
      <c r="N75" s="252">
        <v>0</v>
      </c>
      <c r="O75" s="252">
        <v>190.26557757454</v>
      </c>
    </row>
    <row r="76" spans="1:16" s="234" customFormat="1" ht="12.75" x14ac:dyDescent="0.2">
      <c r="A76" s="259" t="s">
        <v>776</v>
      </c>
      <c r="B76" s="260" t="s">
        <v>784</v>
      </c>
      <c r="C76" s="288"/>
      <c r="D76" s="280"/>
      <c r="E76" s="280"/>
      <c r="F76" s="281">
        <v>1131.0024000000001</v>
      </c>
      <c r="G76" s="281">
        <v>0</v>
      </c>
      <c r="H76" s="281">
        <v>0</v>
      </c>
      <c r="I76" s="281">
        <v>0</v>
      </c>
      <c r="J76" s="281">
        <v>0</v>
      </c>
      <c r="K76" s="281">
        <v>0</v>
      </c>
      <c r="L76" s="281">
        <v>0</v>
      </c>
      <c r="M76" s="281">
        <v>0</v>
      </c>
      <c r="N76" s="281">
        <v>0</v>
      </c>
      <c r="O76" s="281">
        <v>1131.0024000000001</v>
      </c>
    </row>
    <row r="77" spans="1:16" s="234" customFormat="1" ht="12.75" x14ac:dyDescent="0.2">
      <c r="A77" s="220" t="s">
        <v>785</v>
      </c>
      <c r="B77" s="289"/>
      <c r="C77" s="289"/>
      <c r="F77" s="223">
        <v>510.49802113999999</v>
      </c>
      <c r="G77" s="223">
        <v>909.43154606999997</v>
      </c>
      <c r="H77" s="223">
        <v>22735.788651750001</v>
      </c>
      <c r="I77" s="223">
        <v>3.5104176699999998</v>
      </c>
      <c r="J77" s="223">
        <v>1046.10446566</v>
      </c>
      <c r="K77" s="223">
        <v>0</v>
      </c>
      <c r="L77" s="223">
        <v>0</v>
      </c>
      <c r="M77" s="223">
        <v>0</v>
      </c>
      <c r="N77" s="223">
        <v>0</v>
      </c>
      <c r="O77" s="223">
        <v>24292.39113855</v>
      </c>
    </row>
    <row r="78" spans="1:16" s="234" customFormat="1" ht="12.75" x14ac:dyDescent="0.2">
      <c r="A78" s="224" t="s">
        <v>724</v>
      </c>
      <c r="B78" s="225" t="s">
        <v>786</v>
      </c>
      <c r="C78" s="225"/>
      <c r="F78" s="231">
        <v>0</v>
      </c>
      <c r="G78" s="231">
        <v>873.74660255000003</v>
      </c>
      <c r="H78" s="231">
        <v>21843.665063749999</v>
      </c>
      <c r="I78" s="231">
        <v>0</v>
      </c>
      <c r="J78" s="231">
        <v>0</v>
      </c>
      <c r="K78" s="231">
        <v>0</v>
      </c>
      <c r="L78" s="231">
        <v>0</v>
      </c>
      <c r="M78" s="231">
        <v>0</v>
      </c>
      <c r="N78" s="231">
        <v>0</v>
      </c>
      <c r="O78" s="231">
        <v>21843.665063749999</v>
      </c>
    </row>
    <row r="79" spans="1:16" s="234" customFormat="1" ht="12.75" x14ac:dyDescent="0.2">
      <c r="A79" s="224" t="s">
        <v>737</v>
      </c>
      <c r="B79" s="225" t="s">
        <v>787</v>
      </c>
      <c r="C79" s="225"/>
      <c r="F79" s="231">
        <v>0</v>
      </c>
      <c r="G79" s="231">
        <v>17.69956114</v>
      </c>
      <c r="H79" s="231">
        <v>442.48902850000002</v>
      </c>
      <c r="I79" s="231">
        <v>1.06197367</v>
      </c>
      <c r="J79" s="231">
        <v>316.46815365999998</v>
      </c>
      <c r="K79" s="231">
        <v>0</v>
      </c>
      <c r="L79" s="231">
        <v>0</v>
      </c>
      <c r="M79" s="231">
        <v>0</v>
      </c>
      <c r="N79" s="231">
        <v>0</v>
      </c>
      <c r="O79" s="231">
        <v>758.95718216</v>
      </c>
    </row>
    <row r="80" spans="1:16" s="234" customFormat="1" ht="12.75" x14ac:dyDescent="0.2">
      <c r="A80" s="278" t="s">
        <v>788</v>
      </c>
      <c r="B80" s="279" t="s">
        <v>789</v>
      </c>
      <c r="C80" s="279"/>
      <c r="D80" s="251"/>
      <c r="E80" s="251"/>
      <c r="F80" s="252">
        <v>0</v>
      </c>
      <c r="G80" s="252">
        <v>15.211590230000001</v>
      </c>
      <c r="H80" s="252">
        <v>380.28975574999998</v>
      </c>
      <c r="I80" s="252">
        <v>1.70221073</v>
      </c>
      <c r="J80" s="252">
        <v>507.25879753999999</v>
      </c>
      <c r="K80" s="252">
        <v>0</v>
      </c>
      <c r="L80" s="252">
        <v>0</v>
      </c>
      <c r="M80" s="252">
        <v>0</v>
      </c>
      <c r="N80" s="252">
        <v>0</v>
      </c>
      <c r="O80" s="252">
        <v>887.54855328999997</v>
      </c>
    </row>
    <row r="81" spans="1:36" s="234" customFormat="1" ht="12.75" x14ac:dyDescent="0.2">
      <c r="A81" s="259" t="s">
        <v>764</v>
      </c>
      <c r="B81" s="260" t="s">
        <v>790</v>
      </c>
      <c r="C81" s="260"/>
      <c r="D81" s="280"/>
      <c r="E81" s="280"/>
      <c r="F81" s="281">
        <v>510.49802113999999</v>
      </c>
      <c r="G81" s="281">
        <v>2.7737921499999998</v>
      </c>
      <c r="H81" s="281">
        <v>69.344803749999997</v>
      </c>
      <c r="I81" s="281">
        <v>0.74623326999999995</v>
      </c>
      <c r="J81" s="281">
        <v>222.37751445999999</v>
      </c>
      <c r="K81" s="281">
        <v>0</v>
      </c>
      <c r="L81" s="281">
        <v>0</v>
      </c>
      <c r="M81" s="281">
        <v>0</v>
      </c>
      <c r="N81" s="281">
        <v>0</v>
      </c>
      <c r="O81" s="281">
        <v>802.22033935000002</v>
      </c>
    </row>
    <row r="82" spans="1:36" s="267" customFormat="1" ht="12.75" x14ac:dyDescent="0.2">
      <c r="A82" s="263" t="s">
        <v>791</v>
      </c>
      <c r="B82" s="264"/>
      <c r="C82" s="264"/>
      <c r="F82" s="223">
        <v>-98602.547200999994</v>
      </c>
      <c r="G82" s="223">
        <v>72.577217000000005</v>
      </c>
      <c r="H82" s="223">
        <v>1814.430425</v>
      </c>
      <c r="I82" s="223">
        <v>2.6048909999999998</v>
      </c>
      <c r="J82" s="223">
        <v>776.257518</v>
      </c>
      <c r="K82" s="223">
        <v>0</v>
      </c>
      <c r="L82" s="223">
        <v>0</v>
      </c>
      <c r="M82" s="223">
        <v>0</v>
      </c>
      <c r="N82" s="223">
        <v>0</v>
      </c>
      <c r="O82" s="223">
        <v>-96011.859257999997</v>
      </c>
    </row>
    <row r="83" spans="1:36" s="234" customFormat="1" ht="12.75" x14ac:dyDescent="0.2">
      <c r="A83" s="224" t="s">
        <v>724</v>
      </c>
      <c r="B83" s="225" t="s">
        <v>792</v>
      </c>
      <c r="C83" s="225"/>
      <c r="F83" s="231">
        <v>-249892.93863399999</v>
      </c>
      <c r="G83" s="231">
        <v>31.369053000000001</v>
      </c>
      <c r="H83" s="231">
        <v>784.22632499999997</v>
      </c>
      <c r="I83" s="231">
        <v>1.237654</v>
      </c>
      <c r="J83" s="231">
        <v>368.82089200000001</v>
      </c>
      <c r="K83" s="231">
        <v>0</v>
      </c>
      <c r="L83" s="231">
        <v>0</v>
      </c>
      <c r="M83" s="231">
        <v>0</v>
      </c>
      <c r="N83" s="231">
        <v>0</v>
      </c>
      <c r="O83" s="231">
        <v>-248739.89141700001</v>
      </c>
    </row>
    <row r="84" spans="1:36" s="234" customFormat="1" ht="12.75" x14ac:dyDescent="0.2">
      <c r="A84" s="224" t="s">
        <v>737</v>
      </c>
      <c r="B84" s="225" t="s">
        <v>793</v>
      </c>
      <c r="C84" s="225"/>
      <c r="F84" s="231">
        <v>7181.805824</v>
      </c>
      <c r="G84" s="231">
        <v>10.902817000000001</v>
      </c>
      <c r="H84" s="231">
        <v>272.570425</v>
      </c>
      <c r="I84" s="231">
        <v>0.52577200000000002</v>
      </c>
      <c r="J84" s="231">
        <v>156.68005600000001</v>
      </c>
      <c r="K84" s="231">
        <v>0</v>
      </c>
      <c r="L84" s="231">
        <v>0</v>
      </c>
      <c r="M84" s="231">
        <v>0</v>
      </c>
      <c r="N84" s="231">
        <v>0</v>
      </c>
      <c r="O84" s="231">
        <v>7611.0563050000001</v>
      </c>
    </row>
    <row r="85" spans="1:36" s="234" customFormat="1" ht="12.75" x14ac:dyDescent="0.2">
      <c r="A85" s="278" t="s">
        <v>758</v>
      </c>
      <c r="B85" s="279" t="s">
        <v>794</v>
      </c>
      <c r="C85" s="279"/>
      <c r="F85" s="231">
        <v>0</v>
      </c>
      <c r="G85" s="231">
        <v>24.62049</v>
      </c>
      <c r="H85" s="231">
        <v>615.51224999999999</v>
      </c>
      <c r="I85" s="231">
        <v>0.63829999999999998</v>
      </c>
      <c r="J85" s="231">
        <v>190.21340000000001</v>
      </c>
      <c r="K85" s="231">
        <v>0</v>
      </c>
      <c r="L85" s="231">
        <v>0</v>
      </c>
      <c r="M85" s="231">
        <v>0</v>
      </c>
      <c r="N85" s="231">
        <v>0</v>
      </c>
      <c r="O85" s="231">
        <v>805.72564999999997</v>
      </c>
    </row>
    <row r="86" spans="1:36" s="234" customFormat="1" ht="12.75" x14ac:dyDescent="0.2">
      <c r="A86" s="278" t="s">
        <v>764</v>
      </c>
      <c r="B86" s="279" t="s">
        <v>795</v>
      </c>
      <c r="C86" s="279"/>
      <c r="F86" s="231">
        <v>4768.5402560000002</v>
      </c>
      <c r="G86" s="231">
        <v>0.816276</v>
      </c>
      <c r="H86" s="231">
        <v>20.4069</v>
      </c>
      <c r="I86" s="231">
        <v>3.9321000000000002E-2</v>
      </c>
      <c r="J86" s="231">
        <v>11.717658</v>
      </c>
      <c r="K86" s="231">
        <v>0</v>
      </c>
      <c r="L86" s="231">
        <v>0</v>
      </c>
      <c r="M86" s="231">
        <v>0</v>
      </c>
      <c r="N86" s="231">
        <v>0</v>
      </c>
      <c r="O86" s="231">
        <v>4800.6648139999998</v>
      </c>
    </row>
    <row r="87" spans="1:36" s="234" customFormat="1" ht="12.75" x14ac:dyDescent="0.2">
      <c r="A87" s="278" t="s">
        <v>776</v>
      </c>
      <c r="B87" s="279" t="s">
        <v>796</v>
      </c>
      <c r="C87" s="279"/>
      <c r="D87" s="251"/>
      <c r="E87" s="251"/>
      <c r="F87" s="252">
        <v>3822.7366240000001</v>
      </c>
      <c r="G87" s="252">
        <v>4.8685809999999998</v>
      </c>
      <c r="H87" s="252">
        <v>121.71452499999999</v>
      </c>
      <c r="I87" s="252">
        <v>0.16384399999999999</v>
      </c>
      <c r="J87" s="252">
        <v>48.825512000000003</v>
      </c>
      <c r="K87" s="252">
        <v>0</v>
      </c>
      <c r="L87" s="252">
        <v>0</v>
      </c>
      <c r="M87" s="252">
        <v>0</v>
      </c>
      <c r="N87" s="252">
        <v>0</v>
      </c>
      <c r="O87" s="252">
        <v>3993.2766609999999</v>
      </c>
    </row>
    <row r="88" spans="1:36" s="234" customFormat="1" ht="12.75" x14ac:dyDescent="0.2">
      <c r="A88" s="259" t="s">
        <v>778</v>
      </c>
      <c r="B88" s="260" t="s">
        <v>797</v>
      </c>
      <c r="C88" s="260"/>
      <c r="D88" s="280"/>
      <c r="E88" s="280"/>
      <c r="F88" s="281">
        <v>135517.30872900001</v>
      </c>
      <c r="G88" s="281">
        <v>0</v>
      </c>
      <c r="H88" s="281">
        <v>0</v>
      </c>
      <c r="I88" s="281">
        <v>0</v>
      </c>
      <c r="J88" s="281">
        <v>0</v>
      </c>
      <c r="K88" s="281">
        <v>0</v>
      </c>
      <c r="L88" s="281">
        <v>0</v>
      </c>
      <c r="M88" s="281">
        <v>0</v>
      </c>
      <c r="N88" s="281">
        <v>0</v>
      </c>
      <c r="O88" s="281">
        <v>135517.30872900001</v>
      </c>
      <c r="P88" s="251"/>
      <c r="Q88" s="251"/>
      <c r="R88" s="251"/>
      <c r="S88" s="251"/>
      <c r="T88" s="251"/>
      <c r="U88" s="251"/>
      <c r="V88" s="251"/>
      <c r="W88" s="251"/>
      <c r="X88" s="251"/>
      <c r="Y88" s="251"/>
      <c r="Z88" s="251"/>
      <c r="AA88" s="251"/>
      <c r="AB88" s="251"/>
      <c r="AC88" s="251"/>
      <c r="AD88" s="251"/>
    </row>
    <row r="89" spans="1:36"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row>
    <row r="90" spans="1:36" x14ac:dyDescent="0.2">
      <c r="A90" s="234" t="s">
        <v>256</v>
      </c>
      <c r="B90" s="292"/>
      <c r="C90" s="292"/>
      <c r="D90" s="292"/>
      <c r="E90" s="292"/>
      <c r="F90" s="292"/>
      <c r="G90" s="292"/>
      <c r="H90" s="292"/>
      <c r="I90" s="292"/>
      <c r="J90" s="292"/>
      <c r="K90" s="292"/>
      <c r="L90" s="292"/>
      <c r="M90" s="292"/>
      <c r="N90" s="292"/>
      <c r="O90" s="292"/>
    </row>
    <row r="91" spans="1:36" s="234" customFormat="1" ht="12.75" x14ac:dyDescent="0.2">
      <c r="A91" s="234" t="s">
        <v>798</v>
      </c>
      <c r="J91" s="293"/>
      <c r="O91" s="293"/>
    </row>
    <row r="92" spans="1:36" s="234" customFormat="1" ht="12.75" x14ac:dyDescent="0.2">
      <c r="A92" s="234" t="s">
        <v>799</v>
      </c>
      <c r="J92" s="293"/>
      <c r="O92" s="293"/>
    </row>
    <row r="93" spans="1:36" s="234" customFormat="1" ht="15.75" x14ac:dyDescent="0.3">
      <c r="A93" s="234" t="s">
        <v>800</v>
      </c>
      <c r="J93" s="293"/>
      <c r="O93" s="293"/>
    </row>
    <row r="94" spans="1:36" s="234" customFormat="1" ht="12.75" x14ac:dyDescent="0.2">
      <c r="A94" s="234" t="s">
        <v>801</v>
      </c>
      <c r="J94" s="293"/>
      <c r="O94" s="293"/>
    </row>
    <row r="95" spans="1:36" s="234" customFormat="1" ht="12.75" x14ac:dyDescent="0.2">
      <c r="A95" s="234" t="s">
        <v>802</v>
      </c>
      <c r="B95" s="234" t="s">
        <v>803</v>
      </c>
      <c r="J95" s="293"/>
      <c r="O95" s="293"/>
    </row>
    <row r="96" spans="1:36"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X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defaultColWidth="9.140625" defaultRowHeight="15" x14ac:dyDescent="0.2"/>
  <cols>
    <col min="1" max="1" width="4.42578125" style="222" customWidth="1"/>
    <col min="2" max="2" width="3.28515625" style="222" customWidth="1"/>
    <col min="3" max="3" width="52.42578125" style="222" customWidth="1"/>
    <col min="4" max="5" width="3.28515625" style="222" customWidth="1"/>
    <col min="6" max="9" width="16.42578125" style="222" customWidth="1"/>
    <col min="10" max="10" width="16.42578125" style="297" customWidth="1"/>
    <col min="11" max="14" width="16.42578125" style="222" customWidth="1"/>
    <col min="15" max="15" width="16.42578125" style="297" customWidth="1"/>
    <col min="16" max="16384" width="9.140625" style="222"/>
  </cols>
  <sheetData>
    <row r="1" spans="1:16" s="187" customFormat="1" x14ac:dyDescent="0.25">
      <c r="A1" s="185" t="s">
        <v>834</v>
      </c>
      <c r="B1" s="185"/>
      <c r="C1" s="185"/>
      <c r="D1" s="185"/>
      <c r="E1" s="185"/>
      <c r="F1" s="185"/>
      <c r="G1" s="185"/>
      <c r="H1" s="185"/>
      <c r="I1" s="185"/>
      <c r="J1" s="186"/>
      <c r="K1" s="185"/>
      <c r="L1" s="185"/>
      <c r="M1" s="185"/>
      <c r="N1" s="185"/>
      <c r="O1" s="186"/>
    </row>
    <row r="2" spans="1:16" s="187" customFormat="1" ht="14.25" x14ac:dyDescent="0.2">
      <c r="A2" s="188"/>
      <c r="B2" s="188"/>
      <c r="C2" s="188"/>
      <c r="D2" s="188"/>
      <c r="E2" s="188"/>
      <c r="F2" s="188"/>
      <c r="G2" s="188"/>
      <c r="H2" s="188"/>
      <c r="I2" s="188"/>
      <c r="J2" s="189"/>
      <c r="K2" s="188"/>
      <c r="L2" s="188"/>
      <c r="M2" s="188"/>
      <c r="N2" s="188"/>
      <c r="O2" s="189"/>
    </row>
    <row r="3" spans="1:16" s="187" customFormat="1" x14ac:dyDescent="0.25">
      <c r="A3" s="188"/>
      <c r="B3" s="188"/>
      <c r="C3" s="188"/>
      <c r="D3" s="188"/>
      <c r="E3" s="188"/>
      <c r="F3" s="190" t="s">
        <v>711</v>
      </c>
      <c r="G3" s="191"/>
      <c r="H3" s="191"/>
      <c r="I3" s="191"/>
      <c r="J3" s="192"/>
      <c r="K3" s="191"/>
      <c r="L3" s="191"/>
      <c r="M3" s="191"/>
      <c r="N3" s="191"/>
      <c r="O3" s="192"/>
    </row>
    <row r="4" spans="1:16" s="187" customFormat="1" ht="14.25" x14ac:dyDescent="0.2">
      <c r="A4" s="188"/>
      <c r="B4" s="188"/>
      <c r="C4" s="188"/>
      <c r="D4" s="188"/>
      <c r="E4" s="188"/>
      <c r="F4" s="193" t="s">
        <v>712</v>
      </c>
      <c r="G4" s="194" t="s">
        <v>713</v>
      </c>
      <c r="H4" s="194" t="s">
        <v>713</v>
      </c>
      <c r="I4" s="194" t="s">
        <v>714</v>
      </c>
      <c r="J4" s="194" t="s">
        <v>714</v>
      </c>
      <c r="K4" s="195" t="s">
        <v>196</v>
      </c>
      <c r="L4" s="195" t="s">
        <v>197</v>
      </c>
      <c r="M4" s="194" t="s">
        <v>715</v>
      </c>
      <c r="N4" s="196" t="s">
        <v>716</v>
      </c>
      <c r="O4" s="197" t="s">
        <v>717</v>
      </c>
    </row>
    <row r="5" spans="1:16" s="199" customFormat="1" x14ac:dyDescent="0.2">
      <c r="A5" s="198" t="s">
        <v>718</v>
      </c>
      <c r="B5" s="198"/>
      <c r="E5" s="200" t="s">
        <v>719</v>
      </c>
      <c r="F5" s="201"/>
      <c r="G5" s="202"/>
      <c r="H5" s="203">
        <v>25</v>
      </c>
      <c r="I5" s="204"/>
      <c r="J5" s="203">
        <v>298</v>
      </c>
      <c r="K5" s="205"/>
      <c r="L5" s="205"/>
      <c r="M5" s="206">
        <v>22800</v>
      </c>
      <c r="N5" s="206">
        <v>17200</v>
      </c>
      <c r="O5" s="207"/>
    </row>
    <row r="6" spans="1:16" s="208" customFormat="1" ht="14.25" customHeight="1" x14ac:dyDescent="0.2">
      <c r="C6" s="209"/>
      <c r="D6" s="209"/>
      <c r="E6" s="210" t="s">
        <v>436</v>
      </c>
      <c r="F6" s="211" t="s">
        <v>720</v>
      </c>
      <c r="G6" s="211" t="s">
        <v>720</v>
      </c>
      <c r="H6" s="212" t="s">
        <v>721</v>
      </c>
      <c r="I6" s="213" t="s">
        <v>720</v>
      </c>
      <c r="J6" s="212" t="s">
        <v>721</v>
      </c>
      <c r="K6" s="212" t="s">
        <v>721</v>
      </c>
      <c r="L6" s="212" t="s">
        <v>721</v>
      </c>
      <c r="M6" s="212" t="s">
        <v>721</v>
      </c>
      <c r="N6" s="212" t="s">
        <v>721</v>
      </c>
      <c r="O6" s="212" t="s">
        <v>721</v>
      </c>
    </row>
    <row r="7" spans="1:16" s="219" customFormat="1" ht="18" thickBot="1" x14ac:dyDescent="0.3">
      <c r="A7" s="214" t="s">
        <v>722</v>
      </c>
      <c r="B7" s="215"/>
      <c r="C7" s="216"/>
      <c r="D7" s="217"/>
      <c r="E7" s="217"/>
      <c r="F7" s="218">
        <v>463496.83929374698</v>
      </c>
      <c r="G7" s="218">
        <v>3741.28225637371</v>
      </c>
      <c r="H7" s="218">
        <v>93532.056409342695</v>
      </c>
      <c r="I7" s="218">
        <v>141.643254070924</v>
      </c>
      <c r="J7" s="218">
        <v>42209.6897131355</v>
      </c>
      <c r="K7" s="218">
        <v>970.54019200000005</v>
      </c>
      <c r="L7" s="218">
        <v>7557.9018593486799</v>
      </c>
      <c r="M7" s="218">
        <v>3225.92610471539</v>
      </c>
      <c r="N7" s="218">
        <v>0.324454149333333</v>
      </c>
      <c r="O7" s="218">
        <v>610993.27802643797</v>
      </c>
    </row>
    <row r="8" spans="1:16" ht="15.75" thickTop="1" x14ac:dyDescent="0.2">
      <c r="A8" s="220" t="s">
        <v>723</v>
      </c>
      <c r="B8" s="221"/>
      <c r="C8" s="221"/>
      <c r="F8" s="223">
        <v>429260.83732805902</v>
      </c>
      <c r="G8" s="223">
        <v>1781.7687527201499</v>
      </c>
      <c r="H8" s="223">
        <v>44544.218818003697</v>
      </c>
      <c r="I8" s="223">
        <v>29.874665811396302</v>
      </c>
      <c r="J8" s="223">
        <v>8902.6504117961103</v>
      </c>
      <c r="K8" s="223">
        <v>0</v>
      </c>
      <c r="L8" s="223">
        <v>0</v>
      </c>
      <c r="M8" s="223">
        <v>0</v>
      </c>
      <c r="N8" s="223">
        <v>0</v>
      </c>
      <c r="O8" s="223">
        <v>482707.70655785903</v>
      </c>
    </row>
    <row r="9" spans="1:16" x14ac:dyDescent="0.2">
      <c r="A9" s="224" t="s">
        <v>724</v>
      </c>
      <c r="B9" s="225" t="s">
        <v>725</v>
      </c>
      <c r="C9" s="225"/>
      <c r="F9" s="226">
        <v>276659.68223192502</v>
      </c>
      <c r="G9" s="226">
        <v>264.60712895322399</v>
      </c>
      <c r="H9" s="226">
        <v>6615.1782238306096</v>
      </c>
      <c r="I9" s="226">
        <v>7.7365580678932799</v>
      </c>
      <c r="J9" s="226">
        <v>2305.4943042322002</v>
      </c>
      <c r="K9" s="226">
        <v>0</v>
      </c>
      <c r="L9" s="226">
        <v>0</v>
      </c>
      <c r="M9" s="226">
        <v>0</v>
      </c>
      <c r="N9" s="226">
        <v>0</v>
      </c>
      <c r="O9" s="226">
        <v>285580.35475998803</v>
      </c>
      <c r="P9" s="227"/>
    </row>
    <row r="10" spans="1:16" x14ac:dyDescent="0.2">
      <c r="A10" s="228"/>
      <c r="B10" s="229" t="s">
        <v>726</v>
      </c>
      <c r="C10" s="230"/>
      <c r="F10" s="231">
        <v>93720.155249455303</v>
      </c>
      <c r="G10" s="231">
        <v>1.78297541928694</v>
      </c>
      <c r="H10" s="231">
        <v>44.574385482173497</v>
      </c>
      <c r="I10" s="231">
        <v>1.7290720741215999</v>
      </c>
      <c r="J10" s="231">
        <v>515.26347808823698</v>
      </c>
      <c r="K10" s="231">
        <v>0</v>
      </c>
      <c r="L10" s="231">
        <v>0</v>
      </c>
      <c r="M10" s="231">
        <v>0</v>
      </c>
      <c r="N10" s="231">
        <v>0</v>
      </c>
      <c r="O10" s="231">
        <v>94279.993113025703</v>
      </c>
    </row>
    <row r="11" spans="1:16" x14ac:dyDescent="0.2">
      <c r="A11" s="228"/>
      <c r="B11" s="232" t="s">
        <v>727</v>
      </c>
      <c r="C11" s="230"/>
      <c r="F11" s="231">
        <v>17300.513341252401</v>
      </c>
      <c r="G11" s="231">
        <v>0.429143355721812</v>
      </c>
      <c r="H11" s="231">
        <v>10.7285838930453</v>
      </c>
      <c r="I11" s="231">
        <v>0.17466016869068801</v>
      </c>
      <c r="J11" s="231">
        <v>52.048730269825199</v>
      </c>
      <c r="K11" s="231">
        <v>0</v>
      </c>
      <c r="L11" s="231">
        <v>0</v>
      </c>
      <c r="M11" s="231">
        <v>0</v>
      </c>
      <c r="N11" s="231">
        <v>0</v>
      </c>
      <c r="O11" s="231">
        <v>17363.290655415301</v>
      </c>
    </row>
    <row r="12" spans="1:16" s="234" customFormat="1" ht="12.75" x14ac:dyDescent="0.2">
      <c r="A12" s="228"/>
      <c r="B12" s="232" t="s">
        <v>728</v>
      </c>
      <c r="C12" s="233"/>
      <c r="F12" s="231">
        <v>38933.955543398297</v>
      </c>
      <c r="G12" s="231">
        <v>74.376646733643</v>
      </c>
      <c r="H12" s="231">
        <v>1859.41616834108</v>
      </c>
      <c r="I12" s="231">
        <v>0.91646886079717704</v>
      </c>
      <c r="J12" s="231">
        <v>273.10772051755902</v>
      </c>
      <c r="K12" s="231">
        <v>0</v>
      </c>
      <c r="L12" s="231">
        <v>0</v>
      </c>
      <c r="M12" s="231">
        <v>0</v>
      </c>
      <c r="N12" s="231">
        <v>0</v>
      </c>
      <c r="O12" s="231">
        <v>41066.479432257001</v>
      </c>
    </row>
    <row r="13" spans="1:16" s="234" customFormat="1" ht="12.75" x14ac:dyDescent="0.2">
      <c r="A13" s="228"/>
      <c r="B13" s="229" t="s">
        <v>729</v>
      </c>
      <c r="C13" s="229"/>
      <c r="F13" s="231">
        <v>55637.036411590801</v>
      </c>
      <c r="G13" s="231">
        <v>2.2275201819897799</v>
      </c>
      <c r="H13" s="231">
        <v>55.688004549744598</v>
      </c>
      <c r="I13" s="231">
        <v>1.73411403591007</v>
      </c>
      <c r="J13" s="231">
        <v>516.76598270120098</v>
      </c>
      <c r="K13" s="231">
        <v>0</v>
      </c>
      <c r="L13" s="231">
        <v>0</v>
      </c>
      <c r="M13" s="231">
        <v>0</v>
      </c>
      <c r="N13" s="231">
        <v>0</v>
      </c>
      <c r="O13" s="231">
        <v>56209.490398841699</v>
      </c>
    </row>
    <row r="14" spans="1:16" s="237" customFormat="1" ht="12" x14ac:dyDescent="0.2">
      <c r="A14" s="235"/>
      <c r="B14" s="230"/>
      <c r="C14" s="236" t="s">
        <v>2</v>
      </c>
      <c r="F14" s="238">
        <v>4904.6932205770299</v>
      </c>
      <c r="G14" s="238">
        <v>0.15236518627746601</v>
      </c>
      <c r="H14" s="238">
        <v>3.80912965693665</v>
      </c>
      <c r="I14" s="238">
        <v>0.12726494524163701</v>
      </c>
      <c r="J14" s="238">
        <v>37.924953682007803</v>
      </c>
      <c r="K14" s="238">
        <v>0</v>
      </c>
      <c r="L14" s="238">
        <v>0</v>
      </c>
      <c r="M14" s="238">
        <v>0</v>
      </c>
      <c r="N14" s="238">
        <v>0</v>
      </c>
      <c r="O14" s="238">
        <v>4946.4273039159798</v>
      </c>
    </row>
    <row r="15" spans="1:16" s="237" customFormat="1" ht="12" x14ac:dyDescent="0.2">
      <c r="A15" s="235"/>
      <c r="B15" s="230"/>
      <c r="C15" s="236" t="s">
        <v>730</v>
      </c>
      <c r="F15" s="238">
        <v>3295.32018432623</v>
      </c>
      <c r="G15" s="238">
        <v>6.89075138755358E-2</v>
      </c>
      <c r="H15" s="238">
        <v>1.7226878468883999</v>
      </c>
      <c r="I15" s="238">
        <v>4.6361580638675799E-2</v>
      </c>
      <c r="J15" s="238">
        <v>13.8157510303254</v>
      </c>
      <c r="K15" s="238">
        <v>0</v>
      </c>
      <c r="L15" s="238">
        <v>0</v>
      </c>
      <c r="M15" s="238">
        <v>0</v>
      </c>
      <c r="N15" s="238">
        <v>0</v>
      </c>
      <c r="O15" s="238">
        <v>3310.85862320345</v>
      </c>
    </row>
    <row r="16" spans="1:16" s="237" customFormat="1" ht="12" x14ac:dyDescent="0.2">
      <c r="A16" s="235"/>
      <c r="B16" s="230"/>
      <c r="C16" s="236" t="s">
        <v>731</v>
      </c>
      <c r="F16" s="238">
        <v>8216.7560893289901</v>
      </c>
      <c r="G16" s="238">
        <v>0.165958126456415</v>
      </c>
      <c r="H16" s="238">
        <v>4.1489531614103701</v>
      </c>
      <c r="I16" s="238">
        <v>0.14228915959907401</v>
      </c>
      <c r="J16" s="238">
        <v>42.402169560524001</v>
      </c>
      <c r="K16" s="238">
        <v>0</v>
      </c>
      <c r="L16" s="238">
        <v>0</v>
      </c>
      <c r="M16" s="238">
        <v>0</v>
      </c>
      <c r="N16" s="238">
        <v>0</v>
      </c>
      <c r="O16" s="238">
        <v>8263.3072120509205</v>
      </c>
    </row>
    <row r="17" spans="1:16" s="237" customFormat="1" ht="12" x14ac:dyDescent="0.2">
      <c r="A17" s="235"/>
      <c r="B17" s="230"/>
      <c r="C17" s="236" t="s">
        <v>732</v>
      </c>
      <c r="F17" s="238">
        <v>14208.608765593601</v>
      </c>
      <c r="G17" s="238">
        <v>1.2766612829264099</v>
      </c>
      <c r="H17" s="238">
        <v>31.916532073160301</v>
      </c>
      <c r="I17" s="238">
        <v>0.97175860412465997</v>
      </c>
      <c r="J17" s="238">
        <v>289.58406402914898</v>
      </c>
      <c r="K17" s="238">
        <v>0</v>
      </c>
      <c r="L17" s="238">
        <v>0</v>
      </c>
      <c r="M17" s="238">
        <v>0</v>
      </c>
      <c r="N17" s="238">
        <v>0</v>
      </c>
      <c r="O17" s="238">
        <v>14530.109361695901</v>
      </c>
    </row>
    <row r="18" spans="1:16" s="237" customFormat="1" ht="12" x14ac:dyDescent="0.2">
      <c r="A18" s="235"/>
      <c r="B18" s="230"/>
      <c r="C18" s="236" t="s">
        <v>35</v>
      </c>
      <c r="F18" s="238">
        <v>3962.65259341398</v>
      </c>
      <c r="G18" s="238">
        <v>0.11519917233695599</v>
      </c>
      <c r="H18" s="238">
        <v>2.87997930842389</v>
      </c>
      <c r="I18" s="238">
        <v>4.5522763322707799E-2</v>
      </c>
      <c r="J18" s="238">
        <v>13.565783470166901</v>
      </c>
      <c r="K18" s="238">
        <v>0</v>
      </c>
      <c r="L18" s="238">
        <v>0</v>
      </c>
      <c r="M18" s="238">
        <v>0</v>
      </c>
      <c r="N18" s="238">
        <v>0</v>
      </c>
      <c r="O18" s="238">
        <v>3979.09835619257</v>
      </c>
    </row>
    <row r="19" spans="1:16" s="237" customFormat="1" ht="12" x14ac:dyDescent="0.2">
      <c r="A19" s="235"/>
      <c r="B19" s="230"/>
      <c r="C19" s="236" t="s">
        <v>733</v>
      </c>
      <c r="F19" s="238">
        <v>21049.005558351</v>
      </c>
      <c r="G19" s="238">
        <v>0.44842890011700098</v>
      </c>
      <c r="H19" s="238">
        <v>11.210722502925</v>
      </c>
      <c r="I19" s="238">
        <v>0.40091698298331802</v>
      </c>
      <c r="J19" s="238">
        <v>119.473260929029</v>
      </c>
      <c r="K19" s="238">
        <v>0</v>
      </c>
      <c r="L19" s="238">
        <v>0</v>
      </c>
      <c r="M19" s="238">
        <v>0</v>
      </c>
      <c r="N19" s="238">
        <v>0</v>
      </c>
      <c r="O19" s="238">
        <v>21179.6895417829</v>
      </c>
    </row>
    <row r="20" spans="1:16" s="234" customFormat="1" ht="12.75" x14ac:dyDescent="0.2">
      <c r="A20" s="228"/>
      <c r="B20" s="229" t="s">
        <v>734</v>
      </c>
      <c r="C20" s="239"/>
      <c r="F20" s="231">
        <v>1863.85781152</v>
      </c>
      <c r="G20" s="231">
        <v>3.1062573999999999E-2</v>
      </c>
      <c r="H20" s="231">
        <v>0.77656435000000001</v>
      </c>
      <c r="I20" s="231">
        <v>5.4392558989999999E-2</v>
      </c>
      <c r="J20" s="231">
        <v>16.208982579019999</v>
      </c>
      <c r="K20" s="231">
        <v>0</v>
      </c>
      <c r="L20" s="231">
        <v>0</v>
      </c>
      <c r="M20" s="231">
        <v>0</v>
      </c>
      <c r="N20" s="231">
        <v>0</v>
      </c>
      <c r="O20" s="231">
        <v>1880.8433584490199</v>
      </c>
    </row>
    <row r="21" spans="1:16" s="234" customFormat="1" ht="12.75" x14ac:dyDescent="0.2">
      <c r="A21" s="228"/>
      <c r="B21" s="229" t="s">
        <v>735</v>
      </c>
      <c r="C21" s="229"/>
      <c r="F21" s="231">
        <v>25690.00237418</v>
      </c>
      <c r="G21" s="231">
        <v>0.48941418405928699</v>
      </c>
      <c r="H21" s="231">
        <v>12.2353546014822</v>
      </c>
      <c r="I21" s="231">
        <v>0.49486511917592901</v>
      </c>
      <c r="J21" s="231">
        <v>147.46980551442701</v>
      </c>
      <c r="K21" s="231">
        <v>0</v>
      </c>
      <c r="L21" s="231">
        <v>0</v>
      </c>
      <c r="M21" s="231">
        <v>0</v>
      </c>
      <c r="N21" s="231">
        <v>0</v>
      </c>
      <c r="O21" s="231">
        <v>25849.7075342959</v>
      </c>
    </row>
    <row r="22" spans="1:16" s="234" customFormat="1" ht="12.75" x14ac:dyDescent="0.2">
      <c r="A22" s="228"/>
      <c r="B22" s="229" t="s">
        <v>181</v>
      </c>
      <c r="C22" s="229"/>
      <c r="F22" s="231">
        <v>41123.502787789999</v>
      </c>
      <c r="G22" s="231">
        <v>185.23139436789199</v>
      </c>
      <c r="H22" s="231">
        <v>4630.7848591972897</v>
      </c>
      <c r="I22" s="231">
        <v>2.57786236093383</v>
      </c>
      <c r="J22" s="231">
        <v>768.20298355828197</v>
      </c>
      <c r="K22" s="231">
        <v>0</v>
      </c>
      <c r="L22" s="231">
        <v>0</v>
      </c>
      <c r="M22" s="231">
        <v>0</v>
      </c>
      <c r="N22" s="231">
        <v>0</v>
      </c>
      <c r="O22" s="231">
        <v>46522.490630545602</v>
      </c>
    </row>
    <row r="23" spans="1:16" s="234" customFormat="1" ht="12.75" x14ac:dyDescent="0.2">
      <c r="A23" s="228"/>
      <c r="B23" s="229" t="s">
        <v>736</v>
      </c>
      <c r="C23" s="229"/>
      <c r="F23" s="231">
        <v>2390.6587127381299</v>
      </c>
      <c r="G23" s="231">
        <v>3.8972136631982103E-2</v>
      </c>
      <c r="H23" s="231">
        <v>0.97430341579955204</v>
      </c>
      <c r="I23" s="231">
        <v>5.5122889273983899E-2</v>
      </c>
      <c r="J23" s="231">
        <v>16.426621003647199</v>
      </c>
      <c r="K23" s="231">
        <v>0</v>
      </c>
      <c r="L23" s="231">
        <v>0</v>
      </c>
      <c r="M23" s="231">
        <v>0</v>
      </c>
      <c r="N23" s="231">
        <v>0</v>
      </c>
      <c r="O23" s="231">
        <v>2408.0596371575798</v>
      </c>
    </row>
    <row r="24" spans="1:16" s="240" customFormat="1" ht="14.25" x14ac:dyDescent="0.2">
      <c r="A24" s="224" t="s">
        <v>737</v>
      </c>
      <c r="B24" s="225" t="s">
        <v>738</v>
      </c>
      <c r="C24" s="225"/>
      <c r="F24" s="226">
        <v>140994.949359269</v>
      </c>
      <c r="G24" s="226">
        <v>30.5802282440219</v>
      </c>
      <c r="H24" s="226">
        <v>764.50570610054797</v>
      </c>
      <c r="I24" s="226">
        <v>22.029696682469201</v>
      </c>
      <c r="J24" s="226">
        <v>6564.8496113758101</v>
      </c>
      <c r="K24" s="226">
        <v>0</v>
      </c>
      <c r="L24" s="226">
        <v>0</v>
      </c>
      <c r="M24" s="226">
        <v>0</v>
      </c>
      <c r="N24" s="226">
        <v>0</v>
      </c>
      <c r="O24" s="226">
        <v>148324.304676745</v>
      </c>
      <c r="P24" s="241"/>
    </row>
    <row r="25" spans="1:16" s="234" customFormat="1" ht="12.75" x14ac:dyDescent="0.2">
      <c r="A25" s="228"/>
      <c r="B25" s="232" t="s">
        <v>739</v>
      </c>
      <c r="C25" s="229"/>
      <c r="F25" s="231">
        <v>7093.1288684186102</v>
      </c>
      <c r="G25" s="231">
        <v>0.45953557329704797</v>
      </c>
      <c r="H25" s="231">
        <v>11.4883893324262</v>
      </c>
      <c r="I25" s="231">
        <v>0.22194234391539899</v>
      </c>
      <c r="J25" s="231">
        <v>66.138818486788793</v>
      </c>
      <c r="K25" s="231">
        <v>0</v>
      </c>
      <c r="L25" s="231">
        <v>0</v>
      </c>
      <c r="M25" s="231">
        <v>0</v>
      </c>
      <c r="N25" s="231">
        <v>0</v>
      </c>
      <c r="O25" s="231">
        <v>7170.7560762378298</v>
      </c>
    </row>
    <row r="26" spans="1:16" s="234" customFormat="1" ht="12.75" x14ac:dyDescent="0.2">
      <c r="A26" s="228"/>
      <c r="B26" s="229" t="s">
        <v>740</v>
      </c>
      <c r="C26" s="229"/>
      <c r="F26" s="231">
        <v>88446.365283450796</v>
      </c>
      <c r="G26" s="231">
        <v>13.502318443461499</v>
      </c>
      <c r="H26" s="231">
        <v>337.55796108653698</v>
      </c>
      <c r="I26" s="231">
        <v>10.9145184349938</v>
      </c>
      <c r="J26" s="231">
        <v>3252.5264936281501</v>
      </c>
      <c r="K26" s="231">
        <v>0</v>
      </c>
      <c r="L26" s="231">
        <v>0</v>
      </c>
      <c r="M26" s="231">
        <v>0</v>
      </c>
      <c r="N26" s="231">
        <v>0</v>
      </c>
      <c r="O26" s="231">
        <v>92036.449738165393</v>
      </c>
    </row>
    <row r="27" spans="1:16" s="237" customFormat="1" ht="12" x14ac:dyDescent="0.2">
      <c r="A27" s="235"/>
      <c r="B27" s="230"/>
      <c r="C27" s="236" t="s">
        <v>741</v>
      </c>
      <c r="F27" s="238">
        <v>44306.0993424849</v>
      </c>
      <c r="G27" s="238">
        <v>7.6404059060114102</v>
      </c>
      <c r="H27" s="238">
        <v>191.01014765028501</v>
      </c>
      <c r="I27" s="238">
        <v>6.6819700088417902</v>
      </c>
      <c r="J27" s="238">
        <v>1991.22706263485</v>
      </c>
      <c r="K27" s="238">
        <v>0</v>
      </c>
      <c r="L27" s="238">
        <v>0</v>
      </c>
      <c r="M27" s="238">
        <v>0</v>
      </c>
      <c r="N27" s="238">
        <v>0</v>
      </c>
      <c r="O27" s="238">
        <v>46488.336552770103</v>
      </c>
    </row>
    <row r="28" spans="1:16" s="237" customFormat="1" ht="12" x14ac:dyDescent="0.2">
      <c r="A28" s="235"/>
      <c r="B28" s="230"/>
      <c r="C28" s="236" t="s">
        <v>742</v>
      </c>
      <c r="F28" s="238">
        <v>21220.271336026701</v>
      </c>
      <c r="G28" s="238">
        <v>3.2893576401162399</v>
      </c>
      <c r="H28" s="238">
        <v>82.233941002905894</v>
      </c>
      <c r="I28" s="238">
        <v>3.54925639581541</v>
      </c>
      <c r="J28" s="238">
        <v>1057.67840595299</v>
      </c>
      <c r="K28" s="238">
        <v>0</v>
      </c>
      <c r="L28" s="238">
        <v>0</v>
      </c>
      <c r="M28" s="238">
        <v>0</v>
      </c>
      <c r="N28" s="238">
        <v>0</v>
      </c>
      <c r="O28" s="238">
        <v>22360.183682982599</v>
      </c>
    </row>
    <row r="29" spans="1:16" s="237" customFormat="1" ht="12" x14ac:dyDescent="0.2">
      <c r="A29" s="235"/>
      <c r="B29" s="230"/>
      <c r="C29" s="236" t="s">
        <v>743</v>
      </c>
      <c r="F29" s="238">
        <v>6740.3707347169302</v>
      </c>
      <c r="G29" s="238">
        <v>1.1382735602709799</v>
      </c>
      <c r="H29" s="238">
        <v>28.456839006774398</v>
      </c>
      <c r="I29" s="238">
        <v>0.19256091118614799</v>
      </c>
      <c r="J29" s="238">
        <v>57.383151533472201</v>
      </c>
      <c r="K29" s="238">
        <v>0</v>
      </c>
      <c r="L29" s="238">
        <v>0</v>
      </c>
      <c r="M29" s="238">
        <v>0</v>
      </c>
      <c r="N29" s="238">
        <v>0</v>
      </c>
      <c r="O29" s="238">
        <v>6826.2107252571795</v>
      </c>
    </row>
    <row r="30" spans="1:16" s="237" customFormat="1" ht="12" x14ac:dyDescent="0.2">
      <c r="A30" s="235"/>
      <c r="B30" s="230"/>
      <c r="C30" s="236" t="s">
        <v>744</v>
      </c>
      <c r="F30" s="238">
        <v>96.305463624819595</v>
      </c>
      <c r="G30" s="238">
        <v>9.6236751636996895E-2</v>
      </c>
      <c r="H30" s="238">
        <v>2.40591879092492</v>
      </c>
      <c r="I30" s="238">
        <v>1.99876330322994E-3</v>
      </c>
      <c r="J30" s="238">
        <v>0.59563146436252101</v>
      </c>
      <c r="K30" s="238">
        <v>0</v>
      </c>
      <c r="L30" s="238">
        <v>0</v>
      </c>
      <c r="M30" s="238">
        <v>0</v>
      </c>
      <c r="N30" s="238">
        <v>0</v>
      </c>
      <c r="O30" s="238">
        <v>99.307013880106993</v>
      </c>
      <c r="P30" s="242"/>
    </row>
    <row r="31" spans="1:16" s="237" customFormat="1" ht="12" x14ac:dyDescent="0.2">
      <c r="A31" s="235"/>
      <c r="B31" s="230"/>
      <c r="C31" s="236" t="s">
        <v>745</v>
      </c>
      <c r="F31" s="238">
        <v>483.00942985395102</v>
      </c>
      <c r="G31" s="238">
        <v>1.43084448747356E-2</v>
      </c>
      <c r="H31" s="238">
        <v>0.35771112186839099</v>
      </c>
      <c r="I31" s="238">
        <v>3.4688295826870198E-2</v>
      </c>
      <c r="J31" s="238">
        <v>10.337112156407301</v>
      </c>
      <c r="K31" s="238">
        <v>0</v>
      </c>
      <c r="L31" s="238">
        <v>0</v>
      </c>
      <c r="M31" s="238">
        <v>0</v>
      </c>
      <c r="N31" s="238">
        <v>0</v>
      </c>
      <c r="O31" s="238">
        <v>493.704253132227</v>
      </c>
    </row>
    <row r="32" spans="1:16" s="237" customFormat="1" ht="12" x14ac:dyDescent="0.2">
      <c r="A32" s="235"/>
      <c r="B32" s="230"/>
      <c r="C32" s="236" t="s">
        <v>746</v>
      </c>
      <c r="D32" s="243"/>
      <c r="E32" s="243"/>
      <c r="F32" s="244">
        <v>158.297880364126</v>
      </c>
      <c r="G32" s="244">
        <v>4.2924447457808202E-3</v>
      </c>
      <c r="H32" s="244">
        <v>0.107311118644521</v>
      </c>
      <c r="I32" s="244">
        <v>1.15119402114543E-2</v>
      </c>
      <c r="J32" s="244">
        <v>3.4305581830133698</v>
      </c>
      <c r="K32" s="244">
        <v>0</v>
      </c>
      <c r="L32" s="244">
        <v>0</v>
      </c>
      <c r="M32" s="244">
        <v>0</v>
      </c>
      <c r="N32" s="244">
        <v>0</v>
      </c>
      <c r="O32" s="244">
        <v>161.83574966578399</v>
      </c>
    </row>
    <row r="33" spans="1:15" s="237" customFormat="1" ht="12" x14ac:dyDescent="0.2">
      <c r="A33" s="235"/>
      <c r="B33" s="230"/>
      <c r="C33" s="236" t="s">
        <v>747</v>
      </c>
      <c r="D33" s="243"/>
      <c r="E33" s="243"/>
      <c r="F33" s="244">
        <v>14093.0937023555</v>
      </c>
      <c r="G33" s="244">
        <v>0.74170381607199398</v>
      </c>
      <c r="H33" s="244">
        <v>18.5425954017999</v>
      </c>
      <c r="I33" s="244">
        <v>0.41758397045900802</v>
      </c>
      <c r="J33" s="244">
        <v>124.440023196784</v>
      </c>
      <c r="K33" s="244">
        <v>0</v>
      </c>
      <c r="L33" s="244">
        <v>0</v>
      </c>
      <c r="M33" s="244">
        <v>0</v>
      </c>
      <c r="N33" s="244">
        <v>0</v>
      </c>
      <c r="O33" s="244">
        <v>14236.0763209541</v>
      </c>
    </row>
    <row r="34" spans="1:15" s="237" customFormat="1" ht="12" x14ac:dyDescent="0.2">
      <c r="A34" s="235"/>
      <c r="B34" s="230"/>
      <c r="C34" s="245" t="s">
        <v>748</v>
      </c>
      <c r="D34" s="243"/>
      <c r="E34" s="243"/>
      <c r="F34" s="244">
        <v>1348.9173940238099</v>
      </c>
      <c r="G34" s="244">
        <v>0.57773987973336904</v>
      </c>
      <c r="H34" s="244">
        <v>14.4434969933342</v>
      </c>
      <c r="I34" s="244">
        <v>2.4948149349885099E-2</v>
      </c>
      <c r="J34" s="244">
        <v>7.4345485062657497</v>
      </c>
      <c r="K34" s="244">
        <v>0</v>
      </c>
      <c r="L34" s="244">
        <v>0</v>
      </c>
      <c r="M34" s="244">
        <v>0</v>
      </c>
      <c r="N34" s="244">
        <v>0</v>
      </c>
      <c r="O34" s="244">
        <v>1370.7954395234101</v>
      </c>
    </row>
    <row r="35" spans="1:15" s="249" customFormat="1" ht="12.75" x14ac:dyDescent="0.2">
      <c r="A35" s="228"/>
      <c r="B35" s="229" t="s">
        <v>749</v>
      </c>
      <c r="C35" s="246"/>
      <c r="D35" s="247"/>
      <c r="E35" s="247"/>
      <c r="F35" s="248">
        <v>6221.7009730999998</v>
      </c>
      <c r="G35" s="248">
        <v>0.34924789848999999</v>
      </c>
      <c r="H35" s="248">
        <v>8.7311974622499999</v>
      </c>
      <c r="I35" s="248">
        <v>2.40772888959</v>
      </c>
      <c r="J35" s="248">
        <v>717.50320909781999</v>
      </c>
      <c r="K35" s="248">
        <v>0</v>
      </c>
      <c r="L35" s="248">
        <v>0</v>
      </c>
      <c r="M35" s="248">
        <v>0</v>
      </c>
      <c r="N35" s="248">
        <v>0</v>
      </c>
      <c r="O35" s="248">
        <v>6947.9353796600699</v>
      </c>
    </row>
    <row r="36" spans="1:15" s="249" customFormat="1" ht="12.75" x14ac:dyDescent="0.2">
      <c r="A36" s="228"/>
      <c r="B36" s="232" t="s">
        <v>750</v>
      </c>
      <c r="C36" s="246"/>
      <c r="D36" s="247"/>
      <c r="E36" s="247"/>
      <c r="F36" s="248">
        <v>4741.1503553800003</v>
      </c>
      <c r="G36" s="248">
        <v>0.43783181449800002</v>
      </c>
      <c r="H36" s="248">
        <v>10.945795362449999</v>
      </c>
      <c r="I36" s="248">
        <v>0.12508106202399999</v>
      </c>
      <c r="J36" s="248">
        <v>37.274156483151998</v>
      </c>
      <c r="K36" s="248">
        <v>0</v>
      </c>
      <c r="L36" s="248">
        <v>0</v>
      </c>
      <c r="M36" s="248">
        <v>0</v>
      </c>
      <c r="N36" s="248">
        <v>0</v>
      </c>
      <c r="O36" s="248">
        <v>4789.3703072256003</v>
      </c>
    </row>
    <row r="37" spans="1:15" s="234" customFormat="1" ht="12.75" x14ac:dyDescent="0.2">
      <c r="A37" s="228"/>
      <c r="B37" s="229" t="s">
        <v>751</v>
      </c>
      <c r="C37" s="250"/>
      <c r="D37" s="251"/>
      <c r="E37" s="251"/>
      <c r="F37" s="252">
        <v>34492.603878919501</v>
      </c>
      <c r="G37" s="252">
        <v>15.831294514275401</v>
      </c>
      <c r="H37" s="252">
        <v>395.78236285688502</v>
      </c>
      <c r="I37" s="252">
        <v>8.3604259519459596</v>
      </c>
      <c r="J37" s="252">
        <v>2491.4069336798998</v>
      </c>
      <c r="K37" s="252">
        <v>0</v>
      </c>
      <c r="L37" s="252">
        <v>0</v>
      </c>
      <c r="M37" s="252">
        <v>0</v>
      </c>
      <c r="N37" s="252">
        <v>0</v>
      </c>
      <c r="O37" s="252">
        <v>37379.793175456303</v>
      </c>
    </row>
    <row r="38" spans="1:15" s="237" customFormat="1" ht="12" x14ac:dyDescent="0.2">
      <c r="A38" s="235"/>
      <c r="B38" s="230"/>
      <c r="C38" s="236" t="s">
        <v>752</v>
      </c>
      <c r="F38" s="238">
        <v>9076.9170862502106</v>
      </c>
      <c r="G38" s="238">
        <v>0.52176541929345999</v>
      </c>
      <c r="H38" s="238">
        <v>13.0441354823365</v>
      </c>
      <c r="I38" s="238">
        <v>3.5086359442763699</v>
      </c>
      <c r="J38" s="238">
        <v>1045.5735113943599</v>
      </c>
      <c r="K38" s="238">
        <v>0</v>
      </c>
      <c r="L38" s="238">
        <v>0</v>
      </c>
      <c r="M38" s="238">
        <v>0</v>
      </c>
      <c r="N38" s="238">
        <v>0</v>
      </c>
      <c r="O38" s="238">
        <v>10135.5347331269</v>
      </c>
    </row>
    <row r="39" spans="1:15" s="237" customFormat="1" ht="12" x14ac:dyDescent="0.2">
      <c r="A39" s="235"/>
      <c r="B39" s="230"/>
      <c r="C39" s="236" t="s">
        <v>753</v>
      </c>
      <c r="F39" s="238">
        <v>1362.65865926232</v>
      </c>
      <c r="G39" s="238">
        <v>0.59769805542656396</v>
      </c>
      <c r="H39" s="238">
        <v>14.9424513856641</v>
      </c>
      <c r="I39" s="238">
        <v>0.42911943673749597</v>
      </c>
      <c r="J39" s="238">
        <v>127.877592147774</v>
      </c>
      <c r="K39" s="238">
        <v>0</v>
      </c>
      <c r="L39" s="238">
        <v>0</v>
      </c>
      <c r="M39" s="238">
        <v>0</v>
      </c>
      <c r="N39" s="238">
        <v>0</v>
      </c>
      <c r="O39" s="238">
        <v>1505.47870279576</v>
      </c>
    </row>
    <row r="40" spans="1:15" s="237" customFormat="1" ht="12" x14ac:dyDescent="0.2">
      <c r="A40" s="235"/>
      <c r="B40" s="230"/>
      <c r="C40" s="236" t="s">
        <v>754</v>
      </c>
      <c r="F40" s="238">
        <v>8982.3801416789702</v>
      </c>
      <c r="G40" s="238">
        <v>0.76638761617027396</v>
      </c>
      <c r="H40" s="238">
        <v>19.159690404256899</v>
      </c>
      <c r="I40" s="238">
        <v>3.2279207769991398</v>
      </c>
      <c r="J40" s="238">
        <v>961.92039154574502</v>
      </c>
      <c r="K40" s="238">
        <v>0</v>
      </c>
      <c r="L40" s="238">
        <v>0</v>
      </c>
      <c r="M40" s="238">
        <v>0</v>
      </c>
      <c r="N40" s="238">
        <v>0</v>
      </c>
      <c r="O40" s="238">
        <v>9963.4602236289702</v>
      </c>
    </row>
    <row r="41" spans="1:15" s="237" customFormat="1" ht="12" x14ac:dyDescent="0.2">
      <c r="A41" s="235"/>
      <c r="B41" s="230"/>
      <c r="C41" s="236" t="s">
        <v>755</v>
      </c>
      <c r="F41" s="238">
        <v>203.65714034910999</v>
      </c>
      <c r="G41" s="238">
        <v>4.0990829272958502E-2</v>
      </c>
      <c r="H41" s="238">
        <v>1.0247707318239601</v>
      </c>
      <c r="I41" s="238">
        <v>6.9198225416147799E-2</v>
      </c>
      <c r="J41" s="238">
        <v>20.621071174012101</v>
      </c>
      <c r="K41" s="238">
        <v>0</v>
      </c>
      <c r="L41" s="238">
        <v>0</v>
      </c>
      <c r="M41" s="238">
        <v>0</v>
      </c>
      <c r="N41" s="238">
        <v>0</v>
      </c>
      <c r="O41" s="238">
        <v>225.30298225494599</v>
      </c>
    </row>
    <row r="42" spans="1:15" s="237" customFormat="1" ht="12" x14ac:dyDescent="0.2">
      <c r="A42" s="235"/>
      <c r="B42" s="230"/>
      <c r="C42" s="236" t="s">
        <v>756</v>
      </c>
      <c r="F42" s="238">
        <v>8182.05246441893</v>
      </c>
      <c r="G42" s="238">
        <v>7.2090141131121301</v>
      </c>
      <c r="H42" s="238">
        <v>180.22535282780299</v>
      </c>
      <c r="I42" s="238">
        <v>0.94312601101679705</v>
      </c>
      <c r="J42" s="238">
        <v>281.05155128300498</v>
      </c>
      <c r="K42" s="238">
        <v>0</v>
      </c>
      <c r="L42" s="238">
        <v>0</v>
      </c>
      <c r="M42" s="238">
        <v>0</v>
      </c>
      <c r="N42" s="238">
        <v>0</v>
      </c>
      <c r="O42" s="238">
        <v>8643.3293685297394</v>
      </c>
    </row>
    <row r="43" spans="1:15" s="237" customFormat="1" ht="12" x14ac:dyDescent="0.2">
      <c r="A43" s="235"/>
      <c r="B43" s="230"/>
      <c r="C43" s="253" t="s">
        <v>757</v>
      </c>
      <c r="F43" s="238">
        <v>6684.9383869599997</v>
      </c>
      <c r="G43" s="238">
        <v>6.6954384810000001</v>
      </c>
      <c r="H43" s="238">
        <v>167.385962025</v>
      </c>
      <c r="I43" s="238">
        <v>0.1824255575</v>
      </c>
      <c r="J43" s="238">
        <v>54.362816135000003</v>
      </c>
      <c r="K43" s="238">
        <v>0</v>
      </c>
      <c r="L43" s="238">
        <v>0</v>
      </c>
      <c r="M43" s="238">
        <v>0</v>
      </c>
      <c r="N43" s="238">
        <v>0</v>
      </c>
      <c r="O43" s="238">
        <v>6906.6871651199999</v>
      </c>
    </row>
    <row r="44" spans="1:15" s="240" customFormat="1" ht="12.75" x14ac:dyDescent="0.2">
      <c r="A44" s="224" t="s">
        <v>758</v>
      </c>
      <c r="B44" s="225" t="s">
        <v>759</v>
      </c>
      <c r="C44" s="225"/>
      <c r="F44" s="226">
        <v>11606.2057368652</v>
      </c>
      <c r="G44" s="226">
        <v>1486.5813955229</v>
      </c>
      <c r="H44" s="226">
        <v>37164.534888072601</v>
      </c>
      <c r="I44" s="226">
        <v>0.108411061033908</v>
      </c>
      <c r="J44" s="226">
        <v>32.306496188104703</v>
      </c>
      <c r="K44" s="226">
        <v>0</v>
      </c>
      <c r="L44" s="226">
        <v>0</v>
      </c>
      <c r="M44" s="226">
        <v>0</v>
      </c>
      <c r="N44" s="226">
        <v>0</v>
      </c>
      <c r="O44" s="226">
        <v>48803.047121125899</v>
      </c>
    </row>
    <row r="45" spans="1:15" s="234" customFormat="1" ht="12.75" x14ac:dyDescent="0.2">
      <c r="A45" s="228"/>
      <c r="B45" s="229" t="s">
        <v>760</v>
      </c>
      <c r="C45" s="229"/>
      <c r="F45" s="231">
        <v>0</v>
      </c>
      <c r="G45" s="231">
        <v>112.95689503002799</v>
      </c>
      <c r="H45" s="231">
        <v>2823.9223757507102</v>
      </c>
      <c r="I45" s="231">
        <v>0</v>
      </c>
      <c r="J45" s="231">
        <v>0</v>
      </c>
      <c r="K45" s="231">
        <v>0</v>
      </c>
      <c r="L45" s="231">
        <v>0</v>
      </c>
      <c r="M45" s="231">
        <v>0</v>
      </c>
      <c r="N45" s="231">
        <v>0</v>
      </c>
      <c r="O45" s="231">
        <v>2823.9223757507102</v>
      </c>
    </row>
    <row r="46" spans="1:15" s="234" customFormat="1" ht="12.75" x14ac:dyDescent="0.2">
      <c r="A46" s="228"/>
      <c r="B46" s="229" t="s">
        <v>761</v>
      </c>
      <c r="C46" s="229"/>
      <c r="F46" s="231">
        <v>11606.2057368652</v>
      </c>
      <c r="G46" s="231">
        <v>1373.6245004928701</v>
      </c>
      <c r="H46" s="231">
        <v>34340.612512321903</v>
      </c>
      <c r="I46" s="231">
        <v>0.108411061033908</v>
      </c>
      <c r="J46" s="231">
        <v>32.306496188104703</v>
      </c>
      <c r="K46" s="231">
        <v>0</v>
      </c>
      <c r="L46" s="231">
        <v>0</v>
      </c>
      <c r="M46" s="231">
        <v>0</v>
      </c>
      <c r="N46" s="231">
        <v>0</v>
      </c>
      <c r="O46" s="231">
        <v>45979.1247453752</v>
      </c>
    </row>
    <row r="47" spans="1:15" s="237" customFormat="1" ht="12" x14ac:dyDescent="0.2">
      <c r="A47" s="254"/>
      <c r="B47" s="255"/>
      <c r="C47" s="230" t="s">
        <v>762</v>
      </c>
      <c r="F47" s="238">
        <v>94.678513586388704</v>
      </c>
      <c r="G47" s="238">
        <v>193.592439129708</v>
      </c>
      <c r="H47" s="238">
        <v>4839.8109782427</v>
      </c>
      <c r="I47" s="238">
        <v>0.1</v>
      </c>
      <c r="J47" s="238">
        <v>29.8</v>
      </c>
      <c r="K47" s="238">
        <v>0</v>
      </c>
      <c r="L47" s="238">
        <v>0</v>
      </c>
      <c r="M47" s="238">
        <v>0</v>
      </c>
      <c r="N47" s="238">
        <v>0</v>
      </c>
      <c r="O47" s="238">
        <v>4964.2894918290904</v>
      </c>
    </row>
    <row r="48" spans="1:15" s="237" customFormat="1" ht="12" x14ac:dyDescent="0.2">
      <c r="A48" s="254"/>
      <c r="B48" s="255"/>
      <c r="C48" s="230" t="s">
        <v>763</v>
      </c>
      <c r="F48" s="238">
        <v>26.300741916535198</v>
      </c>
      <c r="G48" s="238">
        <v>524.009156868834</v>
      </c>
      <c r="H48" s="238">
        <v>13100.2289217208</v>
      </c>
      <c r="I48" s="238">
        <v>0</v>
      </c>
      <c r="J48" s="238">
        <v>0</v>
      </c>
      <c r="K48" s="238">
        <v>0</v>
      </c>
      <c r="L48" s="238">
        <v>0</v>
      </c>
      <c r="M48" s="238">
        <v>0</v>
      </c>
      <c r="N48" s="238">
        <v>0</v>
      </c>
      <c r="O48" s="238">
        <v>13126.529663637401</v>
      </c>
    </row>
    <row r="49" spans="1:16" s="237" customFormat="1" ht="12" x14ac:dyDescent="0.2">
      <c r="A49" s="256"/>
      <c r="B49" s="257"/>
      <c r="C49" s="258" t="s">
        <v>380</v>
      </c>
      <c r="D49" s="243"/>
      <c r="E49" s="243"/>
      <c r="F49" s="244">
        <v>6994.94304473805</v>
      </c>
      <c r="G49" s="244">
        <v>650.48491805601998</v>
      </c>
      <c r="H49" s="244">
        <v>16262.122951400501</v>
      </c>
      <c r="I49" s="244">
        <v>0</v>
      </c>
      <c r="J49" s="244">
        <v>0</v>
      </c>
      <c r="K49" s="244">
        <v>0</v>
      </c>
      <c r="L49" s="244">
        <v>0</v>
      </c>
      <c r="M49" s="244">
        <v>0</v>
      </c>
      <c r="N49" s="244">
        <v>0</v>
      </c>
      <c r="O49" s="244">
        <v>23257.065996138499</v>
      </c>
    </row>
    <row r="50" spans="1:16" s="237" customFormat="1" ht="12" x14ac:dyDescent="0.2">
      <c r="A50" s="256"/>
      <c r="B50" s="257"/>
      <c r="C50" s="258" t="s">
        <v>381</v>
      </c>
      <c r="D50" s="243"/>
      <c r="E50" s="243"/>
      <c r="F50" s="244">
        <v>4490.2834366242296</v>
      </c>
      <c r="G50" s="244">
        <v>5.5379864383123101</v>
      </c>
      <c r="H50" s="244">
        <v>138.44966095780799</v>
      </c>
      <c r="I50" s="244">
        <v>8.4110610339083094E-3</v>
      </c>
      <c r="J50" s="244">
        <v>2.5064961881046801</v>
      </c>
      <c r="K50" s="244">
        <v>0</v>
      </c>
      <c r="L50" s="244">
        <v>0</v>
      </c>
      <c r="M50" s="244">
        <v>0</v>
      </c>
      <c r="N50" s="244">
        <v>0</v>
      </c>
      <c r="O50" s="244">
        <v>4631.2395937701403</v>
      </c>
    </row>
    <row r="51" spans="1:16" s="237" customFormat="1" ht="14.25" x14ac:dyDescent="0.25">
      <c r="A51" s="259" t="s">
        <v>764</v>
      </c>
      <c r="B51" s="260" t="s">
        <v>765</v>
      </c>
      <c r="C51" s="260"/>
      <c r="D51" s="261"/>
      <c r="E51" s="261"/>
      <c r="F51" s="262">
        <v>0</v>
      </c>
      <c r="G51" s="262">
        <v>0</v>
      </c>
      <c r="H51" s="262">
        <v>0</v>
      </c>
      <c r="I51" s="262">
        <v>0</v>
      </c>
      <c r="J51" s="262">
        <v>0</v>
      </c>
      <c r="K51" s="262">
        <v>0</v>
      </c>
      <c r="L51" s="262">
        <v>0</v>
      </c>
      <c r="M51" s="262">
        <v>0</v>
      </c>
      <c r="N51" s="262">
        <v>0</v>
      </c>
      <c r="O51" s="262">
        <v>0</v>
      </c>
    </row>
    <row r="52" spans="1:16" s="267" customFormat="1" ht="12.75" x14ac:dyDescent="0.2">
      <c r="A52" s="263" t="s">
        <v>766</v>
      </c>
      <c r="B52" s="263"/>
      <c r="C52" s="264"/>
      <c r="D52" s="265"/>
      <c r="E52" s="265"/>
      <c r="F52" s="266">
        <v>32534.149091821</v>
      </c>
      <c r="G52" s="266">
        <v>4.9456651698479304</v>
      </c>
      <c r="H52" s="266">
        <v>123.64162924619799</v>
      </c>
      <c r="I52" s="266">
        <v>38.466207086101903</v>
      </c>
      <c r="J52" s="266">
        <v>11462.9297116584</v>
      </c>
      <c r="K52" s="266">
        <v>970.54019200000005</v>
      </c>
      <c r="L52" s="266">
        <v>7557.9018593486799</v>
      </c>
      <c r="M52" s="266">
        <v>3225.92610471539</v>
      </c>
      <c r="N52" s="266">
        <v>0.324454149333333</v>
      </c>
      <c r="O52" s="266">
        <v>55875.413042938897</v>
      </c>
    </row>
    <row r="53" spans="1:16" s="240" customFormat="1" ht="12.75" x14ac:dyDescent="0.2">
      <c r="A53" s="224" t="s">
        <v>724</v>
      </c>
      <c r="B53" s="225" t="s">
        <v>767</v>
      </c>
      <c r="C53" s="225"/>
      <c r="D53" s="268"/>
      <c r="E53" s="268"/>
      <c r="F53" s="269">
        <v>8428.6431944814904</v>
      </c>
      <c r="G53" s="269">
        <v>0</v>
      </c>
      <c r="H53" s="269">
        <v>0</v>
      </c>
      <c r="I53" s="269">
        <v>0</v>
      </c>
      <c r="J53" s="269">
        <v>0</v>
      </c>
      <c r="K53" s="269">
        <v>0</v>
      </c>
      <c r="L53" s="269">
        <v>0</v>
      </c>
      <c r="M53" s="269">
        <v>0</v>
      </c>
      <c r="N53" s="269">
        <v>0</v>
      </c>
      <c r="O53" s="269">
        <v>8428.6431944814904</v>
      </c>
    </row>
    <row r="54" spans="1:16" s="273" customFormat="1" ht="12" x14ac:dyDescent="0.2">
      <c r="A54" s="235"/>
      <c r="B54" s="270"/>
      <c r="C54" s="236" t="s">
        <v>560</v>
      </c>
      <c r="D54" s="271"/>
      <c r="E54" s="271"/>
      <c r="F54" s="272">
        <v>5756.21135476163</v>
      </c>
      <c r="G54" s="272">
        <v>0</v>
      </c>
      <c r="H54" s="272">
        <v>0</v>
      </c>
      <c r="I54" s="272">
        <v>0</v>
      </c>
      <c r="J54" s="272">
        <v>0</v>
      </c>
      <c r="K54" s="272">
        <v>0</v>
      </c>
      <c r="L54" s="272">
        <v>0</v>
      </c>
      <c r="M54" s="272">
        <v>0</v>
      </c>
      <c r="N54" s="272">
        <v>0</v>
      </c>
      <c r="O54" s="272">
        <v>5756.21135476163</v>
      </c>
      <c r="P54" s="271"/>
    </row>
    <row r="55" spans="1:16" s="273" customFormat="1" ht="12" x14ac:dyDescent="0.2">
      <c r="A55" s="235"/>
      <c r="B55" s="270"/>
      <c r="C55" s="236" t="s">
        <v>191</v>
      </c>
      <c r="D55" s="271"/>
      <c r="E55" s="271"/>
      <c r="F55" s="272">
        <v>1759.3818562367301</v>
      </c>
      <c r="G55" s="272">
        <v>0</v>
      </c>
      <c r="H55" s="272">
        <v>0</v>
      </c>
      <c r="I55" s="272">
        <v>0</v>
      </c>
      <c r="J55" s="272">
        <v>0</v>
      </c>
      <c r="K55" s="272">
        <v>0</v>
      </c>
      <c r="L55" s="272">
        <v>0</v>
      </c>
      <c r="M55" s="272">
        <v>0</v>
      </c>
      <c r="N55" s="272">
        <v>0</v>
      </c>
      <c r="O55" s="272">
        <v>1759.3818562367301</v>
      </c>
      <c r="P55" s="271"/>
    </row>
    <row r="56" spans="1:16" s="273" customFormat="1" ht="12" x14ac:dyDescent="0.2">
      <c r="A56" s="235"/>
      <c r="B56" s="270"/>
      <c r="C56" s="236" t="s">
        <v>768</v>
      </c>
      <c r="D56" s="271"/>
      <c r="E56" s="271"/>
      <c r="F56" s="272">
        <v>913.04998348313404</v>
      </c>
      <c r="G56" s="272">
        <v>0</v>
      </c>
      <c r="H56" s="272">
        <v>0</v>
      </c>
      <c r="I56" s="272">
        <v>0</v>
      </c>
      <c r="J56" s="272">
        <v>0</v>
      </c>
      <c r="K56" s="272">
        <v>0</v>
      </c>
      <c r="L56" s="272">
        <v>0</v>
      </c>
      <c r="M56" s="272">
        <v>0</v>
      </c>
      <c r="N56" s="272">
        <v>0</v>
      </c>
      <c r="O56" s="272">
        <v>913.04998348313404</v>
      </c>
      <c r="P56" s="271"/>
    </row>
    <row r="57" spans="1:16" s="275" customFormat="1" ht="12.75" x14ac:dyDescent="0.2">
      <c r="A57" s="224" t="s">
        <v>737</v>
      </c>
      <c r="B57" s="225" t="s">
        <v>769</v>
      </c>
      <c r="C57" s="225"/>
      <c r="D57" s="274"/>
      <c r="E57" s="274"/>
      <c r="F57" s="269">
        <v>5898.7964616477502</v>
      </c>
      <c r="G57" s="269">
        <v>4.8539068374479299</v>
      </c>
      <c r="H57" s="269">
        <v>121.347670936198</v>
      </c>
      <c r="I57" s="269">
        <v>37.889726216993097</v>
      </c>
      <c r="J57" s="269">
        <v>11291.1384126639</v>
      </c>
      <c r="K57" s="269">
        <v>0</v>
      </c>
      <c r="L57" s="269">
        <v>0</v>
      </c>
      <c r="M57" s="269">
        <v>0</v>
      </c>
      <c r="N57" s="269">
        <v>0</v>
      </c>
      <c r="O57" s="269">
        <v>17311.282545247901</v>
      </c>
      <c r="P57" s="274"/>
    </row>
    <row r="58" spans="1:16" s="277" customFormat="1" ht="12" x14ac:dyDescent="0.2">
      <c r="A58" s="235"/>
      <c r="B58" s="270"/>
      <c r="C58" s="236" t="s">
        <v>192</v>
      </c>
      <c r="D58" s="276"/>
      <c r="E58" s="276"/>
      <c r="F58" s="272">
        <v>2773.7337292213901</v>
      </c>
      <c r="G58" s="272">
        <v>0</v>
      </c>
      <c r="H58" s="272">
        <v>0</v>
      </c>
      <c r="I58" s="272">
        <v>0</v>
      </c>
      <c r="J58" s="272">
        <v>0</v>
      </c>
      <c r="K58" s="272">
        <v>0</v>
      </c>
      <c r="L58" s="272">
        <v>0</v>
      </c>
      <c r="M58" s="272">
        <v>0</v>
      </c>
      <c r="N58" s="272">
        <v>0</v>
      </c>
      <c r="O58" s="272">
        <v>2773.7337292213901</v>
      </c>
      <c r="P58" s="276"/>
    </row>
    <row r="59" spans="1:16" s="277" customFormat="1" ht="12" x14ac:dyDescent="0.2">
      <c r="A59" s="235"/>
      <c r="B59" s="270"/>
      <c r="C59" s="236" t="s">
        <v>190</v>
      </c>
      <c r="D59" s="276"/>
      <c r="E59" s="276"/>
      <c r="F59" s="272">
        <v>0</v>
      </c>
      <c r="G59" s="272">
        <v>0</v>
      </c>
      <c r="H59" s="272">
        <v>0</v>
      </c>
      <c r="I59" s="272">
        <v>3.2656384648476999</v>
      </c>
      <c r="J59" s="272">
        <v>973.16026252461597</v>
      </c>
      <c r="K59" s="272">
        <v>0</v>
      </c>
      <c r="L59" s="272">
        <v>0</v>
      </c>
      <c r="M59" s="272">
        <v>0</v>
      </c>
      <c r="N59" s="272">
        <v>0</v>
      </c>
      <c r="O59" s="272">
        <v>973.16026252461597</v>
      </c>
      <c r="P59" s="276"/>
    </row>
    <row r="60" spans="1:16" s="277" customFormat="1" ht="12" x14ac:dyDescent="0.2">
      <c r="A60" s="235"/>
      <c r="B60" s="270"/>
      <c r="C60" s="236" t="s">
        <v>770</v>
      </c>
      <c r="D60" s="276"/>
      <c r="E60" s="276"/>
      <c r="F60" s="272">
        <v>0</v>
      </c>
      <c r="G60" s="272">
        <v>0</v>
      </c>
      <c r="H60" s="272">
        <v>0</v>
      </c>
      <c r="I60" s="272">
        <v>34.575000000000003</v>
      </c>
      <c r="J60" s="272">
        <v>10303.35</v>
      </c>
      <c r="K60" s="272">
        <v>0</v>
      </c>
      <c r="L60" s="272">
        <v>0</v>
      </c>
      <c r="M60" s="272">
        <v>0</v>
      </c>
      <c r="N60" s="272">
        <v>0</v>
      </c>
      <c r="O60" s="272">
        <v>10303.35</v>
      </c>
      <c r="P60" s="276"/>
    </row>
    <row r="61" spans="1:16" s="277" customFormat="1" ht="12" x14ac:dyDescent="0.2">
      <c r="A61" s="235"/>
      <c r="B61" s="270"/>
      <c r="C61" s="236" t="s">
        <v>771</v>
      </c>
      <c r="D61" s="276"/>
      <c r="E61" s="276"/>
      <c r="F61" s="272">
        <v>3125.0627324263601</v>
      </c>
      <c r="G61" s="272">
        <v>4.8539068374479299</v>
      </c>
      <c r="H61" s="272">
        <v>121.347670936198</v>
      </c>
      <c r="I61" s="272">
        <v>4.9087752145394001E-2</v>
      </c>
      <c r="J61" s="272">
        <v>14.628150139327399</v>
      </c>
      <c r="K61" s="272">
        <v>0</v>
      </c>
      <c r="L61" s="272">
        <v>0</v>
      </c>
      <c r="M61" s="272">
        <v>0</v>
      </c>
      <c r="N61" s="272">
        <v>0</v>
      </c>
      <c r="O61" s="272">
        <v>3261.03855350189</v>
      </c>
      <c r="P61" s="276"/>
    </row>
    <row r="62" spans="1:16" s="240" customFormat="1" ht="12.75" x14ac:dyDescent="0.2">
      <c r="A62" s="224" t="s">
        <v>758</v>
      </c>
      <c r="B62" s="225" t="s">
        <v>772</v>
      </c>
      <c r="C62" s="225"/>
      <c r="D62" s="268"/>
      <c r="E62" s="268"/>
      <c r="F62" s="269">
        <v>13191.5319992439</v>
      </c>
      <c r="G62" s="269">
        <v>9.1758332400000003E-2</v>
      </c>
      <c r="H62" s="269">
        <v>2.2939583099999998</v>
      </c>
      <c r="I62" s="269">
        <v>0</v>
      </c>
      <c r="J62" s="269">
        <v>0</v>
      </c>
      <c r="K62" s="269">
        <v>0</v>
      </c>
      <c r="L62" s="269">
        <v>7557.8429979986804</v>
      </c>
      <c r="M62" s="269">
        <v>3019.3861135894999</v>
      </c>
      <c r="N62" s="269">
        <v>0</v>
      </c>
      <c r="O62" s="269">
        <v>23771.055069142101</v>
      </c>
      <c r="P62" s="268"/>
    </row>
    <row r="63" spans="1:16" s="273" customFormat="1" ht="12" x14ac:dyDescent="0.2">
      <c r="A63" s="235"/>
      <c r="B63" s="230"/>
      <c r="C63" s="230" t="s">
        <v>773</v>
      </c>
      <c r="D63" s="271"/>
      <c r="E63" s="271"/>
      <c r="F63" s="272">
        <v>10476.8989992439</v>
      </c>
      <c r="G63" s="272">
        <v>9.1758332400000003E-2</v>
      </c>
      <c r="H63" s="272">
        <v>2.2939583099999998</v>
      </c>
      <c r="I63" s="272">
        <v>0</v>
      </c>
      <c r="J63" s="272">
        <v>0</v>
      </c>
      <c r="K63" s="272">
        <v>0</v>
      </c>
      <c r="L63" s="272">
        <v>0</v>
      </c>
      <c r="M63" s="272">
        <v>0</v>
      </c>
      <c r="N63" s="272">
        <v>0</v>
      </c>
      <c r="O63" s="272">
        <v>10479.1929575539</v>
      </c>
      <c r="P63" s="271"/>
    </row>
    <row r="64" spans="1:16" s="273" customFormat="1" ht="12" x14ac:dyDescent="0.2">
      <c r="A64" s="235"/>
      <c r="B64" s="230"/>
      <c r="C64" s="230" t="s">
        <v>252</v>
      </c>
      <c r="D64" s="271"/>
      <c r="E64" s="271"/>
      <c r="F64" s="272">
        <v>2714.6329999999998</v>
      </c>
      <c r="G64" s="272">
        <v>0</v>
      </c>
      <c r="H64" s="272">
        <v>0</v>
      </c>
      <c r="I64" s="272">
        <v>0</v>
      </c>
      <c r="J64" s="272">
        <v>0</v>
      </c>
      <c r="K64" s="272">
        <v>0</v>
      </c>
      <c r="L64" s="272">
        <v>7557.8429979986804</v>
      </c>
      <c r="M64" s="272">
        <v>56.3408033472803</v>
      </c>
      <c r="N64" s="272">
        <v>0</v>
      </c>
      <c r="O64" s="272">
        <v>10328.816801346</v>
      </c>
      <c r="P64" s="271"/>
    </row>
    <row r="65" spans="1:16" s="273" customFormat="1" ht="13.5" x14ac:dyDescent="0.25">
      <c r="A65" s="235"/>
      <c r="B65" s="230"/>
      <c r="C65" s="230" t="s">
        <v>774</v>
      </c>
      <c r="D65" s="271"/>
      <c r="E65" s="271"/>
      <c r="F65" s="272">
        <v>0</v>
      </c>
      <c r="G65" s="272">
        <v>0</v>
      </c>
      <c r="H65" s="272">
        <v>0</v>
      </c>
      <c r="I65" s="272">
        <v>0</v>
      </c>
      <c r="J65" s="272">
        <v>0</v>
      </c>
      <c r="K65" s="272">
        <v>0</v>
      </c>
      <c r="L65" s="272">
        <v>0</v>
      </c>
      <c r="M65" s="272">
        <v>2963.0453102422198</v>
      </c>
      <c r="N65" s="272">
        <v>0</v>
      </c>
      <c r="O65" s="272">
        <v>2963.0453102422198</v>
      </c>
      <c r="P65" s="271"/>
    </row>
    <row r="66" spans="1:16" s="234" customFormat="1" x14ac:dyDescent="0.25">
      <c r="A66" s="278" t="s">
        <v>764</v>
      </c>
      <c r="B66" s="279" t="s">
        <v>775</v>
      </c>
      <c r="C66" s="279"/>
      <c r="D66" s="251"/>
      <c r="E66" s="251"/>
      <c r="F66" s="252">
        <v>0</v>
      </c>
      <c r="G66" s="252">
        <v>0</v>
      </c>
      <c r="H66" s="252">
        <v>0</v>
      </c>
      <c r="I66" s="252">
        <v>0</v>
      </c>
      <c r="J66" s="252">
        <v>0</v>
      </c>
      <c r="K66" s="252">
        <v>970.54019200000005</v>
      </c>
      <c r="L66" s="252">
        <v>5.886135E-2</v>
      </c>
      <c r="M66" s="252">
        <v>4.3776520400255103</v>
      </c>
      <c r="N66" s="252">
        <v>0.324454149333333</v>
      </c>
      <c r="O66" s="252">
        <v>975.30115953935899</v>
      </c>
      <c r="P66" s="251"/>
    </row>
    <row r="67" spans="1:16" s="234" customFormat="1" ht="12.75" x14ac:dyDescent="0.2">
      <c r="A67" s="278" t="s">
        <v>776</v>
      </c>
      <c r="B67" s="279" t="s">
        <v>777</v>
      </c>
      <c r="C67" s="279"/>
      <c r="D67" s="251"/>
      <c r="E67" s="251"/>
      <c r="F67" s="252">
        <v>5015.1774364478497</v>
      </c>
      <c r="G67" s="252">
        <v>0</v>
      </c>
      <c r="H67" s="252">
        <v>0</v>
      </c>
      <c r="I67" s="252">
        <v>0</v>
      </c>
      <c r="J67" s="252">
        <v>0</v>
      </c>
      <c r="K67" s="252">
        <v>0</v>
      </c>
      <c r="L67" s="252">
        <v>0</v>
      </c>
      <c r="M67" s="252">
        <v>0</v>
      </c>
      <c r="N67" s="252">
        <v>0</v>
      </c>
      <c r="O67" s="252">
        <v>5015.1774364478497</v>
      </c>
      <c r="P67" s="251"/>
    </row>
    <row r="68" spans="1:16" s="234" customFormat="1" ht="12.75" x14ac:dyDescent="0.2">
      <c r="A68" s="259" t="s">
        <v>778</v>
      </c>
      <c r="B68" s="260" t="s">
        <v>779</v>
      </c>
      <c r="C68" s="260"/>
      <c r="D68" s="280"/>
      <c r="E68" s="280"/>
      <c r="F68" s="281">
        <v>0</v>
      </c>
      <c r="G68" s="281">
        <v>0</v>
      </c>
      <c r="H68" s="281">
        <v>0</v>
      </c>
      <c r="I68" s="281">
        <v>0.576480869108843</v>
      </c>
      <c r="J68" s="281">
        <v>171.79129899443501</v>
      </c>
      <c r="K68" s="281">
        <v>0</v>
      </c>
      <c r="L68" s="281">
        <v>0</v>
      </c>
      <c r="M68" s="281">
        <v>202.16233908586199</v>
      </c>
      <c r="N68" s="281">
        <v>0</v>
      </c>
      <c r="O68" s="281">
        <v>373.95363808029799</v>
      </c>
      <c r="P68" s="251"/>
    </row>
    <row r="69" spans="1:16" s="267" customFormat="1" ht="12.75" x14ac:dyDescent="0.2">
      <c r="A69" s="282" t="s">
        <v>780</v>
      </c>
      <c r="B69" s="283"/>
      <c r="C69" s="283"/>
      <c r="D69" s="284"/>
      <c r="E69" s="284"/>
      <c r="F69" s="285">
        <v>1190.6370666666701</v>
      </c>
      <c r="G69" s="285">
        <v>1059.3101933237101</v>
      </c>
      <c r="H69" s="285">
        <v>26482.7548330928</v>
      </c>
      <c r="I69" s="285">
        <v>69.919883203426195</v>
      </c>
      <c r="J69" s="285">
        <v>20836.125194621</v>
      </c>
      <c r="K69" s="285">
        <v>0</v>
      </c>
      <c r="L69" s="285">
        <v>0</v>
      </c>
      <c r="M69" s="285">
        <v>0</v>
      </c>
      <c r="N69" s="285">
        <v>0</v>
      </c>
      <c r="O69" s="285">
        <v>48509.517094380397</v>
      </c>
      <c r="P69" s="265"/>
    </row>
    <row r="70" spans="1:16" s="234" customFormat="1" ht="12.75" x14ac:dyDescent="0.2">
      <c r="A70" s="278" t="s">
        <v>724</v>
      </c>
      <c r="B70" s="279" t="s">
        <v>27</v>
      </c>
      <c r="C70" s="279"/>
      <c r="D70" s="251"/>
      <c r="E70" s="251"/>
      <c r="F70" s="252">
        <v>0</v>
      </c>
      <c r="G70" s="252">
        <v>912.610851225327</v>
      </c>
      <c r="H70" s="252">
        <v>22815.271280633198</v>
      </c>
      <c r="I70" s="252">
        <v>0</v>
      </c>
      <c r="J70" s="252">
        <v>0</v>
      </c>
      <c r="K70" s="252">
        <v>0</v>
      </c>
      <c r="L70" s="252">
        <v>0</v>
      </c>
      <c r="M70" s="252">
        <v>0</v>
      </c>
      <c r="N70" s="252">
        <v>0</v>
      </c>
      <c r="O70" s="252">
        <v>22815.271280633198</v>
      </c>
      <c r="P70" s="251"/>
    </row>
    <row r="71" spans="1:16" s="234" customFormat="1" ht="12.75" x14ac:dyDescent="0.2">
      <c r="A71" s="278" t="s">
        <v>737</v>
      </c>
      <c r="B71" s="279" t="s">
        <v>28</v>
      </c>
      <c r="C71" s="279"/>
      <c r="D71" s="251"/>
      <c r="E71" s="251"/>
      <c r="F71" s="252">
        <v>0</v>
      </c>
      <c r="G71" s="252">
        <v>139.636279030357</v>
      </c>
      <c r="H71" s="252">
        <v>3490.90697575894</v>
      </c>
      <c r="I71" s="252">
        <v>13.613599875746401</v>
      </c>
      <c r="J71" s="252">
        <v>4056.8527629724199</v>
      </c>
      <c r="K71" s="252">
        <v>0</v>
      </c>
      <c r="L71" s="252">
        <v>0</v>
      </c>
      <c r="M71" s="252">
        <v>0</v>
      </c>
      <c r="N71" s="252">
        <v>0</v>
      </c>
      <c r="O71" s="252">
        <v>7547.7597387313499</v>
      </c>
      <c r="P71" s="251"/>
    </row>
    <row r="72" spans="1:16" s="234" customFormat="1" ht="12.75" x14ac:dyDescent="0.2">
      <c r="A72" s="224" t="s">
        <v>758</v>
      </c>
      <c r="B72" s="225" t="s">
        <v>781</v>
      </c>
      <c r="C72" s="225"/>
      <c r="F72" s="231">
        <v>0</v>
      </c>
      <c r="G72" s="231">
        <v>0</v>
      </c>
      <c r="H72" s="231">
        <v>0</v>
      </c>
      <c r="I72" s="231">
        <v>56.123166877768</v>
      </c>
      <c r="J72" s="231">
        <v>16724.7037295749</v>
      </c>
      <c r="K72" s="231">
        <v>0</v>
      </c>
      <c r="L72" s="231">
        <v>0</v>
      </c>
      <c r="M72" s="231">
        <v>0</v>
      </c>
      <c r="N72" s="231">
        <v>0</v>
      </c>
      <c r="O72" s="231">
        <v>16724.7037295749</v>
      </c>
    </row>
    <row r="73" spans="1:16" s="237" customFormat="1" ht="12" x14ac:dyDescent="0.2">
      <c r="A73" s="286"/>
      <c r="B73" s="258"/>
      <c r="C73" s="258" t="s">
        <v>782</v>
      </c>
      <c r="D73" s="243"/>
      <c r="E73" s="243"/>
      <c r="F73" s="244">
        <v>0</v>
      </c>
      <c r="G73" s="244">
        <v>0</v>
      </c>
      <c r="H73" s="244">
        <v>0</v>
      </c>
      <c r="I73" s="244">
        <v>47.0065221804497</v>
      </c>
      <c r="J73" s="244">
        <v>14007.943609774</v>
      </c>
      <c r="K73" s="244">
        <v>0</v>
      </c>
      <c r="L73" s="244">
        <v>0</v>
      </c>
      <c r="M73" s="244">
        <v>0</v>
      </c>
      <c r="N73" s="244">
        <v>0</v>
      </c>
      <c r="O73" s="244">
        <v>14007.943609774</v>
      </c>
    </row>
    <row r="74" spans="1:16" s="237" customFormat="1" ht="12" x14ac:dyDescent="0.2">
      <c r="A74" s="286"/>
      <c r="B74" s="258"/>
      <c r="C74" s="258" t="s">
        <v>783</v>
      </c>
      <c r="D74" s="243"/>
      <c r="E74" s="243"/>
      <c r="F74" s="244">
        <v>0</v>
      </c>
      <c r="G74" s="244">
        <v>0</v>
      </c>
      <c r="H74" s="244">
        <v>0</v>
      </c>
      <c r="I74" s="244">
        <v>9.1166446973183195</v>
      </c>
      <c r="J74" s="244">
        <v>2716.7601198008601</v>
      </c>
      <c r="K74" s="244">
        <v>0</v>
      </c>
      <c r="L74" s="244">
        <v>0</v>
      </c>
      <c r="M74" s="244">
        <v>0</v>
      </c>
      <c r="N74" s="244">
        <v>0</v>
      </c>
      <c r="O74" s="244">
        <v>2716.7601198008601</v>
      </c>
    </row>
    <row r="75" spans="1:16" s="234" customFormat="1" ht="12.75" x14ac:dyDescent="0.2">
      <c r="A75" s="278" t="s">
        <v>764</v>
      </c>
      <c r="B75" s="279" t="s">
        <v>193</v>
      </c>
      <c r="C75" s="287"/>
      <c r="D75" s="251"/>
      <c r="E75" s="251"/>
      <c r="F75" s="252">
        <v>0</v>
      </c>
      <c r="G75" s="252">
        <v>7.0630630680255901</v>
      </c>
      <c r="H75" s="252">
        <v>176.57657670064</v>
      </c>
      <c r="I75" s="252">
        <v>0.183116449911774</v>
      </c>
      <c r="J75" s="252">
        <v>54.5687020737087</v>
      </c>
      <c r="K75" s="252">
        <v>0</v>
      </c>
      <c r="L75" s="252">
        <v>0</v>
      </c>
      <c r="M75" s="252">
        <v>0</v>
      </c>
      <c r="N75" s="252">
        <v>0</v>
      </c>
      <c r="O75" s="252">
        <v>231.14527877434799</v>
      </c>
    </row>
    <row r="76" spans="1:16" s="234" customFormat="1" ht="12.75" x14ac:dyDescent="0.2">
      <c r="A76" s="259" t="s">
        <v>776</v>
      </c>
      <c r="B76" s="260" t="s">
        <v>784</v>
      </c>
      <c r="C76" s="288"/>
      <c r="D76" s="280"/>
      <c r="E76" s="280"/>
      <c r="F76" s="281">
        <v>1190.6370666666701</v>
      </c>
      <c r="G76" s="281">
        <v>0</v>
      </c>
      <c r="H76" s="281">
        <v>0</v>
      </c>
      <c r="I76" s="281">
        <v>0</v>
      </c>
      <c r="J76" s="281">
        <v>0</v>
      </c>
      <c r="K76" s="281">
        <v>0</v>
      </c>
      <c r="L76" s="281">
        <v>0</v>
      </c>
      <c r="M76" s="281">
        <v>0</v>
      </c>
      <c r="N76" s="281">
        <v>0</v>
      </c>
      <c r="O76" s="281">
        <v>1190.6370666666701</v>
      </c>
    </row>
    <row r="77" spans="1:16" s="234" customFormat="1" ht="12.75" x14ac:dyDescent="0.2">
      <c r="A77" s="220" t="s">
        <v>785</v>
      </c>
      <c r="B77" s="289"/>
      <c r="C77" s="289"/>
      <c r="F77" s="223">
        <v>511.21580719999997</v>
      </c>
      <c r="G77" s="223">
        <v>895.25764516000004</v>
      </c>
      <c r="H77" s="223">
        <v>22381.441128999999</v>
      </c>
      <c r="I77" s="223">
        <v>3.3824979700000002</v>
      </c>
      <c r="J77" s="223">
        <v>1007.98439506</v>
      </c>
      <c r="K77" s="223">
        <v>0</v>
      </c>
      <c r="L77" s="223">
        <v>0</v>
      </c>
      <c r="M77" s="223">
        <v>0</v>
      </c>
      <c r="N77" s="223">
        <v>0</v>
      </c>
      <c r="O77" s="223">
        <v>23900.641331260002</v>
      </c>
    </row>
    <row r="78" spans="1:16" s="234" customFormat="1" ht="12.75" x14ac:dyDescent="0.2">
      <c r="A78" s="224" t="s">
        <v>724</v>
      </c>
      <c r="B78" s="225" t="s">
        <v>786</v>
      </c>
      <c r="C78" s="225"/>
      <c r="F78" s="231">
        <v>0</v>
      </c>
      <c r="G78" s="231">
        <v>860.80127040000002</v>
      </c>
      <c r="H78" s="231">
        <v>21520.031760000002</v>
      </c>
      <c r="I78" s="231">
        <v>0</v>
      </c>
      <c r="J78" s="231">
        <v>0</v>
      </c>
      <c r="K78" s="231">
        <v>0</v>
      </c>
      <c r="L78" s="231">
        <v>0</v>
      </c>
      <c r="M78" s="231">
        <v>0</v>
      </c>
      <c r="N78" s="231">
        <v>0</v>
      </c>
      <c r="O78" s="231">
        <v>21520.031760000002</v>
      </c>
    </row>
    <row r="79" spans="1:16" s="234" customFormat="1" ht="12.75" x14ac:dyDescent="0.2">
      <c r="A79" s="224" t="s">
        <v>737</v>
      </c>
      <c r="B79" s="225" t="s">
        <v>787</v>
      </c>
      <c r="C79" s="225"/>
      <c r="F79" s="231">
        <v>0</v>
      </c>
      <c r="G79" s="231">
        <v>16.741057470000001</v>
      </c>
      <c r="H79" s="231">
        <v>418.52643675000002</v>
      </c>
      <c r="I79" s="231">
        <v>1.00446345</v>
      </c>
      <c r="J79" s="231">
        <v>299.33010810000002</v>
      </c>
      <c r="K79" s="231">
        <v>0</v>
      </c>
      <c r="L79" s="231">
        <v>0</v>
      </c>
      <c r="M79" s="231">
        <v>0</v>
      </c>
      <c r="N79" s="231">
        <v>0</v>
      </c>
      <c r="O79" s="231">
        <v>717.85654484999998</v>
      </c>
    </row>
    <row r="80" spans="1:16" s="234" customFormat="1" ht="12.75" x14ac:dyDescent="0.2">
      <c r="A80" s="278" t="s">
        <v>788</v>
      </c>
      <c r="B80" s="279" t="s">
        <v>789</v>
      </c>
      <c r="C80" s="279"/>
      <c r="D80" s="251"/>
      <c r="E80" s="251"/>
      <c r="F80" s="252">
        <v>0</v>
      </c>
      <c r="G80" s="252">
        <v>15.04188119</v>
      </c>
      <c r="H80" s="252">
        <v>376.04702974999998</v>
      </c>
      <c r="I80" s="252">
        <v>1.65842782</v>
      </c>
      <c r="J80" s="252">
        <v>494.21149036000003</v>
      </c>
      <c r="K80" s="252">
        <v>0</v>
      </c>
      <c r="L80" s="252">
        <v>0</v>
      </c>
      <c r="M80" s="252">
        <v>0</v>
      </c>
      <c r="N80" s="252">
        <v>0</v>
      </c>
      <c r="O80" s="252">
        <v>870.25852010999995</v>
      </c>
    </row>
    <row r="81" spans="1:76" s="234" customFormat="1" ht="12.75" x14ac:dyDescent="0.2">
      <c r="A81" s="259" t="s">
        <v>764</v>
      </c>
      <c r="B81" s="260" t="s">
        <v>790</v>
      </c>
      <c r="C81" s="260"/>
      <c r="D81" s="280"/>
      <c r="E81" s="280"/>
      <c r="F81" s="281">
        <v>511.21580719999997</v>
      </c>
      <c r="G81" s="281">
        <v>2.6734361</v>
      </c>
      <c r="H81" s="281">
        <v>66.835902500000003</v>
      </c>
      <c r="I81" s="281">
        <v>0.71960670000000004</v>
      </c>
      <c r="J81" s="281">
        <v>214.44279660000001</v>
      </c>
      <c r="K81" s="281">
        <v>0</v>
      </c>
      <c r="L81" s="281">
        <v>0</v>
      </c>
      <c r="M81" s="281">
        <v>0</v>
      </c>
      <c r="N81" s="281">
        <v>0</v>
      </c>
      <c r="O81" s="281">
        <v>792.49450630000001</v>
      </c>
    </row>
    <row r="82" spans="1:76" s="267" customFormat="1" ht="12.75" x14ac:dyDescent="0.2">
      <c r="A82" s="263" t="s">
        <v>791</v>
      </c>
      <c r="B82" s="264"/>
      <c r="C82" s="264"/>
      <c r="F82" s="223">
        <v>-101079.61951800001</v>
      </c>
      <c r="G82" s="223">
        <v>50.553800000000003</v>
      </c>
      <c r="H82" s="223">
        <v>1263.845</v>
      </c>
      <c r="I82" s="223">
        <v>1.8151010000000001</v>
      </c>
      <c r="J82" s="223">
        <v>540.90009799999996</v>
      </c>
      <c r="K82" s="223">
        <v>0</v>
      </c>
      <c r="L82" s="223">
        <v>0</v>
      </c>
      <c r="M82" s="223">
        <v>0</v>
      </c>
      <c r="N82" s="223">
        <v>0</v>
      </c>
      <c r="O82" s="223">
        <v>-99274.874419999993</v>
      </c>
    </row>
    <row r="83" spans="1:76" s="234" customFormat="1" ht="12.75" x14ac:dyDescent="0.2">
      <c r="A83" s="224" t="s">
        <v>724</v>
      </c>
      <c r="B83" s="225" t="s">
        <v>792</v>
      </c>
      <c r="C83" s="225"/>
      <c r="F83" s="231">
        <v>-252744.79120800001</v>
      </c>
      <c r="G83" s="231">
        <v>12.473051999999999</v>
      </c>
      <c r="H83" s="231">
        <v>311.8263</v>
      </c>
      <c r="I83" s="231">
        <v>0.48438999999999999</v>
      </c>
      <c r="J83" s="231">
        <v>144.34822</v>
      </c>
      <c r="K83" s="231">
        <v>0</v>
      </c>
      <c r="L83" s="231">
        <v>0</v>
      </c>
      <c r="M83" s="231">
        <v>0</v>
      </c>
      <c r="N83" s="231">
        <v>0</v>
      </c>
      <c r="O83" s="231">
        <v>-252288.61668800001</v>
      </c>
    </row>
    <row r="84" spans="1:76" s="234" customFormat="1" ht="12.75" x14ac:dyDescent="0.2">
      <c r="A84" s="224" t="s">
        <v>737</v>
      </c>
      <c r="B84" s="225" t="s">
        <v>793</v>
      </c>
      <c r="C84" s="225"/>
      <c r="F84" s="231">
        <v>8397.8195899999992</v>
      </c>
      <c r="G84" s="231">
        <v>13.295444</v>
      </c>
      <c r="H84" s="231">
        <v>332.3861</v>
      </c>
      <c r="I84" s="231">
        <v>0.63234999999999997</v>
      </c>
      <c r="J84" s="231">
        <v>188.44030000000001</v>
      </c>
      <c r="K84" s="231">
        <v>0</v>
      </c>
      <c r="L84" s="231">
        <v>0</v>
      </c>
      <c r="M84" s="231">
        <v>0</v>
      </c>
      <c r="N84" s="231">
        <v>0</v>
      </c>
      <c r="O84" s="231">
        <v>8918.6459900000009</v>
      </c>
    </row>
    <row r="85" spans="1:76" s="234" customFormat="1" ht="12.75" x14ac:dyDescent="0.2">
      <c r="A85" s="278" t="s">
        <v>758</v>
      </c>
      <c r="B85" s="279" t="s">
        <v>794</v>
      </c>
      <c r="C85" s="279"/>
      <c r="F85" s="231">
        <v>0</v>
      </c>
      <c r="G85" s="231">
        <v>19.663740000000001</v>
      </c>
      <c r="H85" s="231">
        <v>491.59350000000001</v>
      </c>
      <c r="I85" s="231">
        <v>0.50978999999999997</v>
      </c>
      <c r="J85" s="231">
        <v>151.91741999999999</v>
      </c>
      <c r="K85" s="231">
        <v>0</v>
      </c>
      <c r="L85" s="231">
        <v>0</v>
      </c>
      <c r="M85" s="231">
        <v>0</v>
      </c>
      <c r="N85" s="231">
        <v>0</v>
      </c>
      <c r="O85" s="231">
        <v>643.51092000000006</v>
      </c>
    </row>
    <row r="86" spans="1:76" s="234" customFormat="1" ht="12.75" x14ac:dyDescent="0.2">
      <c r="A86" s="278" t="s">
        <v>764</v>
      </c>
      <c r="B86" s="279" t="s">
        <v>795</v>
      </c>
      <c r="C86" s="279"/>
      <c r="F86" s="231">
        <v>4877.3823030000003</v>
      </c>
      <c r="G86" s="231">
        <v>0.55935500000000005</v>
      </c>
      <c r="H86" s="231">
        <v>13.983874999999999</v>
      </c>
      <c r="I86" s="231">
        <v>2.843E-2</v>
      </c>
      <c r="J86" s="231">
        <v>8.4721399999999996</v>
      </c>
      <c r="K86" s="231">
        <v>0</v>
      </c>
      <c r="L86" s="231">
        <v>0</v>
      </c>
      <c r="M86" s="231">
        <v>0</v>
      </c>
      <c r="N86" s="231">
        <v>0</v>
      </c>
      <c r="O86" s="231">
        <v>4899.8383180000001</v>
      </c>
    </row>
    <row r="87" spans="1:76" s="234" customFormat="1" ht="12.75" x14ac:dyDescent="0.2">
      <c r="A87" s="278" t="s">
        <v>776</v>
      </c>
      <c r="B87" s="279" t="s">
        <v>796</v>
      </c>
      <c r="C87" s="279"/>
      <c r="D87" s="251"/>
      <c r="E87" s="251"/>
      <c r="F87" s="252">
        <v>3886.5424720000001</v>
      </c>
      <c r="G87" s="252">
        <v>4.5622090000000002</v>
      </c>
      <c r="H87" s="252">
        <v>114.05522499999999</v>
      </c>
      <c r="I87" s="252">
        <v>0.16014100000000001</v>
      </c>
      <c r="J87" s="252">
        <v>47.722017999999998</v>
      </c>
      <c r="K87" s="252">
        <v>0</v>
      </c>
      <c r="L87" s="252">
        <v>0</v>
      </c>
      <c r="M87" s="252">
        <v>0</v>
      </c>
      <c r="N87" s="252">
        <v>0</v>
      </c>
      <c r="O87" s="252">
        <v>4048.3197150000001</v>
      </c>
    </row>
    <row r="88" spans="1:76" s="234" customFormat="1" ht="12.75" x14ac:dyDescent="0.2">
      <c r="A88" s="259" t="s">
        <v>778</v>
      </c>
      <c r="B88" s="260" t="s">
        <v>797</v>
      </c>
      <c r="C88" s="260"/>
      <c r="D88" s="280"/>
      <c r="E88" s="280"/>
      <c r="F88" s="281">
        <v>134503.427325</v>
      </c>
      <c r="G88" s="281">
        <v>0</v>
      </c>
      <c r="H88" s="281">
        <v>0</v>
      </c>
      <c r="I88" s="281">
        <v>0</v>
      </c>
      <c r="J88" s="281">
        <v>0</v>
      </c>
      <c r="K88" s="281">
        <v>0</v>
      </c>
      <c r="L88" s="281">
        <v>0</v>
      </c>
      <c r="M88" s="281">
        <v>0</v>
      </c>
      <c r="N88" s="281">
        <v>0</v>
      </c>
      <c r="O88" s="281">
        <v>134503.427325</v>
      </c>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c r="BL88" s="251"/>
      <c r="BM88" s="251"/>
      <c r="BN88" s="251"/>
      <c r="BO88" s="251"/>
      <c r="BP88" s="251"/>
      <c r="BQ88" s="251"/>
      <c r="BR88" s="251"/>
      <c r="BS88" s="251"/>
      <c r="BT88" s="251"/>
      <c r="BU88" s="251"/>
      <c r="BV88" s="251"/>
      <c r="BW88" s="251"/>
      <c r="BX88" s="251"/>
    </row>
    <row r="89" spans="1:76" s="219" customFormat="1" ht="14.25" x14ac:dyDescent="0.2">
      <c r="F89" s="290"/>
      <c r="G89" s="290"/>
      <c r="H89" s="290"/>
      <c r="I89" s="290"/>
      <c r="J89" s="290"/>
      <c r="K89" s="290"/>
      <c r="L89" s="290"/>
      <c r="M89" s="290"/>
      <c r="N89" s="290"/>
      <c r="O89" s="290"/>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c r="AQ89" s="291"/>
      <c r="AR89" s="291"/>
      <c r="AS89" s="291"/>
      <c r="AT89" s="291"/>
      <c r="AU89" s="291"/>
      <c r="AV89" s="291"/>
      <c r="AW89" s="291"/>
      <c r="AX89" s="291"/>
      <c r="AY89" s="291"/>
      <c r="AZ89" s="291"/>
      <c r="BA89" s="291"/>
      <c r="BB89" s="291"/>
      <c r="BC89" s="291"/>
      <c r="BD89" s="291"/>
      <c r="BE89" s="291"/>
      <c r="BF89" s="291"/>
      <c r="BG89" s="291"/>
      <c r="BH89" s="291"/>
      <c r="BI89" s="291"/>
      <c r="BJ89" s="291"/>
      <c r="BK89" s="291"/>
      <c r="BL89" s="291"/>
      <c r="BM89" s="291"/>
      <c r="BN89" s="291"/>
      <c r="BO89" s="291"/>
      <c r="BP89" s="291"/>
      <c r="BQ89" s="291"/>
      <c r="BR89" s="291"/>
      <c r="BS89" s="291"/>
      <c r="BT89" s="291"/>
      <c r="BU89" s="291"/>
      <c r="BV89" s="291"/>
      <c r="BW89" s="291"/>
      <c r="BX89" s="291"/>
    </row>
    <row r="90" spans="1:76" x14ac:dyDescent="0.2">
      <c r="A90" s="234" t="s">
        <v>256</v>
      </c>
      <c r="B90" s="292"/>
      <c r="C90" s="292"/>
      <c r="D90" s="292"/>
      <c r="E90" s="292"/>
      <c r="F90" s="292"/>
      <c r="G90" s="292"/>
      <c r="H90" s="292"/>
      <c r="I90" s="292"/>
      <c r="J90" s="292"/>
      <c r="K90" s="292"/>
      <c r="L90" s="292"/>
      <c r="M90" s="292"/>
      <c r="N90" s="292"/>
      <c r="O90" s="292"/>
      <c r="P90" s="298"/>
      <c r="Q90" s="298"/>
      <c r="R90" s="298"/>
      <c r="S90" s="298"/>
      <c r="T90" s="298"/>
      <c r="U90" s="298"/>
      <c r="V90" s="298"/>
      <c r="W90" s="298"/>
      <c r="X90" s="298"/>
      <c r="Y90" s="298"/>
      <c r="Z90" s="298"/>
      <c r="AA90" s="298"/>
      <c r="AB90" s="298"/>
      <c r="AC90" s="298"/>
      <c r="AD90" s="298"/>
      <c r="AE90" s="298"/>
      <c r="AF90" s="298"/>
      <c r="AG90" s="298"/>
      <c r="AH90" s="298"/>
      <c r="AI90" s="298"/>
      <c r="AJ90" s="298"/>
      <c r="AK90" s="298"/>
      <c r="AL90" s="298"/>
      <c r="AM90" s="298"/>
      <c r="AN90" s="298"/>
      <c r="AO90" s="298"/>
      <c r="AP90" s="298"/>
      <c r="AQ90" s="298"/>
      <c r="AR90" s="298"/>
      <c r="AS90" s="298"/>
      <c r="AT90" s="298"/>
      <c r="AU90" s="298"/>
      <c r="AV90" s="298"/>
      <c r="AW90" s="298"/>
      <c r="AX90" s="298"/>
      <c r="AY90" s="298"/>
      <c r="AZ90" s="298"/>
      <c r="BA90" s="298"/>
      <c r="BB90" s="298"/>
      <c r="BC90" s="298"/>
      <c r="BD90" s="298"/>
      <c r="BE90" s="298"/>
      <c r="BF90" s="298"/>
      <c r="BG90" s="298"/>
      <c r="BH90" s="298"/>
      <c r="BI90" s="298"/>
      <c r="BJ90" s="298"/>
      <c r="BK90" s="298"/>
      <c r="BL90" s="298"/>
      <c r="BM90" s="298"/>
      <c r="BN90" s="298"/>
      <c r="BO90" s="298"/>
      <c r="BP90" s="298"/>
      <c r="BQ90" s="298"/>
      <c r="BR90" s="298"/>
      <c r="BS90" s="298"/>
      <c r="BT90" s="298"/>
      <c r="BU90" s="298"/>
      <c r="BV90" s="298"/>
      <c r="BW90" s="298"/>
      <c r="BX90" s="298"/>
    </row>
    <row r="91" spans="1:76" s="234" customFormat="1" ht="12.75" x14ac:dyDescent="0.2">
      <c r="A91" s="234" t="s">
        <v>798</v>
      </c>
      <c r="J91" s="293"/>
      <c r="O91" s="293"/>
    </row>
    <row r="92" spans="1:76" s="234" customFormat="1" ht="12.75" x14ac:dyDescent="0.2">
      <c r="A92" s="234" t="s">
        <v>799</v>
      </c>
      <c r="J92" s="293"/>
      <c r="O92" s="293"/>
    </row>
    <row r="93" spans="1:76" s="234" customFormat="1" ht="15.75" x14ac:dyDescent="0.3">
      <c r="A93" s="234" t="s">
        <v>800</v>
      </c>
      <c r="J93" s="293"/>
      <c r="O93" s="293"/>
    </row>
    <row r="94" spans="1:76" s="234" customFormat="1" ht="12.75" x14ac:dyDescent="0.2">
      <c r="A94" s="234" t="s">
        <v>801</v>
      </c>
      <c r="J94" s="293"/>
      <c r="O94" s="293"/>
    </row>
    <row r="95" spans="1:76" s="234" customFormat="1" ht="12.75" x14ac:dyDescent="0.2">
      <c r="A95" s="234" t="s">
        <v>802</v>
      </c>
      <c r="B95" s="234" t="s">
        <v>803</v>
      </c>
      <c r="J95" s="293"/>
      <c r="O95" s="293"/>
    </row>
    <row r="96" spans="1:76" s="234" customFormat="1" ht="12.75" x14ac:dyDescent="0.2">
      <c r="A96" s="294">
        <v>0</v>
      </c>
      <c r="B96" s="234" t="s">
        <v>804</v>
      </c>
      <c r="J96" s="293"/>
      <c r="O96" s="293"/>
    </row>
    <row r="97" spans="1:15" s="234" customFormat="1" ht="12.75" x14ac:dyDescent="0.2">
      <c r="A97" s="234" t="s">
        <v>806</v>
      </c>
      <c r="J97" s="293"/>
      <c r="O97" s="293"/>
    </row>
    <row r="98" spans="1:15" s="234" customFormat="1" ht="12.75" x14ac:dyDescent="0.2">
      <c r="A98" s="295" t="s">
        <v>807</v>
      </c>
      <c r="J98" s="293"/>
      <c r="O98" s="293"/>
    </row>
    <row r="99" spans="1:15" x14ac:dyDescent="0.2">
      <c r="A99" s="296" t="s">
        <v>808</v>
      </c>
      <c r="B99" s="249"/>
      <c r="C99" s="249"/>
      <c r="D99" s="234"/>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6</vt:i4>
      </vt:variant>
    </vt:vector>
  </HeadingPairs>
  <TitlesOfParts>
    <vt:vector size="67" baseType="lpstr">
      <vt:lpstr>About</vt:lpstr>
      <vt:lpstr>Cross-Page Data</vt:lpstr>
      <vt:lpstr>Cement CO2 Emissions</vt:lpstr>
      <vt:lpstr>Iron and Steel</vt:lpstr>
      <vt:lpstr>Coal Mining</vt:lpstr>
      <vt:lpstr>Natural Gas Systems</vt:lpstr>
      <vt:lpstr>Petroleum Systems</vt:lpstr>
      <vt:lpstr>Chem - HCFC 22 Production</vt:lpstr>
      <vt:lpstr>Chem - ODS</vt:lpstr>
      <vt:lpstr>Other - Aluminum</vt:lpstr>
      <vt:lpstr>Other - Magnesium</vt:lpstr>
      <vt:lpstr>Other - Semiconductor Mfg</vt:lpstr>
      <vt:lpstr>Other Industrial Processes</vt:lpstr>
      <vt:lpstr>Other - Elec Trans and Dist</vt:lpstr>
      <vt:lpstr>Agriculture - EF &amp; Manure Mgmt</vt:lpstr>
      <vt:lpstr>Agriculture - Rice Cultivation</vt:lpstr>
      <vt:lpstr>Agriculture - Soil Mgmt</vt:lpstr>
      <vt:lpstr>Waste - Landfills</vt:lpstr>
      <vt:lpstr>Waste - Water Treatment</vt:lpstr>
      <vt:lpstr>Combined Data</vt:lpstr>
      <vt:lpstr>BPEiC-CO2</vt:lpstr>
      <vt:lpstr>BPEiC-CH4</vt:lpstr>
      <vt:lpstr>BPEiC-N2O</vt:lpstr>
      <vt:lpstr>BPEiC-F-gases</vt:lpstr>
      <vt:lpstr>Coal Supply and Demand</vt:lpstr>
      <vt:lpstr>Natural Gas Production</vt:lpstr>
      <vt:lpstr>Crude Oil Production</vt:lpstr>
      <vt:lpstr>Refinery Balances</vt:lpstr>
      <vt:lpstr>Table3s1</vt:lpstr>
      <vt:lpstr>IFPRI Results</vt:lpstr>
      <vt:lpstr>FAO Stats</vt:lpstr>
      <vt:lpstr>Table3.D</vt:lpstr>
      <vt:lpstr>FAPRI Projections</vt:lpstr>
      <vt:lpstr>Table 5</vt:lpstr>
      <vt:lpstr>Macro Indicators</vt:lpstr>
      <vt:lpstr>15</vt:lpstr>
      <vt:lpstr>14</vt:lpstr>
      <vt:lpstr>13</vt:lpstr>
      <vt:lpstr>12</vt:lpstr>
      <vt:lpstr>11</vt:lpstr>
      <vt:lpstr>10</vt:lpstr>
      <vt:lpstr>09</vt:lpstr>
      <vt:lpstr>08</vt:lpstr>
      <vt:lpstr>07</vt:lpstr>
      <vt:lpstr>06</vt:lpstr>
      <vt:lpstr>05</vt:lpstr>
      <vt:lpstr>04</vt:lpstr>
      <vt:lpstr>03</vt:lpstr>
      <vt:lpstr>02</vt:lpstr>
      <vt:lpstr>01</vt:lpstr>
      <vt:lpstr>00</vt:lpstr>
      <vt:lpstr>99</vt:lpstr>
      <vt:lpstr>98</vt:lpstr>
      <vt:lpstr>97</vt:lpstr>
      <vt:lpstr>96</vt:lpstr>
      <vt:lpstr>95</vt:lpstr>
      <vt:lpstr>94</vt:lpstr>
      <vt:lpstr>93</vt:lpstr>
      <vt:lpstr>92</vt:lpstr>
      <vt:lpstr>91</vt:lpstr>
      <vt:lpstr>90</vt:lpstr>
      <vt:lpstr>CH4_to_CO2e</vt:lpstr>
      <vt:lpstr>CRF_Table3.D_Add</vt:lpstr>
      <vt:lpstr>CRF_Table3.D_Doc</vt:lpstr>
      <vt:lpstr>CRF_Table3.D_Main</vt:lpstr>
      <vt:lpstr>CRF_Table3s1_Main</vt:lpstr>
      <vt:lpstr>N2O_to_CO2e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Robbie</cp:lastModifiedBy>
  <dcterms:created xsi:type="dcterms:W3CDTF">2017-04-14T18:15:39Z</dcterms:created>
  <dcterms:modified xsi:type="dcterms:W3CDTF">2018-03-14T21:15:17Z</dcterms:modified>
</cp:coreProperties>
</file>