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9420" windowHeight="11020"/>
  </bookViews>
  <sheets>
    <sheet name="About" sheetId="1" r:id="rId1"/>
    <sheet name="CAN Road" sheetId="6" r:id="rId2"/>
    <sheet name="CAN Psgr Ships" sheetId="8" r:id="rId3"/>
    <sheet name="BTS NTS Modal Profile Data" sheetId="3" r:id="rId4"/>
    <sheet name="NRBS 40" sheetId="5" r:id="rId5"/>
    <sheet name="AVLo-passengers" sheetId="2" r:id="rId6"/>
    <sheet name="AVLo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 concurrentCalc="0"/>
</workbook>
</file>

<file path=xl/calcChain.xml><?xml version="1.0" encoding="utf-8"?>
<calcChain xmlns="http://schemas.openxmlformats.org/spreadsheetml/2006/main">
  <c r="B20" i="3" l="1"/>
  <c r="B19" i="3"/>
  <c r="B6" i="2"/>
  <c r="B42" i="8"/>
  <c r="A13" i="6"/>
  <c r="A15" i="6"/>
  <c r="D8" i="6"/>
  <c r="C8" i="6"/>
  <c r="B2" i="2"/>
  <c r="A16" i="6"/>
  <c r="A9" i="6"/>
  <c r="B3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" i="4"/>
  <c r="G6" i="4"/>
  <c r="B5" i="4"/>
  <c r="D5" i="4"/>
  <c r="B4" i="4"/>
  <c r="E4" i="4"/>
  <c r="AH6" i="4"/>
  <c r="AD6" i="4"/>
  <c r="Z6" i="4"/>
  <c r="V6" i="4"/>
  <c r="R6" i="4"/>
  <c r="N6" i="4"/>
  <c r="J6" i="4"/>
  <c r="F6" i="4"/>
  <c r="AI5" i="4"/>
  <c r="AE5" i="4"/>
  <c r="AA5" i="4"/>
  <c r="W5" i="4"/>
  <c r="S5" i="4"/>
  <c r="O5" i="4"/>
  <c r="K5" i="4"/>
  <c r="G5" i="4"/>
  <c r="AJ4" i="4"/>
  <c r="AF4" i="4"/>
  <c r="AB4" i="4"/>
  <c r="X4" i="4"/>
  <c r="T4" i="4"/>
  <c r="P4" i="4"/>
  <c r="L4" i="4"/>
  <c r="H4" i="4"/>
  <c r="D4" i="4"/>
  <c r="C6" i="4"/>
  <c r="AG6" i="4"/>
  <c r="AC6" i="4"/>
  <c r="Y6" i="4"/>
  <c r="U6" i="4"/>
  <c r="Q6" i="4"/>
  <c r="M6" i="4"/>
  <c r="I6" i="4"/>
  <c r="E6" i="4"/>
  <c r="AH5" i="4"/>
  <c r="AD5" i="4"/>
  <c r="Z5" i="4"/>
  <c r="V5" i="4"/>
  <c r="R5" i="4"/>
  <c r="N5" i="4"/>
  <c r="J5" i="4"/>
  <c r="F5" i="4"/>
  <c r="AI4" i="4"/>
  <c r="AE4" i="4"/>
  <c r="AA4" i="4"/>
  <c r="W4" i="4"/>
  <c r="S4" i="4"/>
  <c r="O4" i="4"/>
  <c r="K4" i="4"/>
  <c r="G4" i="4"/>
  <c r="C5" i="4"/>
  <c r="AJ6" i="4"/>
  <c r="AF6" i="4"/>
  <c r="AB6" i="4"/>
  <c r="X6" i="4"/>
  <c r="T6" i="4"/>
  <c r="P6" i="4"/>
  <c r="L6" i="4"/>
  <c r="H6" i="4"/>
  <c r="D6" i="4"/>
  <c r="AG5" i="4"/>
  <c r="AC5" i="4"/>
  <c r="Y5" i="4"/>
  <c r="U5" i="4"/>
  <c r="Q5" i="4"/>
  <c r="M5" i="4"/>
  <c r="I5" i="4"/>
  <c r="E5" i="4"/>
  <c r="AH4" i="4"/>
  <c r="AD4" i="4"/>
  <c r="Z4" i="4"/>
  <c r="V4" i="4"/>
  <c r="R4" i="4"/>
  <c r="N4" i="4"/>
  <c r="J4" i="4"/>
  <c r="F4" i="4"/>
  <c r="C4" i="4"/>
  <c r="AI6" i="4"/>
  <c r="AE6" i="4"/>
  <c r="AA6" i="4"/>
  <c r="W6" i="4"/>
  <c r="S6" i="4"/>
  <c r="O6" i="4"/>
  <c r="K6" i="4"/>
  <c r="AJ5" i="4"/>
  <c r="AF5" i="4"/>
  <c r="AB5" i="4"/>
  <c r="X5" i="4"/>
  <c r="T5" i="4"/>
  <c r="P5" i="4"/>
  <c r="L5" i="4"/>
  <c r="H5" i="4"/>
  <c r="AG4" i="4"/>
  <c r="AC4" i="4"/>
  <c r="Y4" i="4"/>
  <c r="U4" i="4"/>
  <c r="Q4" i="4"/>
  <c r="M4" i="4"/>
  <c r="I4" i="4"/>
  <c r="B51" i="3"/>
  <c r="B62" i="3"/>
  <c r="B7" i="2"/>
  <c r="B57" i="3"/>
  <c r="B7" i="3"/>
  <c r="B9" i="3"/>
  <c r="B35" i="3"/>
  <c r="B36" i="3"/>
  <c r="B34" i="3"/>
  <c r="B48" i="3"/>
  <c r="B49" i="3"/>
  <c r="B46" i="3"/>
  <c r="B26" i="3"/>
  <c r="B37" i="3"/>
  <c r="B5" i="2"/>
  <c r="B14" i="3"/>
  <c r="B3" i="2"/>
  <c r="F5" i="2"/>
  <c r="J5" i="2"/>
  <c r="N5" i="2"/>
  <c r="R5" i="2"/>
  <c r="V5" i="2"/>
  <c r="Z5" i="2"/>
  <c r="AD5" i="2"/>
  <c r="AH5" i="2"/>
  <c r="G5" i="2"/>
  <c r="K5" i="2"/>
  <c r="O5" i="2"/>
  <c r="S5" i="2"/>
  <c r="W5" i="2"/>
  <c r="AA5" i="2"/>
  <c r="AE5" i="2"/>
  <c r="AI5" i="2"/>
  <c r="D5" i="2"/>
  <c r="H5" i="2"/>
  <c r="L5" i="2"/>
  <c r="P5" i="2"/>
  <c r="T5" i="2"/>
  <c r="X5" i="2"/>
  <c r="AB5" i="2"/>
  <c r="AF5" i="2"/>
  <c r="AJ5" i="2"/>
  <c r="C5" i="2"/>
  <c r="E5" i="2"/>
  <c r="I5" i="2"/>
  <c r="M5" i="2"/>
  <c r="Q5" i="2"/>
  <c r="U5" i="2"/>
  <c r="Y5" i="2"/>
  <c r="AC5" i="2"/>
  <c r="AG5" i="2"/>
  <c r="AK5" i="2"/>
  <c r="F7" i="2"/>
  <c r="J7" i="2"/>
  <c r="N7" i="2"/>
  <c r="R7" i="2"/>
  <c r="V7" i="2"/>
  <c r="Z7" i="2"/>
  <c r="AD7" i="2"/>
  <c r="AH7" i="2"/>
  <c r="C7" i="2"/>
  <c r="G7" i="2"/>
  <c r="K7" i="2"/>
  <c r="O7" i="2"/>
  <c r="S7" i="2"/>
  <c r="W7" i="2"/>
  <c r="AA7" i="2"/>
  <c r="AE7" i="2"/>
  <c r="AI7" i="2"/>
  <c r="D7" i="2"/>
  <c r="H7" i="2"/>
  <c r="L7" i="2"/>
  <c r="P7" i="2"/>
  <c r="T7" i="2"/>
  <c r="X7" i="2"/>
  <c r="AB7" i="2"/>
  <c r="AF7" i="2"/>
  <c r="AJ7" i="2"/>
  <c r="E7" i="2"/>
  <c r="I7" i="2"/>
  <c r="M7" i="2"/>
  <c r="Q7" i="2"/>
  <c r="U7" i="2"/>
  <c r="Y7" i="2"/>
  <c r="AC7" i="2"/>
  <c r="AG7" i="2"/>
  <c r="AK7" i="2"/>
  <c r="F3" i="2"/>
  <c r="J3" i="2"/>
  <c r="N3" i="2"/>
  <c r="R3" i="2"/>
  <c r="V3" i="2"/>
  <c r="Z3" i="2"/>
  <c r="AD3" i="2"/>
  <c r="AH3" i="2"/>
  <c r="C3" i="2"/>
  <c r="G3" i="2"/>
  <c r="K3" i="2"/>
  <c r="O3" i="2"/>
  <c r="S3" i="2"/>
  <c r="W3" i="2"/>
  <c r="AA3" i="2"/>
  <c r="AE3" i="2"/>
  <c r="AI3" i="2"/>
  <c r="D3" i="2"/>
  <c r="H3" i="2"/>
  <c r="L3" i="2"/>
  <c r="P3" i="2"/>
  <c r="T3" i="2"/>
  <c r="X3" i="2"/>
  <c r="AB3" i="2"/>
  <c r="AF3" i="2"/>
  <c r="AJ3" i="2"/>
  <c r="E3" i="2"/>
  <c r="I3" i="2"/>
  <c r="M3" i="2"/>
  <c r="Q3" i="2"/>
  <c r="U3" i="2"/>
  <c r="Y3" i="2"/>
  <c r="AC3" i="2"/>
  <c r="AG3" i="2"/>
  <c r="AK3" i="2"/>
  <c r="B52" i="3"/>
  <c r="B8" i="3"/>
  <c r="B4" i="2"/>
  <c r="D4" i="2"/>
  <c r="H4" i="2"/>
  <c r="L4" i="2"/>
  <c r="P4" i="2"/>
  <c r="T4" i="2"/>
  <c r="X4" i="2"/>
  <c r="AB4" i="2"/>
  <c r="AF4" i="2"/>
  <c r="AJ4" i="2"/>
  <c r="E4" i="2"/>
  <c r="I4" i="2"/>
  <c r="M4" i="2"/>
  <c r="Q4" i="2"/>
  <c r="U4" i="2"/>
  <c r="Y4" i="2"/>
  <c r="AC4" i="2"/>
  <c r="AG4" i="2"/>
  <c r="AK4" i="2"/>
  <c r="C4" i="2"/>
  <c r="F4" i="2"/>
  <c r="J4" i="2"/>
  <c r="N4" i="2"/>
  <c r="R4" i="2"/>
  <c r="V4" i="2"/>
  <c r="Z4" i="2"/>
  <c r="AD4" i="2"/>
  <c r="AH4" i="2"/>
  <c r="G4" i="2"/>
  <c r="K4" i="2"/>
  <c r="O4" i="2"/>
  <c r="S4" i="2"/>
  <c r="W4" i="2"/>
  <c r="AA4" i="2"/>
  <c r="AE4" i="2"/>
  <c r="AI4" i="2"/>
</calcChain>
</file>

<file path=xl/sharedStrings.xml><?xml version="1.0" encoding="utf-8"?>
<sst xmlns="http://schemas.openxmlformats.org/spreadsheetml/2006/main" count="193" uniqueCount="186">
  <si>
    <t>AVLo Average Vehicle Loading</t>
  </si>
  <si>
    <t>passenger LDVs</t>
  </si>
  <si>
    <t>Sources:</t>
  </si>
  <si>
    <t>freight HDVs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</si>
  <si>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</si>
  <si>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</si>
  <si>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</si>
  <si>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</si>
  <si>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</si>
  <si>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</si>
  <si>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</si>
  <si>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</si>
  <si>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</si>
  <si>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</si>
  <si>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</si>
  <si>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</si>
  <si>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</si>
  <si>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</si>
  <si>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</si>
  <si>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</si>
  <si>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</si>
  <si>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</si>
  <si>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</si>
  <si>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</si>
  <si>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</si>
  <si>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</si>
  <si>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</si>
  <si>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</si>
  <si>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ton-miles (thousands), coastwise</t>
  </si>
  <si>
    <t>ton-miles (thousands), internal</t>
  </si>
  <si>
    <t>ton-miles (thousands), lakewise</t>
  </si>
  <si>
    <t>average haul (miles), coastwise</t>
  </si>
  <si>
    <t>average haul (miles), internal</t>
  </si>
  <si>
    <t>average haul (miles), lakewise</t>
  </si>
  <si>
    <t>ton-mile-weighted average haul distance (miles)</t>
  </si>
  <si>
    <t>number of vessels, total nonself-propelled</t>
  </si>
  <si>
    <t>number of vessels, total self-propelled (excluding tugboats)</t>
  </si>
  <si>
    <t>number of vessels, total</t>
  </si>
  <si>
    <t>total vessel-miles (miles)</t>
  </si>
  <si>
    <t>Distance-weighted avg. freight tons/vessel or tow</t>
  </si>
  <si>
    <t>A "tow" is a group of barges towed by a single powered ship.  It counts as one unit for purposes of this statistic.</t>
  </si>
  <si>
    <t>There appears to be an error in the source data for ton-miles for years 2004-2005, so we use year 2003.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</si>
  <si>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</si>
  <si>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</si>
  <si>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</si>
  <si>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</si>
  <si>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</si>
  <si>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</si>
  <si>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</si>
  <si>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</si>
  <si>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</si>
  <si>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</si>
  <si>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</si>
  <si>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</si>
  <si>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</si>
  <si>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</si>
  <si>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</si>
  <si>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</si>
  <si>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</si>
  <si>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</si>
  <si>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</si>
  <si>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</si>
  <si>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</si>
  <si>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</si>
  <si>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</si>
  <si>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</si>
  <si>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</si>
  <si>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</si>
  <si>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</si>
  <si>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</si>
  <si>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</si>
  <si>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</si>
  <si>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</si>
  <si>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</si>
  <si>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</si>
  <si>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</si>
  <si>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</si>
  <si>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</si>
  <si>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</si>
  <si>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</si>
  <si>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</si>
  <si>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</si>
  <si>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</si>
  <si>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</si>
  <si>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</si>
  <si>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This number is a guess, since the NTS just barely doesn't have enough data to fully calculate this metric.</t>
  </si>
  <si>
    <t>average number of hauls (trips) completed per year</t>
  </si>
  <si>
    <t>We use a time series to support countries and regions for which loading changes during the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</si>
  <si>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</si>
  <si>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</si>
  <si>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</si>
  <si>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</si>
  <si>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</si>
  <si>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</si>
  <si>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</si>
  <si>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</si>
  <si>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</si>
  <si>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</si>
  <si>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</si>
  <si>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</si>
  <si>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</si>
  <si>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</si>
  <si>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</si>
  <si>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</si>
  <si>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passenger ships</t>
  </si>
  <si>
    <t>We assume an average loading level of 1 ton for freight LDVs.</t>
  </si>
  <si>
    <t>veh-km</t>
  </si>
  <si>
    <t>passengers per vehicle</t>
  </si>
  <si>
    <t>Transport Canada, tables RO6 and RO8</t>
  </si>
  <si>
    <t>trucks</t>
  </si>
  <si>
    <t>ton-km</t>
  </si>
  <si>
    <t>veh-km/truck</t>
  </si>
  <si>
    <t>tons / truck</t>
  </si>
  <si>
    <t>Transport Canada, table RO15</t>
  </si>
  <si>
    <t>average distance of passenger trip (assumed)</t>
  </si>
  <si>
    <t>average passenger loading per bus</t>
  </si>
  <si>
    <t>urban transit bus passengers</t>
  </si>
  <si>
    <t>urban transit bus veh-km</t>
  </si>
  <si>
    <t>Not a good method, as we don't have average distance, and average</t>
  </si>
  <si>
    <t>loading of urban transit buses may not be representative of average</t>
  </si>
  <si>
    <t>loading of all buses.</t>
  </si>
  <si>
    <t>Transport Canada</t>
  </si>
  <si>
    <t>Transportation in Canada 2016 Statistical Addendum</t>
  </si>
  <si>
    <t>Not online, available by request to Transport Canada</t>
  </si>
  <si>
    <t>page 105, Table RO6 and page 106, table RO8</t>
  </si>
  <si>
    <t>Passenger Ships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</si>
  <si>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</si>
  <si>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</si>
  <si>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</si>
  <si>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</si>
  <si>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</si>
  <si>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</si>
  <si>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</si>
  <si>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</si>
  <si>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Kahloke</t>
  </si>
  <si>
    <t>Island Sky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</si>
  <si>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</si>
  <si>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</si>
  <si>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</si>
  <si>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</si>
  <si>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</si>
  <si>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</si>
  <si>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</si>
  <si>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</si>
  <si>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</si>
  <si>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</si>
  <si>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</si>
  <si>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</si>
  <si>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</si>
  <si>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</si>
  <si>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</si>
  <si>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</si>
  <si>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</si>
  <si>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</si>
  <si>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</si>
  <si>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</si>
  <si>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</si>
  <si>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</si>
  <si>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</si>
  <si>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</si>
  <si>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</si>
  <si>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</si>
  <si>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</si>
  <si>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</si>
  <si>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</si>
  <si>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Based on BC Ferries fleet</t>
  </si>
  <si>
    <t>Average</t>
  </si>
  <si>
    <t>BC Ferries</t>
  </si>
  <si>
    <t>Our Fleet</t>
  </si>
  <si>
    <t>https://www.bcferries.com/onboard-experiences/fleet/</t>
  </si>
  <si>
    <t>We don't have average loading levels, so we use capacities.</t>
  </si>
  <si>
    <t>We do not have data for freight LDVs (commercial light trucks).</t>
  </si>
  <si>
    <t>model run, though the values are constant in the Canada data set.</t>
  </si>
  <si>
    <t>Numbers taken from each individual ship's webpage</t>
  </si>
  <si>
    <t>We use a U.S. value instead, but we leave these calculations here</t>
  </si>
  <si>
    <t>for reference.</t>
  </si>
  <si>
    <t>Distance-weighted avg. freight tons/train, adjusted for Canada</t>
  </si>
  <si>
    <t>We found the loading value above was too high for Canada (results in improbable AADTbVT values, so we adjust it here)</t>
  </si>
  <si>
    <t>Average loading of freight trains from the U.S. source is adjusted for Canada.</t>
  </si>
  <si>
    <t>passenger HDVs</t>
  </si>
  <si>
    <t>passenger LDVs, 2009</t>
  </si>
  <si>
    <t>Canadian Vehicle Use Survey</t>
  </si>
  <si>
    <t>Page 16, Figure 12</t>
  </si>
  <si>
    <t>http://oee.nrcan.gc.ca/publications/statistics/cvs09/pdf/cvs09.pdf</t>
  </si>
  <si>
    <t>Canadian Vehicle Survey 2009 Summary Report</t>
  </si>
  <si>
    <t>Natural Resources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</si>
</sst>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0.000E+0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6" fillId="8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5" borderId="3" applyNumberFormat="0" applyAlignment="0" applyProtection="0"/>
    <xf numFmtId="0" fontId="9" fillId="26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9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7" borderId="0">
      <alignment horizontal="centerContinuous" wrapText="1"/>
    </xf>
    <xf numFmtId="49" fontId="23" fillId="27" borderId="12">
      <alignment horizontal="left" vertical="center"/>
    </xf>
    <xf numFmtId="0" fontId="23" fillId="27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3" applyNumberFormat="0" applyAlignment="0" applyProtection="0"/>
    <xf numFmtId="0" fontId="29" fillId="0" borderId="13" applyNumberFormat="0" applyFill="0" applyAlignment="0" applyProtection="0"/>
    <xf numFmtId="0" fontId="30" fillId="28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6" borderId="1" applyNumberFormat="0" applyFont="0" applyAlignment="0" applyProtection="0"/>
    <xf numFmtId="0" fontId="11" fillId="29" borderId="14" applyNumberFormat="0" applyFont="0" applyAlignment="0" applyProtection="0"/>
    <xf numFmtId="0" fontId="32" fillId="25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30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0" borderId="0" xfId="0" applyNumberFormat="1" applyFont="1"/>
    <xf numFmtId="1" fontId="0" fillId="5" borderId="0" xfId="0" applyNumberFormat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2" borderId="0" xfId="0" applyFont="1" applyFill="1" applyAlignment="1">
      <alignment horizontal="left"/>
    </xf>
    <xf numFmtId="168" fontId="0" fillId="0" borderId="0" xfId="0" applyNumberFormat="1"/>
    <xf numFmtId="11" fontId="0" fillId="0" borderId="0" xfId="0" applyNumberFormat="1"/>
    <xf numFmtId="0" fontId="0" fillId="5" borderId="0" xfId="0" applyFill="1"/>
    <xf numFmtId="0" fontId="41" fillId="0" borderId="0" xfId="1" applyFont="1"/>
    <xf numFmtId="2" fontId="0" fillId="31" borderId="0" xfId="0" applyNumberFormat="1" applyFill="1"/>
    <xf numFmtId="165" fontId="0" fillId="31" borderId="0" xfId="0" applyNumberFormat="1" applyFill="1"/>
    <xf numFmtId="0" fontId="0" fillId="2" borderId="0" xfId="0" applyFill="1"/>
    <xf numFmtId="0" fontId="1" fillId="2" borderId="0" xfId="0" applyFont="1" applyFill="1" applyAlignment="1">
      <alignment horizontal="right"/>
    </xf>
    <xf numFmtId="1" fontId="1" fillId="31" borderId="0" xfId="0" applyNumberFormat="1" applyFont="1" applyFill="1"/>
    <xf numFmtId="1" fontId="0" fillId="31" borderId="0" xfId="0" applyNumberFormat="1" applyFill="1"/>
    <xf numFmtId="164" fontId="0" fillId="31" borderId="0" xfId="0" applyNumberFormat="1" applyFill="1"/>
  </cellXfs>
  <cellStyles count="15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defaultRowHeight="14.5"/>
  <cols>
    <col min="1" max="1" width="11.54296875" customWidth="1"/>
    <col min="2" max="2" width="85.1796875" customWidth="1"/>
  </cols>
  <sheetData>
    <row r="1" spans="1:2">
      <c r="A1" s="1" t="s">
        <v>0</v>
      </c>
    </row>
    <row r="3" spans="1:2">
      <c r="A3" s="1" t="s">
        <v>2</v>
      </c>
      <c r="B3" s="3" t="s">
        <v>1</v>
      </c>
    </row>
    <row r="4" spans="1:2">
      <c r="B4" t="s">
        <v>185</v>
      </c>
    </row>
    <row r="5" spans="1:2">
      <c r="B5" s="2">
        <v>2009</v>
      </c>
    </row>
    <row r="6" spans="1:2">
      <c r="B6" t="s">
        <v>184</v>
      </c>
    </row>
    <row r="7" spans="1:2">
      <c r="B7" s="24" t="s">
        <v>183</v>
      </c>
    </row>
    <row r="8" spans="1:2">
      <c r="B8" t="s">
        <v>182</v>
      </c>
    </row>
    <row r="10" spans="1:2">
      <c r="B10" s="3" t="s">
        <v>3</v>
      </c>
    </row>
    <row r="11" spans="1:2">
      <c r="B11" t="s">
        <v>121</v>
      </c>
    </row>
    <row r="12" spans="1:2">
      <c r="B12" s="2">
        <v>2017</v>
      </c>
    </row>
    <row r="13" spans="1:2">
      <c r="B13" t="s">
        <v>122</v>
      </c>
    </row>
    <row r="14" spans="1:2">
      <c r="B14" s="24" t="s">
        <v>123</v>
      </c>
    </row>
    <row r="15" spans="1:2">
      <c r="B15" t="s">
        <v>124</v>
      </c>
    </row>
    <row r="17" spans="2:2">
      <c r="B17" s="3" t="s">
        <v>70</v>
      </c>
    </row>
    <row r="18" spans="2:2">
      <c r="B18" t="s">
        <v>71</v>
      </c>
    </row>
    <row r="19" spans="2:2">
      <c r="B19" s="2">
        <v>2016</v>
      </c>
    </row>
    <row r="20" spans="2:2">
      <c r="B20" t="s">
        <v>80</v>
      </c>
    </row>
    <row r="21" spans="2:2">
      <c r="B21" t="s">
        <v>73</v>
      </c>
    </row>
    <row r="22" spans="2:2">
      <c r="B22" t="s">
        <v>72</v>
      </c>
    </row>
    <row r="23" spans="2:2">
      <c r="B23" s="13" t="s">
        <v>74</v>
      </c>
    </row>
    <row r="24" spans="2:2">
      <c r="B24" s="13" t="s">
        <v>75</v>
      </c>
    </row>
    <row r="25" spans="2:2">
      <c r="B25" s="13" t="s">
        <v>76</v>
      </c>
    </row>
    <row r="26" spans="2:2">
      <c r="B26" s="13" t="s">
        <v>77</v>
      </c>
    </row>
    <row r="27" spans="2:2">
      <c r="B27" s="13" t="s">
        <v>78</v>
      </c>
    </row>
    <row r="28" spans="2:2">
      <c r="B28" s="13" t="s">
        <v>79</v>
      </c>
    </row>
    <row r="29" spans="2:2">
      <c r="B29" s="13"/>
    </row>
    <row r="30" spans="2:2">
      <c r="B30" s="20" t="s">
        <v>104</v>
      </c>
    </row>
    <row r="31" spans="2:2">
      <c r="B31" s="2" t="s">
        <v>167</v>
      </c>
    </row>
    <row r="32" spans="2:2">
      <c r="B32" s="2">
        <v>2018</v>
      </c>
    </row>
    <row r="33" spans="1:2">
      <c r="B33" s="2" t="s">
        <v>168</v>
      </c>
    </row>
    <row r="34" spans="1:2">
      <c r="B34" s="2" t="s">
        <v>169</v>
      </c>
    </row>
    <row r="35" spans="1:2">
      <c r="B35" s="2" t="s">
        <v>173</v>
      </c>
    </row>
    <row r="37" spans="1:2">
      <c r="A37" s="1" t="s">
        <v>10</v>
      </c>
    </row>
    <row r="38" spans="1:2">
      <c r="A38" t="s">
        <v>171</v>
      </c>
    </row>
    <row r="39" spans="1:2">
      <c r="A39" t="s">
        <v>105</v>
      </c>
    </row>
    <row r="41" spans="1:2">
      <c r="A41" t="s">
        <v>81</v>
      </c>
    </row>
    <row r="42" spans="1:2">
      <c r="A42" t="s">
        <v>82</v>
      </c>
    </row>
    <row r="43" spans="1:2">
      <c r="A43" t="s">
        <v>83</v>
      </c>
    </row>
    <row r="44" spans="1:2">
      <c r="A44" t="s">
        <v>84</v>
      </c>
    </row>
    <row r="46" spans="1:2">
      <c r="A46" t="s">
        <v>87</v>
      </c>
    </row>
    <row r="47" spans="1:2">
      <c r="A47" t="s">
        <v>172</v>
      </c>
    </row>
    <row r="49" spans="1:1">
      <c r="A49" t="s">
        <v>178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/>
  </sheetViews>
  <sheetFormatPr defaultRowHeight="14.5"/>
  <cols>
    <col min="1" max="1" width="14.08984375" customWidth="1"/>
    <col min="2" max="2" width="13.453125" customWidth="1"/>
    <col min="3" max="3" width="15.1796875" customWidth="1"/>
    <col min="4" max="4" width="11.81640625" bestFit="1" customWidth="1"/>
  </cols>
  <sheetData>
    <row r="1" spans="1:4">
      <c r="A1" s="3" t="s">
        <v>180</v>
      </c>
      <c r="B1" s="27"/>
      <c r="C1" s="27"/>
      <c r="D1" s="27"/>
    </row>
    <row r="2" spans="1:4">
      <c r="A2" s="1" t="s">
        <v>181</v>
      </c>
    </row>
    <row r="3" spans="1:4">
      <c r="A3" s="25">
        <v>1.62</v>
      </c>
      <c r="B3" t="s">
        <v>107</v>
      </c>
    </row>
    <row r="5" spans="1:4">
      <c r="A5" s="3" t="s">
        <v>3</v>
      </c>
      <c r="B5" s="27"/>
      <c r="C5" s="27"/>
      <c r="D5" s="27"/>
    </row>
    <row r="6" spans="1:4">
      <c r="A6" s="1" t="s">
        <v>108</v>
      </c>
    </row>
    <row r="7" spans="1:4">
      <c r="A7" s="1" t="s">
        <v>109</v>
      </c>
      <c r="B7" s="4" t="s">
        <v>111</v>
      </c>
      <c r="C7" s="4" t="s">
        <v>106</v>
      </c>
      <c r="D7" s="4" t="s">
        <v>110</v>
      </c>
    </row>
    <row r="8" spans="1:4">
      <c r="A8">
        <v>468000</v>
      </c>
      <c r="B8">
        <v>44876</v>
      </c>
      <c r="C8" s="22">
        <f>A8*B8</f>
        <v>21001968000</v>
      </c>
      <c r="D8">
        <f>277396*10^6</f>
        <v>277396000000</v>
      </c>
    </row>
    <row r="9" spans="1:4">
      <c r="A9" s="31">
        <f>D8/C8</f>
        <v>13.208095546093585</v>
      </c>
      <c r="B9" t="s">
        <v>112</v>
      </c>
    </row>
    <row r="11" spans="1:4">
      <c r="A11" s="3" t="s">
        <v>179</v>
      </c>
      <c r="B11" s="27"/>
      <c r="C11" s="27"/>
      <c r="D11" s="27"/>
    </row>
    <row r="12" spans="1:4">
      <c r="A12" s="1" t="s">
        <v>113</v>
      </c>
    </row>
    <row r="13" spans="1:4">
      <c r="A13" s="21">
        <f>2070*10^6</f>
        <v>2070000000</v>
      </c>
      <c r="B13" t="s">
        <v>116</v>
      </c>
    </row>
    <row r="14" spans="1:4">
      <c r="A14" s="23">
        <v>10</v>
      </c>
      <c r="B14" t="s">
        <v>114</v>
      </c>
    </row>
    <row r="15" spans="1:4">
      <c r="A15" s="21">
        <f>1176.3*10^6</f>
        <v>1176300000</v>
      </c>
      <c r="B15" t="s">
        <v>117</v>
      </c>
    </row>
    <row r="16" spans="1:4">
      <c r="A16" s="8">
        <f>(A13*A14)/A15</f>
        <v>17.597551644988524</v>
      </c>
      <c r="B16" t="s">
        <v>115</v>
      </c>
    </row>
    <row r="17" spans="1:1">
      <c r="A17" t="s">
        <v>118</v>
      </c>
    </row>
    <row r="18" spans="1:1">
      <c r="A18" t="s">
        <v>119</v>
      </c>
    </row>
    <row r="19" spans="1:1">
      <c r="A19" t="s">
        <v>120</v>
      </c>
    </row>
    <row r="20" spans="1:1">
      <c r="A20" t="s">
        <v>174</v>
      </c>
    </row>
    <row r="21" spans="1:1">
      <c r="A21" t="s">
        <v>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4.5"/>
  <cols>
    <col min="1" max="1" width="25.6328125" customWidth="1"/>
    <col min="2" max="2" width="25.1796875" customWidth="1"/>
  </cols>
  <sheetData>
    <row r="1" spans="1:2">
      <c r="A1" s="1" t="s">
        <v>125</v>
      </c>
    </row>
    <row r="2" spans="1:2">
      <c r="A2" t="s">
        <v>165</v>
      </c>
    </row>
    <row r="3" spans="1:2">
      <c r="A3" t="s">
        <v>170</v>
      </c>
    </row>
    <row r="4" spans="1:2">
      <c r="A4" s="3" t="s">
        <v>126</v>
      </c>
      <c r="B4" s="28" t="s">
        <v>127</v>
      </c>
    </row>
    <row r="5" spans="1:2">
      <c r="A5" t="s">
        <v>128</v>
      </c>
      <c r="B5">
        <v>150</v>
      </c>
    </row>
    <row r="6" spans="1:2">
      <c r="A6" t="s">
        <v>129</v>
      </c>
      <c r="B6">
        <v>400</v>
      </c>
    </row>
    <row r="7" spans="1:2">
      <c r="A7" t="s">
        <v>130</v>
      </c>
      <c r="B7">
        <v>1604</v>
      </c>
    </row>
    <row r="8" spans="1:2">
      <c r="A8" t="s">
        <v>131</v>
      </c>
      <c r="B8">
        <v>1604</v>
      </c>
    </row>
    <row r="9" spans="1:2">
      <c r="A9" t="s">
        <v>132</v>
      </c>
      <c r="B9">
        <v>1604</v>
      </c>
    </row>
    <row r="10" spans="1:2">
      <c r="A10" t="s">
        <v>133</v>
      </c>
      <c r="B10">
        <v>300</v>
      </c>
    </row>
    <row r="11" spans="1:2">
      <c r="A11" t="s">
        <v>135</v>
      </c>
      <c r="B11">
        <v>462</v>
      </c>
    </row>
    <row r="12" spans="1:2">
      <c r="A12" t="s">
        <v>134</v>
      </c>
      <c r="B12">
        <v>200</v>
      </c>
    </row>
    <row r="13" spans="1:2">
      <c r="A13" t="s">
        <v>136</v>
      </c>
      <c r="B13">
        <v>150</v>
      </c>
    </row>
    <row r="14" spans="1:2">
      <c r="A14" t="s">
        <v>137</v>
      </c>
      <c r="B14">
        <v>269</v>
      </c>
    </row>
    <row r="15" spans="1:2">
      <c r="A15" t="s">
        <v>138</v>
      </c>
      <c r="B15">
        <v>150</v>
      </c>
    </row>
    <row r="16" spans="1:2">
      <c r="A16" t="s">
        <v>139</v>
      </c>
      <c r="B16">
        <v>400</v>
      </c>
    </row>
    <row r="17" spans="1:2">
      <c r="A17" t="s">
        <v>140</v>
      </c>
      <c r="B17">
        <v>95</v>
      </c>
    </row>
    <row r="18" spans="1:2">
      <c r="A18" t="s">
        <v>141</v>
      </c>
      <c r="B18">
        <v>150</v>
      </c>
    </row>
    <row r="19" spans="1:2">
      <c r="A19" t="s">
        <v>142</v>
      </c>
      <c r="B19">
        <v>640</v>
      </c>
    </row>
    <row r="20" spans="1:2">
      <c r="A20" t="s">
        <v>143</v>
      </c>
      <c r="B20">
        <v>638</v>
      </c>
    </row>
    <row r="21" spans="1:2">
      <c r="A21" t="s">
        <v>144</v>
      </c>
      <c r="B21">
        <v>400</v>
      </c>
    </row>
    <row r="22" spans="1:2">
      <c r="A22" t="s">
        <v>145</v>
      </c>
      <c r="B22">
        <v>150</v>
      </c>
    </row>
    <row r="23" spans="1:2">
      <c r="A23" t="s">
        <v>146</v>
      </c>
      <c r="B23">
        <v>1200</v>
      </c>
    </row>
    <row r="24" spans="1:2">
      <c r="A24" t="s">
        <v>147</v>
      </c>
      <c r="B24">
        <v>904</v>
      </c>
    </row>
    <row r="25" spans="1:2">
      <c r="A25" t="s">
        <v>148</v>
      </c>
      <c r="B25">
        <v>457</v>
      </c>
    </row>
    <row r="26" spans="1:2">
      <c r="A26" t="s">
        <v>149</v>
      </c>
      <c r="B26">
        <v>1494</v>
      </c>
    </row>
    <row r="27" spans="1:2">
      <c r="A27" t="s">
        <v>150</v>
      </c>
      <c r="B27">
        <v>1494</v>
      </c>
    </row>
    <row r="28" spans="1:2">
      <c r="A28" t="s">
        <v>151</v>
      </c>
      <c r="B28">
        <v>462</v>
      </c>
    </row>
    <row r="29" spans="1:2">
      <c r="A29" t="s">
        <v>152</v>
      </c>
      <c r="B29">
        <v>1004</v>
      </c>
    </row>
    <row r="30" spans="1:2">
      <c r="A30" t="s">
        <v>153</v>
      </c>
      <c r="B30">
        <v>1332</v>
      </c>
    </row>
    <row r="31" spans="1:2">
      <c r="A31" t="s">
        <v>154</v>
      </c>
      <c r="B31">
        <v>1494</v>
      </c>
    </row>
    <row r="32" spans="1:2">
      <c r="A32" t="s">
        <v>155</v>
      </c>
      <c r="B32">
        <v>1494</v>
      </c>
    </row>
    <row r="33" spans="1:2">
      <c r="A33" t="s">
        <v>156</v>
      </c>
      <c r="B33">
        <v>300</v>
      </c>
    </row>
    <row r="34" spans="1:2">
      <c r="A34" t="s">
        <v>157</v>
      </c>
      <c r="B34">
        <v>400</v>
      </c>
    </row>
    <row r="35" spans="1:2">
      <c r="A35" t="s">
        <v>158</v>
      </c>
      <c r="B35">
        <v>600</v>
      </c>
    </row>
    <row r="36" spans="1:2">
      <c r="A36" t="s">
        <v>159</v>
      </c>
      <c r="B36">
        <v>600</v>
      </c>
    </row>
    <row r="37" spans="1:2">
      <c r="A37" t="s">
        <v>160</v>
      </c>
      <c r="B37">
        <v>600</v>
      </c>
    </row>
    <row r="38" spans="1:2">
      <c r="A38" t="s">
        <v>161</v>
      </c>
      <c r="B38">
        <v>450</v>
      </c>
    </row>
    <row r="39" spans="1:2">
      <c r="A39" t="s">
        <v>162</v>
      </c>
      <c r="B39">
        <v>2100</v>
      </c>
    </row>
    <row r="40" spans="1:2">
      <c r="A40" t="s">
        <v>163</v>
      </c>
      <c r="B40">
        <v>2100</v>
      </c>
    </row>
    <row r="41" spans="1:2">
      <c r="A41" t="s">
        <v>164</v>
      </c>
      <c r="B41">
        <v>150</v>
      </c>
    </row>
    <row r="42" spans="1:2">
      <c r="A42" s="1" t="s">
        <v>166</v>
      </c>
      <c r="B42" s="29">
        <f>AVERAGE(B5:B41)</f>
        <v>756.78378378378375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defaultRowHeight="14.5"/>
  <cols>
    <col min="1" max="1" width="73.54296875" customWidth="1"/>
    <col min="2" max="2" width="12" customWidth="1"/>
    <col min="3" max="3" width="102.26953125" customWidth="1"/>
  </cols>
  <sheetData>
    <row r="1" spans="1:3">
      <c r="A1" s="3" t="s">
        <v>69</v>
      </c>
      <c r="B1" s="3">
        <v>2006</v>
      </c>
    </row>
    <row r="2" spans="1:3">
      <c r="A2" t="s">
        <v>15</v>
      </c>
      <c r="B2">
        <v>8218378</v>
      </c>
    </row>
    <row r="3" spans="1:3">
      <c r="A3" t="s">
        <v>16</v>
      </c>
      <c r="B3">
        <v>810106273</v>
      </c>
    </row>
    <row r="4" spans="1:3">
      <c r="A4" t="s">
        <v>54</v>
      </c>
      <c r="B4">
        <v>39719513</v>
      </c>
    </row>
    <row r="5" spans="1:3">
      <c r="A5" t="s">
        <v>58</v>
      </c>
      <c r="B5">
        <v>7880</v>
      </c>
    </row>
    <row r="6" spans="1:3">
      <c r="A6" t="s">
        <v>59</v>
      </c>
      <c r="B6">
        <v>907</v>
      </c>
    </row>
    <row r="7" spans="1:3">
      <c r="A7" t="s">
        <v>55</v>
      </c>
      <c r="B7" s="7">
        <f>B6/B5</f>
        <v>0.11510152284263959</v>
      </c>
      <c r="C7" t="s">
        <v>56</v>
      </c>
    </row>
    <row r="8" spans="1:3">
      <c r="A8" t="s">
        <v>14</v>
      </c>
      <c r="B8" s="8">
        <f>B3/(B2*(1-B7))</f>
        <v>111.39416306433705</v>
      </c>
    </row>
    <row r="9" spans="1:3">
      <c r="A9" t="s">
        <v>57</v>
      </c>
      <c r="B9" s="8">
        <f>B4/(B2*B7)</f>
        <v>41.989116133258747</v>
      </c>
    </row>
    <row r="11" spans="1:3">
      <c r="A11" s="3" t="s">
        <v>17</v>
      </c>
      <c r="B11" s="3">
        <v>2014</v>
      </c>
    </row>
    <row r="12" spans="1:3">
      <c r="A12" t="s">
        <v>12</v>
      </c>
      <c r="B12">
        <v>15999</v>
      </c>
    </row>
    <row r="13" spans="1:3">
      <c r="A13" t="s">
        <v>11</v>
      </c>
      <c r="B13">
        <v>339117</v>
      </c>
    </row>
    <row r="14" spans="1:3">
      <c r="A14" t="s">
        <v>13</v>
      </c>
      <c r="B14" s="8">
        <f>B13/B12</f>
        <v>21.196137258578663</v>
      </c>
    </row>
    <row r="16" spans="1:3">
      <c r="A16" s="3" t="s">
        <v>18</v>
      </c>
      <c r="B16" s="3">
        <v>2009</v>
      </c>
    </row>
    <row r="17" spans="1:3">
      <c r="A17" t="s">
        <v>19</v>
      </c>
      <c r="B17">
        <v>436235</v>
      </c>
    </row>
    <row r="18" spans="1:3">
      <c r="A18" t="s">
        <v>20</v>
      </c>
      <c r="B18">
        <v>1532214</v>
      </c>
    </row>
    <row r="19" spans="1:3">
      <c r="A19" t="s">
        <v>21</v>
      </c>
      <c r="B19" s="5">
        <f>B18*10^3/B17</f>
        <v>3512.35916421195</v>
      </c>
      <c r="C19" t="s">
        <v>22</v>
      </c>
    </row>
    <row r="20" spans="1:3">
      <c r="A20" t="s">
        <v>176</v>
      </c>
      <c r="B20" s="5">
        <f>B19/2</f>
        <v>1756.179582105975</v>
      </c>
      <c r="C20" t="s">
        <v>177</v>
      </c>
    </row>
    <row r="22" spans="1:3">
      <c r="A22" s="3" t="s">
        <v>23</v>
      </c>
      <c r="B22" s="3"/>
    </row>
    <row r="23" spans="1:3">
      <c r="A23" s="11" t="s">
        <v>51</v>
      </c>
      <c r="B23" s="11">
        <v>2009</v>
      </c>
    </row>
    <row r="24" spans="1:3">
      <c r="A24" t="s">
        <v>24</v>
      </c>
      <c r="B24">
        <v>38</v>
      </c>
    </row>
    <row r="25" spans="1:3">
      <c r="A25" t="s">
        <v>25</v>
      </c>
      <c r="B25">
        <v>5914</v>
      </c>
    </row>
    <row r="26" spans="1:3">
      <c r="A26" t="s">
        <v>26</v>
      </c>
      <c r="B26" s="5">
        <f>B25/B24</f>
        <v>155.63157894736841</v>
      </c>
    </row>
    <row r="27" spans="1:3">
      <c r="A27" s="11" t="s">
        <v>52</v>
      </c>
      <c r="B27" s="11">
        <v>2009</v>
      </c>
    </row>
    <row r="28" spans="1:3">
      <c r="A28" t="s">
        <v>42</v>
      </c>
      <c r="B28" s="5">
        <v>16805</v>
      </c>
    </row>
    <row r="29" spans="1:3">
      <c r="A29" t="s">
        <v>43</v>
      </c>
      <c r="B29" s="5">
        <v>2196</v>
      </c>
    </row>
    <row r="30" spans="1:3">
      <c r="A30" t="s">
        <v>44</v>
      </c>
      <c r="B30" s="5">
        <v>11129</v>
      </c>
    </row>
    <row r="31" spans="1:3">
      <c r="A31" t="s">
        <v>45</v>
      </c>
      <c r="B31" s="5">
        <v>685</v>
      </c>
    </row>
    <row r="32" spans="1:3">
      <c r="A32" t="s">
        <v>46</v>
      </c>
      <c r="B32" s="5">
        <v>90</v>
      </c>
    </row>
    <row r="33" spans="1:3">
      <c r="A33" t="s">
        <v>47</v>
      </c>
      <c r="B33" s="5">
        <v>337</v>
      </c>
    </row>
    <row r="34" spans="1:3">
      <c r="A34" t="s">
        <v>48</v>
      </c>
      <c r="B34" s="5">
        <f>B28/B31</f>
        <v>24.532846715328468</v>
      </c>
    </row>
    <row r="35" spans="1:3">
      <c r="A35" t="s">
        <v>49</v>
      </c>
      <c r="B35" s="5">
        <f t="shared" ref="B35:B36" si="0">B29/B32</f>
        <v>24.4</v>
      </c>
    </row>
    <row r="36" spans="1:3">
      <c r="A36" t="s">
        <v>50</v>
      </c>
      <c r="B36" s="5">
        <f t="shared" si="0"/>
        <v>33.023738872403563</v>
      </c>
    </row>
    <row r="37" spans="1:3">
      <c r="A37" s="9" t="s">
        <v>53</v>
      </c>
      <c r="B37" s="5">
        <f>(B26*B25+B34*B28+B35*B29+B36*B30)/SUM(B25,B28:B30)</f>
        <v>48.656731685074099</v>
      </c>
    </row>
    <row r="39" spans="1:3">
      <c r="A39" s="3" t="s">
        <v>27</v>
      </c>
      <c r="B39" s="3">
        <v>2003</v>
      </c>
      <c r="C39" t="s">
        <v>41</v>
      </c>
    </row>
    <row r="40" spans="1:3">
      <c r="A40" t="s">
        <v>28</v>
      </c>
      <c r="B40">
        <v>278918700</v>
      </c>
    </row>
    <row r="41" spans="1:3">
      <c r="A41" t="s">
        <v>29</v>
      </c>
      <c r="B41">
        <v>278352300</v>
      </c>
    </row>
    <row r="42" spans="1:3">
      <c r="A42" t="s">
        <v>30</v>
      </c>
      <c r="B42">
        <v>47539400</v>
      </c>
    </row>
    <row r="43" spans="1:3">
      <c r="A43" t="s">
        <v>31</v>
      </c>
      <c r="B43">
        <v>1248</v>
      </c>
    </row>
    <row r="44" spans="1:3">
      <c r="A44" t="s">
        <v>32</v>
      </c>
      <c r="B44">
        <v>457</v>
      </c>
    </row>
    <row r="45" spans="1:3">
      <c r="A45" t="s">
        <v>33</v>
      </c>
      <c r="B45">
        <v>530</v>
      </c>
    </row>
    <row r="46" spans="1:3">
      <c r="A46" t="s">
        <v>34</v>
      </c>
      <c r="B46" s="5">
        <f>(B43*B40+B44*B41+B45*B42)/SUM(B40:B42)</f>
        <v>827.5211879623763</v>
      </c>
    </row>
    <row r="47" spans="1:3">
      <c r="A47" t="s">
        <v>35</v>
      </c>
      <c r="B47" s="5">
        <v>32052</v>
      </c>
    </row>
    <row r="48" spans="1:3">
      <c r="A48" t="s">
        <v>36</v>
      </c>
      <c r="B48" s="5">
        <f>SUM(2967,619,100)</f>
        <v>3686</v>
      </c>
    </row>
    <row r="49" spans="1:3">
      <c r="A49" t="s">
        <v>37</v>
      </c>
      <c r="B49" s="5">
        <f>SUM(B47:B48)</f>
        <v>35738</v>
      </c>
    </row>
    <row r="50" spans="1:3">
      <c r="A50" t="s">
        <v>86</v>
      </c>
      <c r="B50" s="15">
        <v>15</v>
      </c>
      <c r="C50" s="14" t="s">
        <v>85</v>
      </c>
    </row>
    <row r="51" spans="1:3">
      <c r="A51" t="s">
        <v>38</v>
      </c>
      <c r="B51" s="15">
        <f>B46*B49*B50</f>
        <v>443609283.23099107</v>
      </c>
    </row>
    <row r="52" spans="1:3">
      <c r="A52" t="s">
        <v>39</v>
      </c>
      <c r="B52" s="5">
        <f>SUM(B40:B42)*1000/B51</f>
        <v>1363.3853547764243</v>
      </c>
      <c r="C52" t="s">
        <v>40</v>
      </c>
    </row>
    <row r="53" spans="1:3">
      <c r="B53" s="5"/>
    </row>
    <row r="54" spans="1:3">
      <c r="A54" s="3" t="s">
        <v>60</v>
      </c>
      <c r="B54" s="12">
        <v>2007</v>
      </c>
    </row>
    <row r="55" spans="1:3">
      <c r="A55" t="s">
        <v>61</v>
      </c>
      <c r="B55">
        <v>13611</v>
      </c>
    </row>
    <row r="56" spans="1:3">
      <c r="A56" s="10" t="s">
        <v>62</v>
      </c>
      <c r="B56" s="10">
        <v>17287</v>
      </c>
    </row>
    <row r="57" spans="1:3">
      <c r="A57" s="9" t="s">
        <v>63</v>
      </c>
      <c r="B57" s="6">
        <f>B56/B55</f>
        <v>1.2700756740871355</v>
      </c>
    </row>
    <row r="58" spans="1:3">
      <c r="A58" s="9"/>
    </row>
    <row r="59" spans="1:3">
      <c r="A59" s="3" t="s">
        <v>64</v>
      </c>
      <c r="B59" s="3">
        <v>2007</v>
      </c>
    </row>
    <row r="60" spans="1:3">
      <c r="A60" t="s">
        <v>65</v>
      </c>
      <c r="B60" s="10">
        <v>1670994</v>
      </c>
    </row>
    <row r="61" spans="1:3">
      <c r="A61" t="s">
        <v>66</v>
      </c>
      <c r="B61" s="5">
        <v>2640170</v>
      </c>
    </row>
    <row r="62" spans="1:3">
      <c r="A62" t="s">
        <v>67</v>
      </c>
      <c r="B62" s="6">
        <f>B61/B60</f>
        <v>1.579999688807979</v>
      </c>
      <c r="C62" s="10" t="s">
        <v>68</v>
      </c>
    </row>
    <row r="63" spans="1:3">
      <c r="B63" s="5"/>
    </row>
    <row r="64" spans="1:3">
      <c r="B64" s="5"/>
    </row>
    <row r="66" spans="2:2">
      <c r="B66" s="8"/>
    </row>
  </sheetData>
  <pageMargins left="0.7" right="0.7" top="0.75" bottom="0.75" header="0.3" footer="0.3"/>
  <pageSetup orientation="portrait" r:id="rId1"/>
  <ignoredErrors>
    <ignoredError sqref="B52 B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4.5"/>
  <cols>
    <col min="1" max="1" width="26.81640625" customWidth="1"/>
    <col min="2" max="2" width="16.7265625" customWidth="1"/>
    <col min="3" max="3" width="12.54296875" customWidth="1"/>
    <col min="4" max="4" width="14.1796875" customWidth="1"/>
    <col min="5" max="5" width="16.7265625" customWidth="1"/>
    <col min="6" max="6" width="16.26953125" customWidth="1"/>
    <col min="7" max="7" width="15.81640625" customWidth="1"/>
  </cols>
  <sheetData>
    <row r="1" spans="1:7">
      <c r="A1" s="1" t="s">
        <v>88</v>
      </c>
    </row>
    <row r="2" spans="1:7">
      <c r="A2" s="1"/>
    </row>
    <row r="3" spans="1:7" ht="43.5">
      <c r="A3" s="18" t="s">
        <v>89</v>
      </c>
      <c r="B3" s="18" t="s">
        <v>90</v>
      </c>
      <c r="C3" s="18" t="s">
        <v>91</v>
      </c>
      <c r="D3" s="18" t="s">
        <v>92</v>
      </c>
      <c r="E3" s="18" t="s">
        <v>93</v>
      </c>
      <c r="F3" s="18" t="s">
        <v>94</v>
      </c>
      <c r="G3" s="18" t="s">
        <v>95</v>
      </c>
    </row>
    <row r="4" spans="1:7">
      <c r="A4" t="s">
        <v>96</v>
      </c>
      <c r="B4" s="19">
        <v>21611</v>
      </c>
      <c r="C4" s="19">
        <v>244203</v>
      </c>
      <c r="D4" s="19">
        <v>3584</v>
      </c>
      <c r="E4">
        <v>11.3</v>
      </c>
      <c r="F4">
        <v>5.7</v>
      </c>
      <c r="G4">
        <v>2.4</v>
      </c>
    </row>
    <row r="5" spans="1:7">
      <c r="A5" t="s">
        <v>97</v>
      </c>
      <c r="B5" s="19">
        <v>10147</v>
      </c>
      <c r="C5" s="19">
        <v>121865</v>
      </c>
      <c r="D5" s="19">
        <v>2035</v>
      </c>
      <c r="E5">
        <v>12</v>
      </c>
      <c r="F5">
        <v>6</v>
      </c>
      <c r="G5">
        <v>2.7</v>
      </c>
    </row>
    <row r="6" spans="1:7">
      <c r="A6" t="s">
        <v>98</v>
      </c>
      <c r="B6">
        <v>735</v>
      </c>
      <c r="C6" s="19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99</v>
      </c>
      <c r="B7">
        <v>854</v>
      </c>
      <c r="C7" s="19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100</v>
      </c>
      <c r="B8" s="19">
        <v>1704</v>
      </c>
      <c r="C8" s="19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101</v>
      </c>
      <c r="B9" s="19">
        <v>2508</v>
      </c>
      <c r="C9" s="19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102</v>
      </c>
      <c r="B10" s="19">
        <v>3916</v>
      </c>
      <c r="C10" s="19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103</v>
      </c>
      <c r="B11" s="19">
        <v>1747</v>
      </c>
      <c r="C11" s="19">
        <v>17458</v>
      </c>
      <c r="D11">
        <v>322</v>
      </c>
      <c r="E11">
        <v>10</v>
      </c>
      <c r="F11">
        <v>6.8</v>
      </c>
      <c r="G11">
        <v>2.4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4.5"/>
  <cols>
    <col min="1" max="1" width="13.1796875" customWidth="1"/>
    <col min="2" max="2" width="8.7265625" customWidth="1"/>
  </cols>
  <sheetData>
    <row r="1" spans="1:37">
      <c r="A1" s="1"/>
      <c r="B1" s="4">
        <v>2015</v>
      </c>
      <c r="C1" s="1">
        <v>2016</v>
      </c>
      <c r="D1" s="4">
        <v>2017</v>
      </c>
      <c r="E1" s="1">
        <v>2018</v>
      </c>
      <c r="F1" s="4">
        <v>2019</v>
      </c>
      <c r="G1" s="1">
        <v>2020</v>
      </c>
      <c r="H1" s="4">
        <v>2021</v>
      </c>
      <c r="I1" s="1">
        <v>2022</v>
      </c>
      <c r="J1" s="4">
        <v>2023</v>
      </c>
      <c r="K1" s="1">
        <v>2024</v>
      </c>
      <c r="L1" s="4">
        <v>2025</v>
      </c>
      <c r="M1" s="1">
        <v>2026</v>
      </c>
      <c r="N1" s="4">
        <v>2027</v>
      </c>
      <c r="O1" s="1">
        <v>2028</v>
      </c>
      <c r="P1" s="4">
        <v>2029</v>
      </c>
      <c r="Q1" s="1">
        <v>2030</v>
      </c>
      <c r="R1" s="4">
        <v>2031</v>
      </c>
      <c r="S1" s="1">
        <v>2032</v>
      </c>
      <c r="T1" s="4">
        <v>2033</v>
      </c>
      <c r="U1" s="1">
        <v>2034</v>
      </c>
      <c r="V1" s="4">
        <v>2035</v>
      </c>
      <c r="W1" s="1">
        <v>2036</v>
      </c>
      <c r="X1" s="4">
        <v>2037</v>
      </c>
      <c r="Y1" s="1">
        <v>2038</v>
      </c>
      <c r="Z1" s="4">
        <v>2039</v>
      </c>
      <c r="AA1" s="1">
        <v>2040</v>
      </c>
      <c r="AB1" s="4">
        <v>2041</v>
      </c>
      <c r="AC1" s="1">
        <v>2042</v>
      </c>
      <c r="AD1" s="4">
        <v>2043</v>
      </c>
      <c r="AE1" s="1">
        <v>2044</v>
      </c>
      <c r="AF1" s="4">
        <v>2045</v>
      </c>
      <c r="AG1" s="1">
        <v>2046</v>
      </c>
      <c r="AH1" s="4">
        <v>2047</v>
      </c>
      <c r="AI1" s="1">
        <v>2048</v>
      </c>
      <c r="AJ1" s="4">
        <v>2049</v>
      </c>
      <c r="AK1" s="1">
        <v>2050</v>
      </c>
    </row>
    <row r="2" spans="1:37">
      <c r="A2" s="1" t="s">
        <v>4</v>
      </c>
      <c r="B2" s="25">
        <f>'CAN Road'!A3</f>
        <v>1.62</v>
      </c>
      <c r="C2" s="6">
        <f>$B2</f>
        <v>1.62</v>
      </c>
      <c r="D2" s="6">
        <f t="shared" ref="D2:AK7" si="0">$B2</f>
        <v>1.62</v>
      </c>
      <c r="E2" s="6">
        <f t="shared" si="0"/>
        <v>1.62</v>
      </c>
      <c r="F2" s="6">
        <f t="shared" si="0"/>
        <v>1.62</v>
      </c>
      <c r="G2" s="6">
        <f t="shared" si="0"/>
        <v>1.62</v>
      </c>
      <c r="H2" s="6">
        <f t="shared" si="0"/>
        <v>1.62</v>
      </c>
      <c r="I2" s="6">
        <f t="shared" si="0"/>
        <v>1.62</v>
      </c>
      <c r="J2" s="6">
        <f t="shared" si="0"/>
        <v>1.62</v>
      </c>
      <c r="K2" s="6">
        <f t="shared" si="0"/>
        <v>1.62</v>
      </c>
      <c r="L2" s="6">
        <f t="shared" si="0"/>
        <v>1.62</v>
      </c>
      <c r="M2" s="6">
        <f t="shared" si="0"/>
        <v>1.62</v>
      </c>
      <c r="N2" s="6">
        <f t="shared" si="0"/>
        <v>1.62</v>
      </c>
      <c r="O2" s="6">
        <f t="shared" si="0"/>
        <v>1.62</v>
      </c>
      <c r="P2" s="6">
        <f t="shared" si="0"/>
        <v>1.62</v>
      </c>
      <c r="Q2" s="6">
        <f t="shared" si="0"/>
        <v>1.62</v>
      </c>
      <c r="R2" s="6">
        <f t="shared" si="0"/>
        <v>1.62</v>
      </c>
      <c r="S2" s="6">
        <f t="shared" si="0"/>
        <v>1.62</v>
      </c>
      <c r="T2" s="6">
        <f t="shared" si="0"/>
        <v>1.62</v>
      </c>
      <c r="U2" s="6">
        <f t="shared" si="0"/>
        <v>1.62</v>
      </c>
      <c r="V2" s="6">
        <f t="shared" si="0"/>
        <v>1.62</v>
      </c>
      <c r="W2" s="6">
        <f t="shared" si="0"/>
        <v>1.62</v>
      </c>
      <c r="X2" s="6">
        <f t="shared" si="0"/>
        <v>1.62</v>
      </c>
      <c r="Y2" s="6">
        <f t="shared" si="0"/>
        <v>1.62</v>
      </c>
      <c r="Z2" s="6">
        <f t="shared" si="0"/>
        <v>1.62</v>
      </c>
      <c r="AA2" s="6">
        <f t="shared" si="0"/>
        <v>1.62</v>
      </c>
      <c r="AB2" s="6">
        <f t="shared" si="0"/>
        <v>1.62</v>
      </c>
      <c r="AC2" s="6">
        <f t="shared" si="0"/>
        <v>1.62</v>
      </c>
      <c r="AD2" s="6">
        <f t="shared" si="0"/>
        <v>1.62</v>
      </c>
      <c r="AE2" s="6">
        <f t="shared" si="0"/>
        <v>1.62</v>
      </c>
      <c r="AF2" s="6">
        <f t="shared" si="0"/>
        <v>1.62</v>
      </c>
      <c r="AG2" s="6">
        <f t="shared" si="0"/>
        <v>1.62</v>
      </c>
      <c r="AH2" s="6">
        <f t="shared" si="0"/>
        <v>1.62</v>
      </c>
      <c r="AI2" s="6">
        <f t="shared" si="0"/>
        <v>1.62</v>
      </c>
      <c r="AJ2" s="6">
        <f t="shared" si="0"/>
        <v>1.62</v>
      </c>
      <c r="AK2" s="6">
        <f t="shared" si="0"/>
        <v>1.62</v>
      </c>
    </row>
    <row r="3" spans="1:37">
      <c r="A3" s="1" t="s">
        <v>5</v>
      </c>
      <c r="B3" s="8">
        <f>'BTS NTS Modal Profile Data'!B14</f>
        <v>21.196137258578663</v>
      </c>
      <c r="C3" s="6">
        <f t="shared" ref="C3:R7" si="1">$B3</f>
        <v>21.196137258578663</v>
      </c>
      <c r="D3" s="6">
        <f t="shared" si="1"/>
        <v>21.196137258578663</v>
      </c>
      <c r="E3" s="6">
        <f t="shared" si="1"/>
        <v>21.196137258578663</v>
      </c>
      <c r="F3" s="6">
        <f t="shared" si="1"/>
        <v>21.196137258578663</v>
      </c>
      <c r="G3" s="6">
        <f t="shared" si="1"/>
        <v>21.196137258578663</v>
      </c>
      <c r="H3" s="6">
        <f t="shared" si="1"/>
        <v>21.196137258578663</v>
      </c>
      <c r="I3" s="6">
        <f t="shared" si="1"/>
        <v>21.196137258578663</v>
      </c>
      <c r="J3" s="6">
        <f t="shared" si="1"/>
        <v>21.196137258578663</v>
      </c>
      <c r="K3" s="6">
        <f t="shared" si="1"/>
        <v>21.196137258578663</v>
      </c>
      <c r="L3" s="6">
        <f t="shared" si="1"/>
        <v>21.196137258578663</v>
      </c>
      <c r="M3" s="6">
        <f t="shared" si="1"/>
        <v>21.196137258578663</v>
      </c>
      <c r="N3" s="6">
        <f t="shared" si="1"/>
        <v>21.196137258578663</v>
      </c>
      <c r="O3" s="6">
        <f t="shared" si="1"/>
        <v>21.196137258578663</v>
      </c>
      <c r="P3" s="6">
        <f t="shared" si="1"/>
        <v>21.196137258578663</v>
      </c>
      <c r="Q3" s="6">
        <f t="shared" si="1"/>
        <v>21.196137258578663</v>
      </c>
      <c r="R3" s="6">
        <f t="shared" si="1"/>
        <v>21.196137258578663</v>
      </c>
      <c r="S3" s="6">
        <f t="shared" si="0"/>
        <v>21.196137258578663</v>
      </c>
      <c r="T3" s="6">
        <f t="shared" si="0"/>
        <v>21.196137258578663</v>
      </c>
      <c r="U3" s="6">
        <f t="shared" si="0"/>
        <v>21.196137258578663</v>
      </c>
      <c r="V3" s="6">
        <f t="shared" si="0"/>
        <v>21.196137258578663</v>
      </c>
      <c r="W3" s="6">
        <f t="shared" si="0"/>
        <v>21.196137258578663</v>
      </c>
      <c r="X3" s="6">
        <f t="shared" si="0"/>
        <v>21.196137258578663</v>
      </c>
      <c r="Y3" s="6">
        <f t="shared" si="0"/>
        <v>21.196137258578663</v>
      </c>
      <c r="Z3" s="6">
        <f t="shared" si="0"/>
        <v>21.196137258578663</v>
      </c>
      <c r="AA3" s="6">
        <f t="shared" si="0"/>
        <v>21.196137258578663</v>
      </c>
      <c r="AB3" s="6">
        <f t="shared" si="0"/>
        <v>21.196137258578663</v>
      </c>
      <c r="AC3" s="6">
        <f t="shared" si="0"/>
        <v>21.196137258578663</v>
      </c>
      <c r="AD3" s="6">
        <f t="shared" si="0"/>
        <v>21.196137258578663</v>
      </c>
      <c r="AE3" s="6">
        <f t="shared" si="0"/>
        <v>21.196137258578663</v>
      </c>
      <c r="AF3" s="6">
        <f t="shared" si="0"/>
        <v>21.196137258578663</v>
      </c>
      <c r="AG3" s="6">
        <f t="shared" si="0"/>
        <v>21.196137258578663</v>
      </c>
      <c r="AH3" s="6">
        <f t="shared" si="0"/>
        <v>21.196137258578663</v>
      </c>
      <c r="AI3" s="6">
        <f t="shared" si="0"/>
        <v>21.196137258578663</v>
      </c>
      <c r="AJ3" s="6">
        <f t="shared" si="0"/>
        <v>21.196137258578663</v>
      </c>
      <c r="AK3" s="6">
        <f t="shared" si="0"/>
        <v>21.196137258578663</v>
      </c>
    </row>
    <row r="4" spans="1:37">
      <c r="A4" s="1" t="s">
        <v>6</v>
      </c>
      <c r="B4" s="8">
        <f>'BTS NTS Modal Profile Data'!B8</f>
        <v>111.39416306433705</v>
      </c>
      <c r="C4" s="6">
        <f t="shared" si="1"/>
        <v>111.39416306433705</v>
      </c>
      <c r="D4" s="6">
        <f t="shared" si="0"/>
        <v>111.39416306433705</v>
      </c>
      <c r="E4" s="6">
        <f t="shared" si="0"/>
        <v>111.39416306433705</v>
      </c>
      <c r="F4" s="6">
        <f t="shared" si="0"/>
        <v>111.39416306433705</v>
      </c>
      <c r="G4" s="6">
        <f t="shared" si="0"/>
        <v>111.39416306433705</v>
      </c>
      <c r="H4" s="6">
        <f t="shared" si="0"/>
        <v>111.39416306433705</v>
      </c>
      <c r="I4" s="6">
        <f t="shared" si="0"/>
        <v>111.39416306433705</v>
      </c>
      <c r="J4" s="6">
        <f t="shared" si="0"/>
        <v>111.39416306433705</v>
      </c>
      <c r="K4" s="6">
        <f t="shared" si="0"/>
        <v>111.39416306433705</v>
      </c>
      <c r="L4" s="6">
        <f t="shared" si="0"/>
        <v>111.39416306433705</v>
      </c>
      <c r="M4" s="6">
        <f t="shared" si="0"/>
        <v>111.39416306433705</v>
      </c>
      <c r="N4" s="6">
        <f t="shared" si="0"/>
        <v>111.39416306433705</v>
      </c>
      <c r="O4" s="6">
        <f t="shared" si="0"/>
        <v>111.39416306433705</v>
      </c>
      <c r="P4" s="6">
        <f t="shared" si="0"/>
        <v>111.39416306433705</v>
      </c>
      <c r="Q4" s="6">
        <f t="shared" si="0"/>
        <v>111.39416306433705</v>
      </c>
      <c r="R4" s="6">
        <f t="shared" si="0"/>
        <v>111.39416306433705</v>
      </c>
      <c r="S4" s="6">
        <f t="shared" si="0"/>
        <v>111.39416306433705</v>
      </c>
      <c r="T4" s="6">
        <f t="shared" si="0"/>
        <v>111.39416306433705</v>
      </c>
      <c r="U4" s="6">
        <f t="shared" si="0"/>
        <v>111.39416306433705</v>
      </c>
      <c r="V4" s="6">
        <f t="shared" si="0"/>
        <v>111.39416306433705</v>
      </c>
      <c r="W4" s="6">
        <f t="shared" si="0"/>
        <v>111.39416306433705</v>
      </c>
      <c r="X4" s="6">
        <f t="shared" si="0"/>
        <v>111.39416306433705</v>
      </c>
      <c r="Y4" s="6">
        <f t="shared" si="0"/>
        <v>111.39416306433705</v>
      </c>
      <c r="Z4" s="6">
        <f t="shared" si="0"/>
        <v>111.39416306433705</v>
      </c>
      <c r="AA4" s="6">
        <f t="shared" si="0"/>
        <v>111.39416306433705</v>
      </c>
      <c r="AB4" s="6">
        <f t="shared" si="0"/>
        <v>111.39416306433705</v>
      </c>
      <c r="AC4" s="6">
        <f t="shared" si="0"/>
        <v>111.39416306433705</v>
      </c>
      <c r="AD4" s="6">
        <f t="shared" si="0"/>
        <v>111.39416306433705</v>
      </c>
      <c r="AE4" s="6">
        <f t="shared" si="0"/>
        <v>111.39416306433705</v>
      </c>
      <c r="AF4" s="6">
        <f t="shared" si="0"/>
        <v>111.39416306433705</v>
      </c>
      <c r="AG4" s="6">
        <f t="shared" si="0"/>
        <v>111.39416306433705</v>
      </c>
      <c r="AH4" s="6">
        <f t="shared" si="0"/>
        <v>111.39416306433705</v>
      </c>
      <c r="AI4" s="6">
        <f t="shared" si="0"/>
        <v>111.39416306433705</v>
      </c>
      <c r="AJ4" s="6">
        <f t="shared" si="0"/>
        <v>111.39416306433705</v>
      </c>
      <c r="AK4" s="6">
        <f t="shared" si="0"/>
        <v>111.39416306433705</v>
      </c>
    </row>
    <row r="5" spans="1:37">
      <c r="A5" s="1" t="s">
        <v>7</v>
      </c>
      <c r="B5" s="8">
        <f>'BTS NTS Modal Profile Data'!B37</f>
        <v>48.656731685074099</v>
      </c>
      <c r="C5" s="6">
        <f t="shared" si="1"/>
        <v>48.656731685074099</v>
      </c>
      <c r="D5" s="6">
        <f t="shared" si="0"/>
        <v>48.656731685074099</v>
      </c>
      <c r="E5" s="6">
        <f t="shared" si="0"/>
        <v>48.656731685074099</v>
      </c>
      <c r="F5" s="6">
        <f t="shared" si="0"/>
        <v>48.656731685074099</v>
      </c>
      <c r="G5" s="6">
        <f t="shared" si="0"/>
        <v>48.656731685074099</v>
      </c>
      <c r="H5" s="6">
        <f t="shared" si="0"/>
        <v>48.656731685074099</v>
      </c>
      <c r="I5" s="6">
        <f t="shared" si="0"/>
        <v>48.656731685074099</v>
      </c>
      <c r="J5" s="6">
        <f t="shared" si="0"/>
        <v>48.656731685074099</v>
      </c>
      <c r="K5" s="6">
        <f t="shared" si="0"/>
        <v>48.656731685074099</v>
      </c>
      <c r="L5" s="6">
        <f t="shared" si="0"/>
        <v>48.656731685074099</v>
      </c>
      <c r="M5" s="6">
        <f t="shared" si="0"/>
        <v>48.656731685074099</v>
      </c>
      <c r="N5" s="6">
        <f t="shared" si="0"/>
        <v>48.656731685074099</v>
      </c>
      <c r="O5" s="6">
        <f t="shared" si="0"/>
        <v>48.656731685074099</v>
      </c>
      <c r="P5" s="6">
        <f t="shared" si="0"/>
        <v>48.656731685074099</v>
      </c>
      <c r="Q5" s="6">
        <f t="shared" si="0"/>
        <v>48.656731685074099</v>
      </c>
      <c r="R5" s="6">
        <f t="shared" si="0"/>
        <v>48.656731685074099</v>
      </c>
      <c r="S5" s="6">
        <f t="shared" si="0"/>
        <v>48.656731685074099</v>
      </c>
      <c r="T5" s="6">
        <f t="shared" si="0"/>
        <v>48.656731685074099</v>
      </c>
      <c r="U5" s="6">
        <f t="shared" si="0"/>
        <v>48.656731685074099</v>
      </c>
      <c r="V5" s="6">
        <f t="shared" si="0"/>
        <v>48.656731685074099</v>
      </c>
      <c r="W5" s="6">
        <f t="shared" si="0"/>
        <v>48.656731685074099</v>
      </c>
      <c r="X5" s="6">
        <f t="shared" si="0"/>
        <v>48.656731685074099</v>
      </c>
      <c r="Y5" s="6">
        <f t="shared" si="0"/>
        <v>48.656731685074099</v>
      </c>
      <c r="Z5" s="6">
        <f t="shared" si="0"/>
        <v>48.656731685074099</v>
      </c>
      <c r="AA5" s="6">
        <f t="shared" si="0"/>
        <v>48.656731685074099</v>
      </c>
      <c r="AB5" s="6">
        <f t="shared" si="0"/>
        <v>48.656731685074099</v>
      </c>
      <c r="AC5" s="6">
        <f t="shared" si="0"/>
        <v>48.656731685074099</v>
      </c>
      <c r="AD5" s="6">
        <f t="shared" si="0"/>
        <v>48.656731685074099</v>
      </c>
      <c r="AE5" s="6">
        <f t="shared" si="0"/>
        <v>48.656731685074099</v>
      </c>
      <c r="AF5" s="6">
        <f t="shared" si="0"/>
        <v>48.656731685074099</v>
      </c>
      <c r="AG5" s="6">
        <f t="shared" si="0"/>
        <v>48.656731685074099</v>
      </c>
      <c r="AH5" s="6">
        <f t="shared" si="0"/>
        <v>48.656731685074099</v>
      </c>
      <c r="AI5" s="6">
        <f t="shared" si="0"/>
        <v>48.656731685074099</v>
      </c>
      <c r="AJ5" s="6">
        <f t="shared" si="0"/>
        <v>48.656731685074099</v>
      </c>
      <c r="AK5" s="6">
        <f t="shared" si="0"/>
        <v>48.656731685074099</v>
      </c>
    </row>
    <row r="6" spans="1:37">
      <c r="A6" s="16" t="s">
        <v>8</v>
      </c>
      <c r="B6" s="30">
        <f>'CAN Psgr Ships'!B42</f>
        <v>756.78378378378375</v>
      </c>
      <c r="C6" s="5">
        <f t="shared" si="1"/>
        <v>756.78378378378375</v>
      </c>
      <c r="D6" s="5">
        <f t="shared" si="0"/>
        <v>756.78378378378375</v>
      </c>
      <c r="E6" s="5">
        <f t="shared" si="0"/>
        <v>756.78378378378375</v>
      </c>
      <c r="F6" s="5">
        <f t="shared" si="0"/>
        <v>756.78378378378375</v>
      </c>
      <c r="G6" s="5">
        <f t="shared" si="0"/>
        <v>756.78378378378375</v>
      </c>
      <c r="H6" s="5">
        <f t="shared" si="0"/>
        <v>756.78378378378375</v>
      </c>
      <c r="I6" s="5">
        <f t="shared" si="0"/>
        <v>756.78378378378375</v>
      </c>
      <c r="J6" s="5">
        <f t="shared" si="0"/>
        <v>756.78378378378375</v>
      </c>
      <c r="K6" s="5">
        <f t="shared" si="0"/>
        <v>756.78378378378375</v>
      </c>
      <c r="L6" s="5">
        <f t="shared" si="0"/>
        <v>756.78378378378375</v>
      </c>
      <c r="M6" s="5">
        <f t="shared" si="0"/>
        <v>756.78378378378375</v>
      </c>
      <c r="N6" s="5">
        <f t="shared" si="0"/>
        <v>756.78378378378375</v>
      </c>
      <c r="O6" s="5">
        <f t="shared" si="0"/>
        <v>756.78378378378375</v>
      </c>
      <c r="P6" s="5">
        <f t="shared" si="0"/>
        <v>756.78378378378375</v>
      </c>
      <c r="Q6" s="5">
        <f t="shared" si="0"/>
        <v>756.78378378378375</v>
      </c>
      <c r="R6" s="5">
        <f t="shared" si="0"/>
        <v>756.78378378378375</v>
      </c>
      <c r="S6" s="5">
        <f t="shared" si="0"/>
        <v>756.78378378378375</v>
      </c>
      <c r="T6" s="5">
        <f t="shared" si="0"/>
        <v>756.78378378378375</v>
      </c>
      <c r="U6" s="5">
        <f t="shared" si="0"/>
        <v>756.78378378378375</v>
      </c>
      <c r="V6" s="5">
        <f t="shared" si="0"/>
        <v>756.78378378378375</v>
      </c>
      <c r="W6" s="5">
        <f t="shared" si="0"/>
        <v>756.78378378378375</v>
      </c>
      <c r="X6" s="5">
        <f t="shared" si="0"/>
        <v>756.78378378378375</v>
      </c>
      <c r="Y6" s="5">
        <f t="shared" si="0"/>
        <v>756.78378378378375</v>
      </c>
      <c r="Z6" s="5">
        <f t="shared" si="0"/>
        <v>756.78378378378375</v>
      </c>
      <c r="AA6" s="5">
        <f t="shared" si="0"/>
        <v>756.78378378378375</v>
      </c>
      <c r="AB6" s="5">
        <f t="shared" si="0"/>
        <v>756.78378378378375</v>
      </c>
      <c r="AC6" s="5">
        <f t="shared" si="0"/>
        <v>756.78378378378375</v>
      </c>
      <c r="AD6" s="5">
        <f t="shared" si="0"/>
        <v>756.78378378378375</v>
      </c>
      <c r="AE6" s="5">
        <f t="shared" si="0"/>
        <v>756.78378378378375</v>
      </c>
      <c r="AF6" s="5">
        <f t="shared" si="0"/>
        <v>756.78378378378375</v>
      </c>
      <c r="AG6" s="5">
        <f t="shared" si="0"/>
        <v>756.78378378378375</v>
      </c>
      <c r="AH6" s="5">
        <f t="shared" si="0"/>
        <v>756.78378378378375</v>
      </c>
      <c r="AI6" s="5">
        <f t="shared" si="0"/>
        <v>756.78378378378375</v>
      </c>
      <c r="AJ6" s="5">
        <f t="shared" si="0"/>
        <v>756.78378378378375</v>
      </c>
      <c r="AK6" s="5">
        <f t="shared" si="0"/>
        <v>756.78378378378375</v>
      </c>
    </row>
    <row r="7" spans="1:37">
      <c r="A7" s="1" t="s">
        <v>9</v>
      </c>
      <c r="B7" s="6">
        <f>'BTS NTS Modal Profile Data'!B57</f>
        <v>1.2700756740871355</v>
      </c>
      <c r="C7" s="6">
        <f t="shared" si="1"/>
        <v>1.2700756740871355</v>
      </c>
      <c r="D7" s="6">
        <f t="shared" si="0"/>
        <v>1.2700756740871355</v>
      </c>
      <c r="E7" s="6">
        <f t="shared" si="0"/>
        <v>1.2700756740871355</v>
      </c>
      <c r="F7" s="6">
        <f t="shared" si="0"/>
        <v>1.2700756740871355</v>
      </c>
      <c r="G7" s="6">
        <f t="shared" si="0"/>
        <v>1.2700756740871355</v>
      </c>
      <c r="H7" s="6">
        <f t="shared" si="0"/>
        <v>1.2700756740871355</v>
      </c>
      <c r="I7" s="6">
        <f t="shared" si="0"/>
        <v>1.2700756740871355</v>
      </c>
      <c r="J7" s="6">
        <f t="shared" si="0"/>
        <v>1.2700756740871355</v>
      </c>
      <c r="K7" s="6">
        <f t="shared" si="0"/>
        <v>1.2700756740871355</v>
      </c>
      <c r="L7" s="6">
        <f t="shared" si="0"/>
        <v>1.2700756740871355</v>
      </c>
      <c r="M7" s="6">
        <f t="shared" si="0"/>
        <v>1.2700756740871355</v>
      </c>
      <c r="N7" s="6">
        <f t="shared" si="0"/>
        <v>1.2700756740871355</v>
      </c>
      <c r="O7" s="6">
        <f t="shared" si="0"/>
        <v>1.2700756740871355</v>
      </c>
      <c r="P7" s="6">
        <f t="shared" si="0"/>
        <v>1.2700756740871355</v>
      </c>
      <c r="Q7" s="6">
        <f t="shared" si="0"/>
        <v>1.2700756740871355</v>
      </c>
      <c r="R7" s="6">
        <f t="shared" si="0"/>
        <v>1.2700756740871355</v>
      </c>
      <c r="S7" s="6">
        <f t="shared" si="0"/>
        <v>1.2700756740871355</v>
      </c>
      <c r="T7" s="6">
        <f t="shared" si="0"/>
        <v>1.2700756740871355</v>
      </c>
      <c r="U7" s="6">
        <f t="shared" si="0"/>
        <v>1.2700756740871355</v>
      </c>
      <c r="V7" s="6">
        <f t="shared" si="0"/>
        <v>1.2700756740871355</v>
      </c>
      <c r="W7" s="6">
        <f t="shared" si="0"/>
        <v>1.2700756740871355</v>
      </c>
      <c r="X7" s="6">
        <f t="shared" si="0"/>
        <v>1.2700756740871355</v>
      </c>
      <c r="Y7" s="6">
        <f t="shared" si="0"/>
        <v>1.2700756740871355</v>
      </c>
      <c r="Z7" s="6">
        <f t="shared" si="0"/>
        <v>1.2700756740871355</v>
      </c>
      <c r="AA7" s="6">
        <f t="shared" si="0"/>
        <v>1.2700756740871355</v>
      </c>
      <c r="AB7" s="6">
        <f t="shared" si="0"/>
        <v>1.2700756740871355</v>
      </c>
      <c r="AC7" s="6">
        <f t="shared" si="0"/>
        <v>1.2700756740871355</v>
      </c>
      <c r="AD7" s="6">
        <f t="shared" si="0"/>
        <v>1.2700756740871355</v>
      </c>
      <c r="AE7" s="6">
        <f t="shared" si="0"/>
        <v>1.2700756740871355</v>
      </c>
      <c r="AF7" s="6">
        <f t="shared" si="0"/>
        <v>1.2700756740871355</v>
      </c>
      <c r="AG7" s="6">
        <f t="shared" si="0"/>
        <v>1.2700756740871355</v>
      </c>
      <c r="AH7" s="6">
        <f t="shared" si="0"/>
        <v>1.2700756740871355</v>
      </c>
      <c r="AI7" s="6">
        <f t="shared" si="0"/>
        <v>1.2700756740871355</v>
      </c>
      <c r="AJ7" s="6">
        <f t="shared" si="0"/>
        <v>1.2700756740871355</v>
      </c>
      <c r="AK7" s="6">
        <f t="shared" si="0"/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13.1796875" customWidth="1"/>
  </cols>
  <sheetData>
    <row r="1" spans="1:36" s="1" customFormat="1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4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5</v>
      </c>
      <c r="B3" s="26">
        <f>'CAN Road'!A9</f>
        <v>13.208095546093585</v>
      </c>
      <c r="C3" s="8">
        <f t="shared" si="0"/>
        <v>13.208095546093585</v>
      </c>
      <c r="D3" s="8">
        <f t="shared" si="0"/>
        <v>13.208095546093585</v>
      </c>
      <c r="E3" s="8">
        <f t="shared" si="0"/>
        <v>13.208095546093585</v>
      </c>
      <c r="F3" s="8">
        <f t="shared" si="0"/>
        <v>13.208095546093585</v>
      </c>
      <c r="G3" s="8">
        <f t="shared" si="0"/>
        <v>13.208095546093585</v>
      </c>
      <c r="H3" s="8">
        <f t="shared" si="0"/>
        <v>13.208095546093585</v>
      </c>
      <c r="I3" s="8">
        <f t="shared" si="0"/>
        <v>13.208095546093585</v>
      </c>
      <c r="J3" s="8">
        <f t="shared" si="0"/>
        <v>13.208095546093585</v>
      </c>
      <c r="K3" s="8">
        <f t="shared" si="0"/>
        <v>13.208095546093585</v>
      </c>
      <c r="L3" s="8">
        <f t="shared" si="0"/>
        <v>13.208095546093585</v>
      </c>
      <c r="M3" s="8">
        <f t="shared" si="0"/>
        <v>13.208095546093585</v>
      </c>
      <c r="N3" s="8">
        <f t="shared" si="0"/>
        <v>13.208095546093585</v>
      </c>
      <c r="O3" s="8">
        <f t="shared" si="0"/>
        <v>13.208095546093585</v>
      </c>
      <c r="P3" s="8">
        <f t="shared" si="0"/>
        <v>13.208095546093585</v>
      </c>
      <c r="Q3" s="8">
        <f t="shared" si="0"/>
        <v>13.208095546093585</v>
      </c>
      <c r="R3" s="8">
        <f t="shared" si="0"/>
        <v>13.208095546093585</v>
      </c>
      <c r="S3" s="8">
        <f t="shared" si="1"/>
        <v>13.208095546093585</v>
      </c>
      <c r="T3" s="8">
        <f t="shared" si="1"/>
        <v>13.208095546093585</v>
      </c>
      <c r="U3" s="8">
        <f t="shared" si="1"/>
        <v>13.208095546093585</v>
      </c>
      <c r="V3" s="8">
        <f t="shared" si="1"/>
        <v>13.208095546093585</v>
      </c>
      <c r="W3" s="8">
        <f t="shared" si="1"/>
        <v>13.208095546093585</v>
      </c>
      <c r="X3" s="8">
        <f t="shared" si="1"/>
        <v>13.208095546093585</v>
      </c>
      <c r="Y3" s="8">
        <f t="shared" si="1"/>
        <v>13.208095546093585</v>
      </c>
      <c r="Z3" s="8">
        <f t="shared" si="1"/>
        <v>13.208095546093585</v>
      </c>
      <c r="AA3" s="8">
        <f t="shared" si="1"/>
        <v>13.208095546093585</v>
      </c>
      <c r="AB3" s="8">
        <f t="shared" si="1"/>
        <v>13.208095546093585</v>
      </c>
      <c r="AC3" s="8">
        <f t="shared" si="1"/>
        <v>13.208095546093585</v>
      </c>
      <c r="AD3" s="8">
        <f t="shared" si="1"/>
        <v>13.208095546093585</v>
      </c>
      <c r="AE3" s="8">
        <f t="shared" si="1"/>
        <v>13.208095546093585</v>
      </c>
      <c r="AF3" s="8">
        <f t="shared" si="1"/>
        <v>13.208095546093585</v>
      </c>
      <c r="AG3" s="8">
        <f t="shared" si="1"/>
        <v>13.208095546093585</v>
      </c>
      <c r="AH3" s="8">
        <f t="shared" si="1"/>
        <v>13.208095546093585</v>
      </c>
      <c r="AI3" s="8">
        <f t="shared" si="1"/>
        <v>13.208095546093585</v>
      </c>
      <c r="AJ3" s="8">
        <f t="shared" si="1"/>
        <v>13.208095546093585</v>
      </c>
    </row>
    <row r="4" spans="1:36">
      <c r="A4" s="1" t="s">
        <v>6</v>
      </c>
      <c r="B4" s="5">
        <f>'BTS NTS Modal Profile Data'!B9</f>
        <v>41.989116133258747</v>
      </c>
      <c r="C4" s="5">
        <f t="shared" si="0"/>
        <v>41.989116133258747</v>
      </c>
      <c r="D4" s="5">
        <f t="shared" si="1"/>
        <v>41.989116133258747</v>
      </c>
      <c r="E4" s="5">
        <f t="shared" si="1"/>
        <v>41.989116133258747</v>
      </c>
      <c r="F4" s="5">
        <f t="shared" si="1"/>
        <v>41.989116133258747</v>
      </c>
      <c r="G4" s="5">
        <f t="shared" si="1"/>
        <v>41.989116133258747</v>
      </c>
      <c r="H4" s="5">
        <f t="shared" si="1"/>
        <v>41.989116133258747</v>
      </c>
      <c r="I4" s="5">
        <f t="shared" si="1"/>
        <v>41.989116133258747</v>
      </c>
      <c r="J4" s="5">
        <f t="shared" si="1"/>
        <v>41.989116133258747</v>
      </c>
      <c r="K4" s="5">
        <f t="shared" si="1"/>
        <v>41.989116133258747</v>
      </c>
      <c r="L4" s="5">
        <f t="shared" si="1"/>
        <v>41.989116133258747</v>
      </c>
      <c r="M4" s="5">
        <f t="shared" si="1"/>
        <v>41.989116133258747</v>
      </c>
      <c r="N4" s="5">
        <f t="shared" si="1"/>
        <v>41.989116133258747</v>
      </c>
      <c r="O4" s="5">
        <f t="shared" si="1"/>
        <v>41.989116133258747</v>
      </c>
      <c r="P4" s="5">
        <f t="shared" si="1"/>
        <v>41.989116133258747</v>
      </c>
      <c r="Q4" s="5">
        <f t="shared" si="1"/>
        <v>41.989116133258747</v>
      </c>
      <c r="R4" s="5">
        <f t="shared" si="1"/>
        <v>41.989116133258747</v>
      </c>
      <c r="S4" s="5">
        <f t="shared" si="1"/>
        <v>41.989116133258747</v>
      </c>
      <c r="T4" s="5">
        <f t="shared" si="1"/>
        <v>41.989116133258747</v>
      </c>
      <c r="U4" s="5">
        <f t="shared" si="1"/>
        <v>41.989116133258747</v>
      </c>
      <c r="V4" s="5">
        <f t="shared" si="1"/>
        <v>41.989116133258747</v>
      </c>
      <c r="W4" s="5">
        <f t="shared" si="1"/>
        <v>41.989116133258747</v>
      </c>
      <c r="X4" s="5">
        <f t="shared" si="1"/>
        <v>41.989116133258747</v>
      </c>
      <c r="Y4" s="5">
        <f t="shared" si="1"/>
        <v>41.989116133258747</v>
      </c>
      <c r="Z4" s="5">
        <f t="shared" si="1"/>
        <v>41.989116133258747</v>
      </c>
      <c r="AA4" s="5">
        <f t="shared" si="1"/>
        <v>41.989116133258747</v>
      </c>
      <c r="AB4" s="5">
        <f t="shared" si="1"/>
        <v>41.989116133258747</v>
      </c>
      <c r="AC4" s="5">
        <f t="shared" si="1"/>
        <v>41.989116133258747</v>
      </c>
      <c r="AD4" s="5">
        <f t="shared" si="1"/>
        <v>41.989116133258747</v>
      </c>
      <c r="AE4" s="5">
        <f t="shared" si="1"/>
        <v>41.989116133258747</v>
      </c>
      <c r="AF4" s="5">
        <f t="shared" si="1"/>
        <v>41.989116133258747</v>
      </c>
      <c r="AG4" s="5">
        <f t="shared" si="1"/>
        <v>41.989116133258747</v>
      </c>
      <c r="AH4" s="5">
        <f t="shared" si="1"/>
        <v>41.989116133258747</v>
      </c>
      <c r="AI4" s="5">
        <f t="shared" si="1"/>
        <v>41.989116133258747</v>
      </c>
      <c r="AJ4" s="5">
        <f t="shared" si="1"/>
        <v>41.989116133258747</v>
      </c>
    </row>
    <row r="5" spans="1:36">
      <c r="A5" s="1" t="s">
        <v>7</v>
      </c>
      <c r="B5" s="5">
        <f>'BTS NTS Modal Profile Data'!B20</f>
        <v>1756.179582105975</v>
      </c>
      <c r="C5" s="5">
        <f t="shared" si="0"/>
        <v>1756.179582105975</v>
      </c>
      <c r="D5" s="5">
        <f t="shared" si="1"/>
        <v>1756.179582105975</v>
      </c>
      <c r="E5" s="5">
        <f t="shared" si="1"/>
        <v>1756.179582105975</v>
      </c>
      <c r="F5" s="5">
        <f t="shared" si="1"/>
        <v>1756.179582105975</v>
      </c>
      <c r="G5" s="5">
        <f t="shared" si="1"/>
        <v>1756.179582105975</v>
      </c>
      <c r="H5" s="5">
        <f t="shared" si="1"/>
        <v>1756.179582105975</v>
      </c>
      <c r="I5" s="5">
        <f t="shared" si="1"/>
        <v>1756.179582105975</v>
      </c>
      <c r="J5" s="5">
        <f t="shared" si="1"/>
        <v>1756.179582105975</v>
      </c>
      <c r="K5" s="5">
        <f t="shared" si="1"/>
        <v>1756.179582105975</v>
      </c>
      <c r="L5" s="5">
        <f t="shared" si="1"/>
        <v>1756.179582105975</v>
      </c>
      <c r="M5" s="5">
        <f t="shared" si="1"/>
        <v>1756.179582105975</v>
      </c>
      <c r="N5" s="5">
        <f t="shared" si="1"/>
        <v>1756.179582105975</v>
      </c>
      <c r="O5" s="5">
        <f t="shared" si="1"/>
        <v>1756.179582105975</v>
      </c>
      <c r="P5" s="5">
        <f t="shared" si="1"/>
        <v>1756.179582105975</v>
      </c>
      <c r="Q5" s="5">
        <f t="shared" si="1"/>
        <v>1756.179582105975</v>
      </c>
      <c r="R5" s="5">
        <f t="shared" si="1"/>
        <v>1756.179582105975</v>
      </c>
      <c r="S5" s="5">
        <f t="shared" si="1"/>
        <v>1756.179582105975</v>
      </c>
      <c r="T5" s="5">
        <f t="shared" si="1"/>
        <v>1756.179582105975</v>
      </c>
      <c r="U5" s="5">
        <f t="shared" si="1"/>
        <v>1756.179582105975</v>
      </c>
      <c r="V5" s="5">
        <f t="shared" si="1"/>
        <v>1756.179582105975</v>
      </c>
      <c r="W5" s="5">
        <f t="shared" si="1"/>
        <v>1756.179582105975</v>
      </c>
      <c r="X5" s="5">
        <f t="shared" si="1"/>
        <v>1756.179582105975</v>
      </c>
      <c r="Y5" s="5">
        <f t="shared" si="1"/>
        <v>1756.179582105975</v>
      </c>
      <c r="Z5" s="5">
        <f t="shared" si="1"/>
        <v>1756.179582105975</v>
      </c>
      <c r="AA5" s="5">
        <f t="shared" si="1"/>
        <v>1756.179582105975</v>
      </c>
      <c r="AB5" s="5">
        <f t="shared" si="1"/>
        <v>1756.179582105975</v>
      </c>
      <c r="AC5" s="5">
        <f t="shared" si="1"/>
        <v>1756.179582105975</v>
      </c>
      <c r="AD5" s="5">
        <f t="shared" si="1"/>
        <v>1756.179582105975</v>
      </c>
      <c r="AE5" s="5">
        <f t="shared" si="1"/>
        <v>1756.179582105975</v>
      </c>
      <c r="AF5" s="5">
        <f t="shared" si="1"/>
        <v>1756.179582105975</v>
      </c>
      <c r="AG5" s="5">
        <f t="shared" si="1"/>
        <v>1756.179582105975</v>
      </c>
      <c r="AH5" s="5">
        <f t="shared" si="1"/>
        <v>1756.179582105975</v>
      </c>
      <c r="AI5" s="5">
        <f t="shared" si="1"/>
        <v>1756.179582105975</v>
      </c>
      <c r="AJ5" s="5">
        <f t="shared" si="1"/>
        <v>1756.179582105975</v>
      </c>
    </row>
    <row r="6" spans="1:36">
      <c r="A6" s="1" t="s">
        <v>8</v>
      </c>
      <c r="B6" s="5">
        <f>'BTS NTS Modal Profile Data'!B52</f>
        <v>1363.3853547764243</v>
      </c>
      <c r="C6" s="5">
        <f t="shared" si="0"/>
        <v>1363.3853547764243</v>
      </c>
      <c r="D6" s="5">
        <f t="shared" si="1"/>
        <v>1363.3853547764243</v>
      </c>
      <c r="E6" s="5">
        <f t="shared" si="1"/>
        <v>1363.3853547764243</v>
      </c>
      <c r="F6" s="5">
        <f t="shared" si="1"/>
        <v>1363.3853547764243</v>
      </c>
      <c r="G6" s="5">
        <f t="shared" si="1"/>
        <v>1363.3853547764243</v>
      </c>
      <c r="H6" s="5">
        <f t="shared" si="1"/>
        <v>1363.3853547764243</v>
      </c>
      <c r="I6" s="5">
        <f t="shared" si="1"/>
        <v>1363.3853547764243</v>
      </c>
      <c r="J6" s="5">
        <f t="shared" si="1"/>
        <v>1363.3853547764243</v>
      </c>
      <c r="K6" s="5">
        <f t="shared" si="1"/>
        <v>1363.3853547764243</v>
      </c>
      <c r="L6" s="5">
        <f t="shared" si="1"/>
        <v>1363.3853547764243</v>
      </c>
      <c r="M6" s="5">
        <f t="shared" si="1"/>
        <v>1363.3853547764243</v>
      </c>
      <c r="N6" s="5">
        <f t="shared" si="1"/>
        <v>1363.3853547764243</v>
      </c>
      <c r="O6" s="5">
        <f t="shared" si="1"/>
        <v>1363.3853547764243</v>
      </c>
      <c r="P6" s="5">
        <f t="shared" si="1"/>
        <v>1363.3853547764243</v>
      </c>
      <c r="Q6" s="5">
        <f t="shared" si="1"/>
        <v>1363.3853547764243</v>
      </c>
      <c r="R6" s="5">
        <f t="shared" si="1"/>
        <v>1363.3853547764243</v>
      </c>
      <c r="S6" s="5">
        <f t="shared" si="1"/>
        <v>1363.3853547764243</v>
      </c>
      <c r="T6" s="5">
        <f t="shared" si="1"/>
        <v>1363.3853547764243</v>
      </c>
      <c r="U6" s="5">
        <f t="shared" si="1"/>
        <v>1363.3853547764243</v>
      </c>
      <c r="V6" s="5">
        <f t="shared" si="1"/>
        <v>1363.3853547764243</v>
      </c>
      <c r="W6" s="5">
        <f t="shared" si="1"/>
        <v>1363.3853547764243</v>
      </c>
      <c r="X6" s="5">
        <f t="shared" si="1"/>
        <v>1363.3853547764243</v>
      </c>
      <c r="Y6" s="5">
        <f t="shared" si="1"/>
        <v>1363.3853547764243</v>
      </c>
      <c r="Z6" s="5">
        <f t="shared" si="1"/>
        <v>1363.3853547764243</v>
      </c>
      <c r="AA6" s="5">
        <f t="shared" si="1"/>
        <v>1363.3853547764243</v>
      </c>
      <c r="AB6" s="5">
        <f t="shared" si="1"/>
        <v>1363.3853547764243</v>
      </c>
      <c r="AC6" s="5">
        <f t="shared" si="1"/>
        <v>1363.3853547764243</v>
      </c>
      <c r="AD6" s="5">
        <f t="shared" si="1"/>
        <v>1363.3853547764243</v>
      </c>
      <c r="AE6" s="5">
        <f t="shared" si="1"/>
        <v>1363.3853547764243</v>
      </c>
      <c r="AF6" s="5">
        <f t="shared" si="1"/>
        <v>1363.3853547764243</v>
      </c>
      <c r="AG6" s="5">
        <f t="shared" si="1"/>
        <v>1363.3853547764243</v>
      </c>
      <c r="AH6" s="5">
        <f t="shared" si="1"/>
        <v>1363.3853547764243</v>
      </c>
      <c r="AI6" s="5">
        <f t="shared" si="1"/>
        <v>1363.3853547764243</v>
      </c>
      <c r="AJ6" s="5">
        <f t="shared" si="1"/>
        <v>1363.3853547764243</v>
      </c>
    </row>
    <row r="7" spans="1:36">
      <c r="A7" s="1" t="s">
        <v>9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CAN Road</vt:lpstr>
      <vt:lpstr>CAN Psgr Ships</vt:lpstr>
      <vt:lpstr>BTS NTS Modal Profile Data</vt:lpstr>
      <vt:lpstr>NRBS 40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2018-01-26T22:10:58Z</dcterms:modified>
</cp:coreProperties>
</file>